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6122" windowWidth="19233" windowHeight="6167" tabRatio="912"/>
  </bookViews>
  <sheets>
    <sheet name="MedicatieIV" sheetId="10" r:id="rId1"/>
    <sheet name="ber_IVmed" sheetId="12" state="veryHidden" r:id="rId2"/>
    <sheet name="tblMedicatieIV" sheetId="11" state="veryHidden" r:id="rId3"/>
    <sheet name="Med_disc" sheetId="13" r:id="rId4"/>
    <sheet name="ber_Med_disc" sheetId="14" state="veryHidden" r:id="rId5"/>
    <sheet name="tblMedDisc" sheetId="69" state="veryHidden" r:id="rId6"/>
    <sheet name="Infusen" sheetId="17" r:id="rId7"/>
    <sheet name="ber_Infusen" sheetId="18" state="veryHidden" r:id="rId8"/>
    <sheet name="tblInfusen" sheetId="70" state="veryHidden" r:id="rId9"/>
    <sheet name="Intake" sheetId="20" r:id="rId10"/>
    <sheet name="ber_normaal" sheetId="19" state="veryHidden" r:id="rId11"/>
    <sheet name="ber_PO" sheetId="27" state="veryHidden" r:id="rId12"/>
    <sheet name="ber_totalen" sheetId="24" state="veryHidden" r:id="rId13"/>
    <sheet name="tblPO" sheetId="26" state="veryHidden" r:id="rId14"/>
    <sheet name="Lab" sheetId="58" r:id="rId15"/>
    <sheet name="Ber_Lab" sheetId="57" state="veryHidden" r:id="rId16"/>
    <sheet name="Aanvullende afspraken Ped" sheetId="60" r:id="rId17"/>
    <sheet name="ber_AanvullendeAfsprakenPed" sheetId="59" state="veryHidden" r:id="rId18"/>
    <sheet name="tblAanvullendeAfspraken" sheetId="51" state="veryHidden" r:id="rId19"/>
    <sheet name="AcuteOpvang" sheetId="3" r:id="rId20"/>
    <sheet name="HEIGHTNL.CRF" sheetId="1" state="veryHidden" r:id="rId21"/>
    <sheet name="WEIGHTNL.CRF" sheetId="2" state="veryHidden" r:id="rId22"/>
    <sheet name="AfsprakenCMV" sheetId="5" r:id="rId23"/>
    <sheet name="Medicatie" sheetId="16" r:id="rId24"/>
    <sheet name="ber_tijden" sheetId="15" state="veryHidden" r:id="rId25"/>
    <sheet name="TPN2tot6kg" sheetId="28" r:id="rId26"/>
    <sheet name="TPN7tot15kg" sheetId="29" r:id="rId27"/>
    <sheet name="TPN16tot30kg" sheetId="30" r:id="rId28"/>
    <sheet name="TPN31tot50kg" sheetId="31" r:id="rId29"/>
    <sheet name="TPNboven50kg" sheetId="32" r:id="rId30"/>
    <sheet name="ber_TPN" sheetId="21" state="veryHidden" r:id="rId31"/>
    <sheet name="&lt;--Pediatrie" sheetId="63" state="veryHidden" r:id="rId32"/>
    <sheet name="Afspraken" sheetId="39" r:id="rId33"/>
    <sheet name="Berekeningen" sheetId="45" state="veryHidden" r:id="rId34"/>
    <sheet name="WerkBriefActueel" sheetId="74" state="veryHidden" r:id="rId35"/>
    <sheet name="Afspraken1700" sheetId="73" r:id="rId36"/>
    <sheet name="Berekeningen1700" sheetId="72" state="veryHidden" r:id="rId37"/>
    <sheet name="WerkBrief" sheetId="36" r:id="rId38"/>
    <sheet name="tblMedicatieIVNeo" sheetId="71" state="veryHidden" r:id="rId39"/>
    <sheet name="Advies" sheetId="40" state="veryHidden" r:id="rId40"/>
    <sheet name="Lijsten" sheetId="42" state="veryHidden" r:id="rId41"/>
    <sheet name="tblVoeding" sheetId="68" state="veryHidden" r:id="rId42"/>
    <sheet name="Medicatie Neo" sheetId="61" r:id="rId43"/>
    <sheet name="ber_tijden_Neo" sheetId="62" state="veryHidden" r:id="rId44"/>
    <sheet name="Aanvullende afspraken Neo" sheetId="50" r:id="rId45"/>
    <sheet name="ber_AanvullendeAfsprakenNeo" sheetId="52" state="veryHidden" r:id="rId46"/>
    <sheet name="Lab Neo" sheetId="56" r:id="rId47"/>
    <sheet name="Ber_Lab_Neo" sheetId="55" state="veryHidden" r:id="rId48"/>
    <sheet name="AcuteOpvang Neo" sheetId="49" r:id="rId49"/>
    <sheet name="Print" sheetId="33" r:id="rId50"/>
    <sheet name="Apotheek" sheetId="38" r:id="rId51"/>
    <sheet name="&lt;-Neo" sheetId="64" state="veryHidden" r:id="rId52"/>
    <sheet name="AfsprakenTekst" sheetId="9" state="veryHidden" r:id="rId53"/>
    <sheet name="Patienten" sheetId="8" state="veryHidden" r:id="rId54"/>
    <sheet name="dbBead" sheetId="6" state="veryHidden" r:id="rId55"/>
    <sheet name="&lt;--Patient" sheetId="65" state="veryHidden" r:id="rId56"/>
    <sheet name="ber_Opm" sheetId="4" state="veryHidden" r:id="rId57"/>
    <sheet name="conversie" sheetId="25" state="veryHidden" r:id="rId58"/>
    <sheet name="Temp" sheetId="7" state="veryHidden" r:id="rId59"/>
  </sheets>
  <functionGroups builtInGroupCount="17"/>
  <definedNames>
    <definedName name="_Aanvullend_Booleans">ber_AanvullendeAfsprakenNeo!$B$7:$B$11,ber_AanvullendeAfsprakenNeo!$D$11:$D$14,ber_AanvullendeAfsprakenNeo!$B$15:$B$19,ber_AanvullendeAfsprakenNeo!$B$22:$B$32,ber_AanvullendeAfsprakenNeo!$B$34,ber_AanvullendeAfsprakenNeo!$B$37,ber_AanvullendeAfsprakenNeo!$B$40,ber_AanvullendeAfsprakenNeo!$B$43:$B$46,ber_AanvullendeAfsprakenNeo!$D$43:$D$45,ber_AanvullendeAfsprakenNeo!$F$7:$F$8,ber_AanvullendeAfsprakenNeo!$F$12:$F$15,ber_AanvullendeAfsprakenNeo!$F$17:$F$18,ber_AanvullendeAfsprakenNeo!$F$21:$F$23,ber_AanvullendeAfsprakenNeo!$F$31,ber_AanvullendeAfsprakenNeo!$H$8:$H$11,ber_AanvullendeAfsprakenNeo!$H$13,ber_AanvullendeAfsprakenNeo!$H$15:$H$16,ber_AanvullendeAfsprakenNeo!$H$18:$H$20,ber_AanvullendeAfsprakenNeo!$H$22:$H$30,ber_AanvullendeAfsprakenNeo!$J$7:$J$20,ber_AanvullendeAfsprakenNeo!$J$24,ber_AanvullendeAfsprakenNeo!$L$21:$L$27,ber_AanvullendeAfsprakenNeo!$L$28,ber_AanvullendeAfsprakenNeo!$J$29</definedName>
    <definedName name="_Aanvullend_Booleans_Ped">ber_AanvullendeAfsprakenPed!$B$7,ber_AanvullendeAfsprakenPed!$B$8,ber_AanvullendeAfsprakenPed!$B$9,ber_AanvullendeAfsprakenPed!$B$10,ber_AanvullendeAfsprakenPed!$B$11,ber_AanvullendeAfsprakenPed!$D$11,ber_AanvullendeAfsprakenPed!$D$12,ber_AanvullendeAfsprakenPed!$D$13,ber_AanvullendeAfsprakenPed!$D$14,ber_AanvullendeAfsprakenPed!$B$15,ber_AanvullendeAfsprakenPed!$B$16,ber_AanvullendeAfsprakenPed!$B$17,ber_AanvullendeAfsprakenPed!$B$20,ber_AanvullendeAfsprakenPed!$B$21,ber_AanvullendeAfsprakenPed!$B$22,ber_AanvullendeAfsprakenPed!$B$23,ber_AanvullendeAfsprakenPed!$B$24,ber_AanvullendeAfsprakenPed!$B$25,ber_AanvullendeAfsprakenPed!$B$27,ber_AanvullendeAfsprakenPed!$B$30,ber_AanvullendeAfsprakenPed!$B$33,ber_AanvullendeAfsprakenPed!$B$36,ber_AanvullendeAfsprakenPed!$B$37,ber_AanvullendeAfsprakenPed!$B$38,ber_AanvullendeAfsprakenPed!$B$39,ber_AanvullendeAfsprakenPed!$D$36,ber_AanvullendeAfsprakenPed!$D$37,ber_AanvullendeAfsprakenPed!$D$38,ber_AanvullendeAfsprakenPed!$F$7,ber_AanvullendeAfsprakenPed!$F$8,ber_AanvullendeAfsprakenPed!$F$9,ber_AanvullendeAfsprakenPed!$F$10,ber_AanvullendeAfsprakenPed!$F$11,ber_AanvullendeAfsprakenPed!$F$12,ber_AanvullendeAfsprakenPed!$F$13,ber_AanvullendeAfsprakenPed!$F$14,ber_AanvullendeAfsprakenPed!$F$15,ber_AanvullendeAfsprakenPed!$B$42,ber_AanvullendeAfsprakenPed!$B$43,ber_AanvullendeAfsprakenPed!$B$44,ber_AanvullendeAfsprakenPed!$F$16,ber_AanvullendeAfsprakenPed!$F$18</definedName>
    <definedName name="_Aanvullend_Controles">ber_AanvullendeAfsprakenNeo!$B$56</definedName>
    <definedName name="_Aanvullend_Controles_Ped">ber_AanvullendeAfsprakenPed!$B$47</definedName>
    <definedName name="_Aanvullend_Data">ber_AanvullendeAfsprakenNeo!$B$12,ber_AanvullendeAfsprakenNeo!$D$22,ber_AanvullendeAfsprakenNeo!$D$34:$D$42,ber_AanvullendeAfsprakenNeo!$D$46:$D$47,ber_AanvullendeAfsprakenNeo!$K$17,ber_AanvullendeAfsprakenNeo!$L$17,ber_AanvullendeAfsprakenNeo!$L$20,ber_AanvullendeAfsprakenNeo!$G$31,ber_AanvullendeAfsprakenNeo!$D$27,ber_AanvullendeAfsprakenNeo!$C$8,ber_AanvullendeAfsprakenNeo!$D$8,ber_AanvullendeAfsprakenNeo!$D$9,ber_AanvullendeAfsprakenNeo!$C$9,ber_AanvullendeAfsprakenNeo!$K$29,ber_AanvullendeAfsprakenNeo!$C$18,ber_AanvullendeAfsprakenNeo!$D$18,ber_AanvullendeAfsprakenNeo!$K$20</definedName>
    <definedName name="_Aanvullend_Data_Ped">ber_AanvullendeAfsprakenPed!$D$7,ber_AanvullendeAfsprakenPed!$D$8,ber_AanvullendeAfsprakenPed!$D$9,ber_AanvullendeAfsprakenPed!$D$10,ber_AanvullendeAfsprakenPed!$B$12,ber_AanvullendeAfsprakenPed!$D$27,ber_AanvullendeAfsprakenPed!$D$28,ber_AanvullendeAfsprakenPed!$D$29,ber_AanvullendeAfsprakenPed!$D$30,ber_AanvullendeAfsprakenPed!$D$31,ber_AanvullendeAfsprakenPed!$D$32,ber_AanvullendeAfsprakenPed!$D$33,ber_AanvullendeAfsprakenPed!$D$34,ber_AanvullendeAfsprakenPed!$D$35,ber_AanvullendeAfsprakenPed!$D$39,ber_AanvullendeAfsprakenPed!$D$40,ber_AanvullendeAfsprakenPed!$F$17,ber_AanvullendeAfsprakenPed!$C$7,ber_AanvullendeAfsprakenPed!$C$8,ber_AanvullendeAfsprakenPed!$C$9,ber_AanvullendeAfsprakenPed!$C$10,ber_AanvullendeAfsprakenPed!$G$16,ber_AanvullendeAfsprakenPed!$G$18,ber_AanvullendeAfsprakenPed!$H$18,ber_AanvullendeAfsprakenPed!$C$42,ber_AanvullendeAfsprakenPed!$C$43</definedName>
    <definedName name="_Aanvullend_Instellingen">ber_AanvullendeAfsprakenNeo!$B$58</definedName>
    <definedName name="_Aanvullend_Instellingen_Ped">ber_AanvullendeAfsprakenPed!$B$49</definedName>
    <definedName name="_Aanvullend_Kweken">ber_AanvullendeAfsprakenNeo!$B$59</definedName>
    <definedName name="_Aanvullend_MRIvertrektijd">ber_AanvullendeAfsprakenNeo!$D$27</definedName>
    <definedName name="_Aanvullend_Onderzoek">ber_AanvullendeAfsprakenNeo!$B$57</definedName>
    <definedName name="_Aanvullend_Onderzoek_Ped">ber_AanvullendeAfsprakenPed!$B$48</definedName>
    <definedName name="_Aanvullend_Overig">ber_AanvullendeAfsprakenNeo!$B$60</definedName>
    <definedName name="_Aanvullend_Overig_Ped">ber_AanvullendeAfsprakenPed!$B$50</definedName>
    <definedName name="_AchterNaam">dbBead!$D$2</definedName>
    <definedName name="_AchterNaamNICU">Berekeningen!$B$1</definedName>
    <definedName name="_AchterNaamNICU1700">Berekeningen1700!$B$1</definedName>
    <definedName name="_ArtLijn">Berekeningen!$B$18</definedName>
    <definedName name="_ArtLijn1700">Berekeningen1700!$B$18</definedName>
    <definedName name="_Arts">Berekeningen!$F$1</definedName>
    <definedName name="_Arts1700">Berekeningen1700!$F$1</definedName>
    <definedName name="_Bed">Berekeningen!$B$2</definedName>
    <definedName name="_Bed1700">Berekeningen1700!$B$2</definedName>
    <definedName name="_CaCl2">Berekeningen!$D$39</definedName>
    <definedName name="_CaCl21700">Berekeningen1700!$D$39</definedName>
    <definedName name="_Dag1700">Berekeningen1700!$B$6</definedName>
    <definedName name="_Dagen">Berekeningen!$D$5</definedName>
    <definedName name="_Dagen1700">Berekeningen1700!$D$5</definedName>
    <definedName name="_DagKeuze">Berekeningen!$D$36</definedName>
    <definedName name="_DagKeuze1700">Berekeningen1700!$D$36</definedName>
    <definedName name="_Eenheid_1">Berekeningen!$G$20</definedName>
    <definedName name="_Eenheid_2">Berekeningen!$G$21</definedName>
    <definedName name="_Eenheid_3">Berekeningen!$G$22</definedName>
    <definedName name="_Eenheid_4">Berekeningen!$G$23</definedName>
    <definedName name="_Eenheid_5">Berekeningen!$G$24</definedName>
    <definedName name="_Eenheid_6">Berekeningen!$G$25</definedName>
    <definedName name="_Eenheid_7">Berekeningen!$G$26</definedName>
    <definedName name="_Eenheid_8">Berekeningen!$G$27</definedName>
    <definedName name="_Eenheid_9">Berekeningen!$G$28</definedName>
    <definedName name="_Eenheid1700_1">Berekeningen1700!$G$20</definedName>
    <definedName name="_Eenheid1700_2">Berekeningen1700!$G$21</definedName>
    <definedName name="_Eenheid1700_3">Berekeningen1700!$G$22</definedName>
    <definedName name="_Eenheid1700_4">Berekeningen1700!$G$23</definedName>
    <definedName name="_Eenheid1700_5">Berekeningen1700!$G$24</definedName>
    <definedName name="_Eenheid1700_6">Berekeningen1700!$G$25</definedName>
    <definedName name="_Eenheid1700_7">Berekeningen1700!$G$26</definedName>
    <definedName name="_Eenheid1700_8">Berekeningen1700!$G$27</definedName>
    <definedName name="_Eenheid1700_9">Berekeningen1700!$G$28</definedName>
    <definedName name="_Extra">Berekeningen!$K$14</definedName>
    <definedName name="_Extra_1">Berekeningen!$K$20</definedName>
    <definedName name="_Extra_10">Berekeningen!$K$18</definedName>
    <definedName name="_Extra_11">Berekeningen!$K$29</definedName>
    <definedName name="_Extra_12">Berekeningen!$K$30</definedName>
    <definedName name="_Extra_13">Berekeningen!$K$31</definedName>
    <definedName name="_Extra_2">Berekeningen!$K$21</definedName>
    <definedName name="_Extra_3">Berekeningen!$K$22</definedName>
    <definedName name="_Extra_4">Berekeningen!$K$23</definedName>
    <definedName name="_Extra_5">Berekeningen!$K$24</definedName>
    <definedName name="_Extra_6">Berekeningen!$K$25</definedName>
    <definedName name="_Extra_7">Berekeningen!$K$26</definedName>
    <definedName name="_Extra_8">Berekeningen!$K$27</definedName>
    <definedName name="_Extra_9">Berekeningen!$K$28</definedName>
    <definedName name="_Extra1700">Berekeningen1700!$K$14</definedName>
    <definedName name="_Extra1700_1">Berekeningen1700!$K$20</definedName>
    <definedName name="_Extra1700_10">Berekeningen1700!$K$18</definedName>
    <definedName name="_Extra1700_11">Berekeningen1700!$K$29</definedName>
    <definedName name="_Extra1700_12">Berekeningen1700!$K$30</definedName>
    <definedName name="_Extra1700_13">Berekeningen1700!$K$31</definedName>
    <definedName name="_Extra1700_2">Berekeningen1700!$K$21</definedName>
    <definedName name="_Extra1700_3">Berekeningen1700!$K$22</definedName>
    <definedName name="_Extra1700_4">Berekeningen1700!$K$23</definedName>
    <definedName name="_Extra1700_5">Berekeningen1700!$K$24</definedName>
    <definedName name="_Extra1700_6">Berekeningen1700!$K$25</definedName>
    <definedName name="_Extra1700_7">Berekeningen1700!$K$26</definedName>
    <definedName name="_Extra1700_8">Berekeningen1700!$K$27</definedName>
    <definedName name="_Extra1700_9">Berekeningen1700!$K$28</definedName>
    <definedName name="_xlnm._FilterDatabase" localSheetId="53" hidden="1">Patienten!$A$1:$Q$577</definedName>
    <definedName name="_xlnm._FilterDatabase" localSheetId="58" hidden="1">Temp!$A$2:$B$437</definedName>
    <definedName name="_Fototherapie">Berekeningen!$B$15</definedName>
    <definedName name="_Fototherapie1700">Berekeningen1700!$B$15</definedName>
    <definedName name="_Frequentie_1">Berekeningen!$D$10</definedName>
    <definedName name="_Frequentie_2">Berekeningen!$D$12</definedName>
    <definedName name="_Frequentie1700_1">Berekeningen1700!$D$10</definedName>
    <definedName name="_Frequentie1700_2">Berekeningen1700!$D$12</definedName>
    <definedName name="_GeboorteDatum">Berekeningen!$B$3</definedName>
    <definedName name="_GeboorteDatum1700">Berekeningen1700!$B$3</definedName>
    <definedName name="_Gewicht">Berekeningen!$B$4</definedName>
    <definedName name="_Gewicht1700">Berekeningen1700!$B$4</definedName>
    <definedName name="_GlucSterkte">Berekeningen!$D$45</definedName>
    <definedName name="_GlucSterkte1700">Berekeningen1700!$D$45</definedName>
    <definedName name="_Hoeveelheid_1">Berekeningen!$D$11</definedName>
    <definedName name="_Hoeveelheid_2">Berekeningen!$D$13</definedName>
    <definedName name="_Hoeveelheid1700_1">Berekeningen1700!$D$11</definedName>
    <definedName name="_Hoeveelheid1700_2">Berekeningen1700!$D$13</definedName>
    <definedName name="_IntakePerKg">Berekeningen!$D$16</definedName>
    <definedName name="_IntakePerKg1700">Berekeningen1700!$D$16</definedName>
    <definedName name="_IntraLipid">Berekeningen!$D$35</definedName>
    <definedName name="_IntraLipid1700">Berekeningen1700!$D$35</definedName>
    <definedName name="_KCl">Berekeningen!$D$38</definedName>
    <definedName name="_KCl1700">Berekeningen1700!$D$38</definedName>
    <definedName name="_Medicament_1">Berekeningen!$B$20</definedName>
    <definedName name="_Medicament_2">Berekeningen!$B$21</definedName>
    <definedName name="_Medicament_3">Berekeningen!$B$22</definedName>
    <definedName name="_Medicament_4">Berekeningen!$B$23</definedName>
    <definedName name="_Medicament_5">Berekeningen!$B$24</definedName>
    <definedName name="_Medicament_6">Berekeningen!$B$25</definedName>
    <definedName name="_Medicament_7">Berekeningen!$B$26</definedName>
    <definedName name="_Medicament_8">Berekeningen!$B$27</definedName>
    <definedName name="_Medicament_9">Berekeningen!$B$28</definedName>
    <definedName name="_Medicament1700_1">Berekeningen1700!$B$20</definedName>
    <definedName name="_Medicament1700_2">Berekeningen1700!$B$21</definedName>
    <definedName name="_Medicament1700_3">Berekeningen1700!$B$22</definedName>
    <definedName name="_Medicament1700_4">Berekeningen1700!$B$23</definedName>
    <definedName name="_Medicament1700_5">Berekeningen1700!$B$24</definedName>
    <definedName name="_Medicament1700_6">Berekeningen1700!$B$25</definedName>
    <definedName name="_Medicament1700_7">Berekeningen1700!$B$26</definedName>
    <definedName name="_Medicament1700_8">Berekeningen1700!$B$27</definedName>
    <definedName name="_Medicament1700_9">Berekeningen1700!$B$28</definedName>
    <definedName name="_MedSterkte_1">Berekeningen!$C$20</definedName>
    <definedName name="_MedSterkte_2">Berekeningen!$C$21</definedName>
    <definedName name="_MedSterkte_3">Berekeningen!$C$22</definedName>
    <definedName name="_MedSterkte_4">Berekeningen!$C$23</definedName>
    <definedName name="_MedSterkte_5">Berekeningen!$C$24</definedName>
    <definedName name="_MedSterkte_6">Berekeningen!$C$25</definedName>
    <definedName name="_MedSterkte_7">Berekeningen!$C$26</definedName>
    <definedName name="_MedSterkte_8">Berekeningen!$C$27</definedName>
    <definedName name="_MedSterkte_9">Berekeningen!$C$28</definedName>
    <definedName name="_MedSterkte1700_1">Berekeningen1700!$C$20</definedName>
    <definedName name="_MedSterkte1700_2">Berekeningen1700!$C$21</definedName>
    <definedName name="_MedSterkte1700_3">Berekeningen1700!$C$22</definedName>
    <definedName name="_MedSterkte1700_4">Berekeningen1700!$C$23</definedName>
    <definedName name="_MedSterkte1700_5">Berekeningen1700!$C$24</definedName>
    <definedName name="_MedSterkte1700_6">Berekeningen1700!$C$25</definedName>
    <definedName name="_MedSterkte1700_7">Berekeningen1700!$C$26</definedName>
    <definedName name="_MedSterkte1700_8">Berekeningen1700!$C$27</definedName>
    <definedName name="_MedSterkte1700_9">Berekeningen1700!$C$28</definedName>
    <definedName name="_MedTekst_1">Berekeningen!$B$32</definedName>
    <definedName name="_MedTekst_2">Berekeningen!$B$33</definedName>
    <definedName name="_MedTekst1700_1">Berekeningen1700!$B$32</definedName>
    <definedName name="_MedTekst1700_2">Berekeningen1700!$B$33</definedName>
    <definedName name="_MgCl2">Berekeningen!$D$40</definedName>
    <definedName name="_MgCl21700">Berekeningen1700!$D$40</definedName>
    <definedName name="_NaCl">Berekeningen!$D$37</definedName>
    <definedName name="_NaCl1700">Berekeningen1700!$D$37</definedName>
    <definedName name="_NeoInfuusContinu1">Berekeningen!$B$90</definedName>
    <definedName name="_NeoInfuusContinu10">Berekeningen!$B$99</definedName>
    <definedName name="_NeoInfuusContinu11">Berekeningen!$B$100</definedName>
    <definedName name="_NeoInfuusContinu12">Berekeningen!$B$101</definedName>
    <definedName name="_NeoInfuusContinu13">Berekeningen!$B$102</definedName>
    <definedName name="_NeoInfuusContinu14">Berekeningen!$B$103</definedName>
    <definedName name="_NeoInfuusContinu15">Berekeningen!$B$104</definedName>
    <definedName name="_NeoInfuusContinu16">Berekeningen!$B$105</definedName>
    <definedName name="_NeoInfuusContinu17">Berekeningen!$B$106</definedName>
    <definedName name="_NeoInfuusContinu1700_1">Berekeningen1700!$B$90</definedName>
    <definedName name="_NeoInfuusContinu1700_10">Berekeningen1700!$B$99</definedName>
    <definedName name="_NeoInfuusContinu1700_11">Berekeningen1700!$B$100</definedName>
    <definedName name="_NeoInfuusContinu1700_12">Berekeningen1700!$B$101</definedName>
    <definedName name="_NeoInfuusContinu1700_13">Berekeningen1700!$B$102</definedName>
    <definedName name="_NeoInfuusContinu1700_14">Berekeningen1700!$B$103</definedName>
    <definedName name="_NeoInfuusContinu1700_15">Berekeningen1700!$B$104</definedName>
    <definedName name="_NeoInfuusContinu1700_16">Berekeningen1700!$B$105</definedName>
    <definedName name="_NeoInfuusContinu1700_17">Berekeningen1700!$B$106</definedName>
    <definedName name="_NeoInfuusContinu1700_18">Berekeningen1700!$B$107</definedName>
    <definedName name="_NeoInfuusContinu1700_19">Berekeningen1700!$B$108</definedName>
    <definedName name="_NeoInfuusContinu1700_2">Berekeningen1700!$B$91</definedName>
    <definedName name="_NeoInfuusContinu1700_20">Berekeningen1700!$B$109</definedName>
    <definedName name="_NeoInfuusContinu1700_21">Berekeningen1700!$B$110</definedName>
    <definedName name="_NeoInfuusContinu1700_22">Berekeningen1700!$B$111</definedName>
    <definedName name="_NeoInfuusContinu1700_23">Berekeningen1700!$B$112</definedName>
    <definedName name="_NeoInfuusContinu1700_24">Berekeningen1700!$B$113</definedName>
    <definedName name="_NeoInfuusContinu1700_25">Berekeningen1700!$B$114</definedName>
    <definedName name="_NeoInfuusContinu1700_26">Berekeningen1700!$B$115</definedName>
    <definedName name="_NeoInfuusContinu1700_27">Berekeningen1700!$B$116</definedName>
    <definedName name="_NeoInfuusContinu1700_3">Berekeningen1700!$B$92</definedName>
    <definedName name="_NeoInfuusContinu1700_4">Berekeningen1700!$B$93</definedName>
    <definedName name="_NeoInfuusContinu1700_5">Berekeningen1700!$B$94</definedName>
    <definedName name="_NeoInfuusContinu1700_6">Berekeningen1700!$B$95</definedName>
    <definedName name="_NeoInfuusContinu1700_7">Berekeningen1700!$B$96</definedName>
    <definedName name="_NeoInfuusContinu1700_8">Berekeningen1700!$B$97</definedName>
    <definedName name="_NeoInfuusContinu1700_9">Berekeningen1700!$B$98</definedName>
    <definedName name="_NeoInfuusContinu18">Berekeningen!$B$107</definedName>
    <definedName name="_NeoInfuusContinu19">Berekeningen!$B$108</definedName>
    <definedName name="_NeoInfuusContinu2">Berekeningen!$B$91</definedName>
    <definedName name="_NeoInfuusContinu20">Berekeningen!$B$109</definedName>
    <definedName name="_NeoInfuusContinu21">Berekeningen!$B$110</definedName>
    <definedName name="_NeoInfuusContinu22">Berekeningen!$B$111</definedName>
    <definedName name="_NeoInfuusContinu23">Berekeningen!$B$112</definedName>
    <definedName name="_NeoInfuusContinu24">Berekeningen!$B$113</definedName>
    <definedName name="_NeoInfuusContinu25">Berekeningen!$B$114</definedName>
    <definedName name="_NeoInfuusContinu26">Berekeningen!$B$115</definedName>
    <definedName name="_NeoInfuusContinu27">Berekeningen!$B$116</definedName>
    <definedName name="_NeoInfuusContinu3">Berekeningen!$B$92</definedName>
    <definedName name="_NeoInfuusContinu4">Berekeningen!$B$93</definedName>
    <definedName name="_NeoInfuusContinu5">Berekeningen!$B$94</definedName>
    <definedName name="_NeoInfuusContinu6">Berekeningen!$B$95</definedName>
    <definedName name="_NeoInfuusContinu7">Berekeningen!$B$96</definedName>
    <definedName name="_NeoInfuusContinu8">Berekeningen!$B$97</definedName>
    <definedName name="_NeoInfuusContinu9">Berekeningen!$B$98</definedName>
    <definedName name="_NeoVoeding1">Berekeningen!$B$73</definedName>
    <definedName name="_NeoVoeding10">Berekeningen!$B$82</definedName>
    <definedName name="_NeoVoeding11">Berekeningen!$B$83</definedName>
    <definedName name="_NeoVoeding12">Berekeningen!$B$84</definedName>
    <definedName name="_NeoVoeding13">Berekeningen!$B$85</definedName>
    <definedName name="_NeoVoeding14">Berekeningen!$B$86</definedName>
    <definedName name="_NeoVoeding15">Berekeningen!$B$87</definedName>
    <definedName name="_NeoVoeding1700_1">Berekeningen1700!$B$73</definedName>
    <definedName name="_NeoVoeding1700_10">Berekeningen1700!$B$82</definedName>
    <definedName name="_NeoVoeding1700_11">Berekeningen1700!$B$83</definedName>
    <definedName name="_NeoVoeding1700_12">Berekeningen1700!$B$84</definedName>
    <definedName name="_NeoVoeding1700_13">Berekeningen1700!$B$85</definedName>
    <definedName name="_NeoVoeding1700_14">Berekeningen1700!$B$86</definedName>
    <definedName name="_NeoVoeding1700_15">Berekeningen1700!$B$87</definedName>
    <definedName name="_NeoVoeding1700_2">Berekeningen1700!$B$74</definedName>
    <definedName name="_NeoVoeding1700_3">Berekeningen1700!$B$75</definedName>
    <definedName name="_NeoVoeding1700_4">Berekeningen1700!$B$76</definedName>
    <definedName name="_NeoVoeding1700_5">Berekeningen1700!$B$77</definedName>
    <definedName name="_NeoVoeding1700_6">Berekeningen1700!$B$78</definedName>
    <definedName name="_NeoVoeding1700_7">Berekeningen1700!$B$79</definedName>
    <definedName name="_NeoVoeding1700_8">Berekeningen1700!$B$80</definedName>
    <definedName name="_NeoVoeding1700_9">Berekeningen1700!$B$81</definedName>
    <definedName name="_NeoVoeding2">Berekeningen!$B$74</definedName>
    <definedName name="_NeoVoeding3">Berekeningen!$B$75</definedName>
    <definedName name="_NeoVoeding4">Berekeningen!$B$76</definedName>
    <definedName name="_NeoVoeding5">Berekeningen!$B$77</definedName>
    <definedName name="_NeoVoeding6">Berekeningen!$B$78</definedName>
    <definedName name="_NeoVoeding7">Berekeningen!$B$79</definedName>
    <definedName name="_NeoVoeding8">Berekeningen!$B$80</definedName>
    <definedName name="_NeoVoeding9">Berekeningen!$B$81</definedName>
    <definedName name="_NICUMix">Berekeningen!$D$43</definedName>
    <definedName name="_NICUMix1700">Berekeningen1700!$D$43</definedName>
    <definedName name="_OplHoev_1">Berekeningen!$D$20</definedName>
    <definedName name="_OplHoev_2">Berekeningen!$D$21</definedName>
    <definedName name="_OplHoev_3">Berekeningen!$D$22</definedName>
    <definedName name="_OplHoev_4">Berekeningen!$D$23</definedName>
    <definedName name="_OplHoev_5">Berekeningen!$D$24</definedName>
    <definedName name="_OplHoev_6">Berekeningen!$D$25</definedName>
    <definedName name="_OplHoev_7">Berekeningen!$D$26</definedName>
    <definedName name="_OplHoev_8">Berekeningen!$D$27</definedName>
    <definedName name="_OplHoev_9">Berekeningen!$D$28</definedName>
    <definedName name="_OplHoev1700_1">Berekeningen1700!$D$20</definedName>
    <definedName name="_OplHoev1700_2">Berekeningen1700!$D$21</definedName>
    <definedName name="_OplHoev1700_3">Berekeningen1700!$D$22</definedName>
    <definedName name="_OplHoev1700_4">Berekeningen1700!$D$23</definedName>
    <definedName name="_OplHoev1700_5">Berekeningen1700!$D$24</definedName>
    <definedName name="_OplHoev1700_6">Berekeningen1700!$D$25</definedName>
    <definedName name="_OplHoev1700_7">Berekeningen1700!$D$26</definedName>
    <definedName name="_OplHoev1700_8">Berekeningen1700!$D$27</definedName>
    <definedName name="_OplHoev1700_9">Berekeningen1700!$D$28</definedName>
    <definedName name="_Oplossing_1">Berekeningen!$E$20</definedName>
    <definedName name="_Oplossing_10">Berekeningen!$E$29</definedName>
    <definedName name="_Oplossing_11">Berekeningen!$E$30</definedName>
    <definedName name="_Oplossing_12">Berekeningen!$E$31</definedName>
    <definedName name="_Oplossing_2">Berekeningen!$E$21</definedName>
    <definedName name="_Oplossing_3">Berekeningen!$E$22</definedName>
    <definedName name="_Oplossing_4">Berekeningen!$E$23</definedName>
    <definedName name="_Oplossing_5">Berekeningen!$E$24</definedName>
    <definedName name="_Oplossing_6">Berekeningen!$E$25</definedName>
    <definedName name="_Oplossing_7">Berekeningen!$E$26</definedName>
    <definedName name="_Oplossing_8">Berekeningen!$E$27</definedName>
    <definedName name="_Oplossing_9">Berekeningen!$E$28</definedName>
    <definedName name="_Oplossing1700_1">Berekeningen1700!$E$20</definedName>
    <definedName name="_Oplossing1700_10">Berekeningen1700!$E$29</definedName>
    <definedName name="_Oplossing1700_11">Berekeningen1700!$E$30</definedName>
    <definedName name="_Oplossing1700_12">Berekeningen1700!$E$31</definedName>
    <definedName name="_Oplossing1700_2">Berekeningen1700!$E$21</definedName>
    <definedName name="_Oplossing1700_3">Berekeningen1700!$E$22</definedName>
    <definedName name="_Oplossing1700_4">Berekeningen1700!$E$23</definedName>
    <definedName name="_Oplossing1700_5">Berekeningen1700!$E$24</definedName>
    <definedName name="_Oplossing1700_6">Berekeningen1700!$E$25</definedName>
    <definedName name="_Oplossing1700_7">Berekeningen1700!$E$26</definedName>
    <definedName name="_Oplossing1700_8">Berekeningen1700!$E$27</definedName>
    <definedName name="_Oplossing1700_9">Berekeningen1700!$E$28</definedName>
    <definedName name="_Parenteraal">Berekeningen!$B$17</definedName>
    <definedName name="_Parenteraal1700">Berekeningen1700!$B$17</definedName>
    <definedName name="_PatNum">Berekeningen!$F$3</definedName>
    <definedName name="_PatNum1700">Berekeningen1700!$F$3</definedName>
    <definedName name="_Percentage_0">Berekeningen!$L$52</definedName>
    <definedName name="_Percentage_1">Berekeningen!$L$53</definedName>
    <definedName name="_Percentage_2">Berekeningen!$L$54</definedName>
    <definedName name="_Percentage_3">Berekeningen!$L$55</definedName>
    <definedName name="_Percentage_4">Berekeningen!$L$56</definedName>
    <definedName name="_Percentage_5">Berekeningen!$L$58</definedName>
    <definedName name="_Percentage_6">Berekeningen!$L$59</definedName>
    <definedName name="_Percentage_7">Berekeningen!$L$60</definedName>
    <definedName name="_Percentage_8">Berekeningen!$L$61</definedName>
    <definedName name="_Percentage1700_0">Berekeningen1700!$L$52</definedName>
    <definedName name="_Percentage1700_1">Berekeningen1700!$L$53</definedName>
    <definedName name="_Percentage1700_2">Berekeningen1700!$L$54</definedName>
    <definedName name="_Percentage1700_3">Berekeningen1700!$L$55</definedName>
    <definedName name="_Percentage1700_4">Berekeningen1700!$L$56</definedName>
    <definedName name="_Percentage1700_5">Berekeningen1700!$L$58</definedName>
    <definedName name="_Percentage1700_6">Berekeningen1700!$L$59</definedName>
    <definedName name="_Percentage1700_7">Berekeningen1700!$L$60</definedName>
    <definedName name="_Percentage1700_8">Berekeningen1700!$L$61</definedName>
    <definedName name="_PercentageKeuze_0">Berekeningen!$K$52</definedName>
    <definedName name="_PercentageKeuze_1">Berekeningen!$K$53</definedName>
    <definedName name="_PercentageKeuze_2">Berekeningen!$K$54</definedName>
    <definedName name="_PercentageKeuze_3">Berekeningen!$K$55</definedName>
    <definedName name="_PercentageKeuze_4">Berekeningen!$K$56</definedName>
    <definedName name="_PercentageKeuze_5">Berekeningen!$K$58</definedName>
    <definedName name="_PercentageKeuze_6">Berekeningen!$K$59</definedName>
    <definedName name="_PercentageKeuze_7">Berekeningen!$K$60</definedName>
    <definedName name="_PercentageKeuze_8">Berekeningen!$K$61</definedName>
    <definedName name="_PercentageKeuze1700_0">Berekeningen1700!$K$52</definedName>
    <definedName name="_PercentageKeuze1700_1">Berekeningen1700!$K$53</definedName>
    <definedName name="_PercentageKeuze1700_2">Berekeningen1700!$K$54</definedName>
    <definedName name="_PercentageKeuze1700_3">Berekeningen1700!$K$55</definedName>
    <definedName name="_PercentageKeuze1700_4">Berekeningen1700!$K$56</definedName>
    <definedName name="_PercentageKeuze1700_5">Berekeningen1700!$K$58</definedName>
    <definedName name="_PercentageKeuze1700_6">Berekeningen1700!$K$59</definedName>
    <definedName name="_PercentageKeuze1700_7">Berekeningen1700!$K$60</definedName>
    <definedName name="_PercentageKeuze1700_8">Berekeningen1700!$K$61</definedName>
    <definedName name="_Primene">Berekeningen!$D$42</definedName>
    <definedName name="_Primene1700">Berekeningen1700!$D$42</definedName>
    <definedName name="_SoluVit">Berekeningen!$D$41</definedName>
    <definedName name="_SoluVit1700">Berekeningen1700!$D$41</definedName>
    <definedName name="_SSTB">Berekeningen!$D$44</definedName>
    <definedName name="_SSTB1700">Berekeningen1700!$D$44</definedName>
    <definedName name="_Stand_1">Berekeningen!$F$20</definedName>
    <definedName name="_Stand_10">Berekeningen!$F$29</definedName>
    <definedName name="_Stand_11">Berekeningen!$F$30</definedName>
    <definedName name="_Stand_12">Berekeningen!$F$31</definedName>
    <definedName name="_Stand_2">Berekeningen!$F$21</definedName>
    <definedName name="_Stand_3">Berekeningen!$F$22</definedName>
    <definedName name="_Stand_4">Berekeningen!$F$23</definedName>
    <definedName name="_Stand_5">Berekeningen!$F$24</definedName>
    <definedName name="_Stand_6">Berekeningen!$F$25</definedName>
    <definedName name="_Stand_7">Berekeningen!$F$26</definedName>
    <definedName name="_Stand_8">Berekeningen!$F$27</definedName>
    <definedName name="_Stand_9">Berekeningen!$F$28</definedName>
    <definedName name="_Stand1700_1">Berekeningen1700!$F$20</definedName>
    <definedName name="_Stand1700_10">Berekeningen1700!$F$29</definedName>
    <definedName name="_Stand1700_11">Berekeningen1700!$F$30</definedName>
    <definedName name="_Stand1700_12">Berekeningen1700!$F$31</definedName>
    <definedName name="_Stand1700_2">Berekeningen1700!$F$21</definedName>
    <definedName name="_Stand1700_3">Berekeningen1700!$F$22</definedName>
    <definedName name="_Stand1700_4">Berekeningen1700!$F$23</definedName>
    <definedName name="_Stand1700_5">Berekeningen1700!$F$24</definedName>
    <definedName name="_Stand1700_6">Berekeningen1700!$F$25</definedName>
    <definedName name="_Stand1700_7">Berekeningen1700!$F$26</definedName>
    <definedName name="_Stand1700_8">Berekeningen1700!$F$27</definedName>
    <definedName name="_Stand1700_9">Berekeningen1700!$F$28</definedName>
    <definedName name="_Sterkte_1">Berekeningen!$C$20</definedName>
    <definedName name="_Sterkte_2">Berekeningen!$C$21</definedName>
    <definedName name="_Sterkte_3">Berekeningen!$C$22</definedName>
    <definedName name="_Sterkte_4">Berekeningen!$C$23</definedName>
    <definedName name="_Sterkte_5">Berekeningen!$C$24</definedName>
    <definedName name="_Sterkte_6">Berekeningen!$C$25</definedName>
    <definedName name="_Sterkte_7">Berekeningen!$C$26</definedName>
    <definedName name="_Sterkte_8">Berekeningen!$C$27</definedName>
    <definedName name="_Sterkte_9">Berekeningen!$C$28</definedName>
    <definedName name="_Supervisor">Berekeningen!$A$63</definedName>
    <definedName name="_Supervisor1700">Berekeningen1700!$A$63</definedName>
    <definedName name="_Toevoeging_0">Berekeningen!$B$52</definedName>
    <definedName name="_Toevoeging_1">Berekeningen!$B$53</definedName>
    <definedName name="_Toevoeging_2">Berekeningen!$B$54</definedName>
    <definedName name="_Toevoeging_3">Berekeningen!$B$55</definedName>
    <definedName name="_Toevoeging_4">Berekeningen!$B$56</definedName>
    <definedName name="_Toevoeging_5">Berekeningen!$B$58</definedName>
    <definedName name="_Toevoeging_6">Berekeningen!$B$59</definedName>
    <definedName name="_Toevoeging_7">Berekeningen!$B$60</definedName>
    <definedName name="_Toevoeging_8">Berekeningen!$B$61</definedName>
    <definedName name="_Toevoeging1700_0">Berekeningen1700!$B$52</definedName>
    <definedName name="_Toevoeging1700_1">Berekeningen1700!$B$53</definedName>
    <definedName name="_Toevoeging1700_2">Berekeningen1700!$B$54</definedName>
    <definedName name="_Toevoeging1700_3">Berekeningen1700!$B$55</definedName>
    <definedName name="_Toevoeging1700_4">Berekeningen1700!$B$56</definedName>
    <definedName name="_Toevoeging1700_5">Berekeningen1700!$B$58</definedName>
    <definedName name="_Toevoeging1700_6">Berekeningen1700!$B$59</definedName>
    <definedName name="_Toevoeging1700_7">Berekeningen1700!$B$60</definedName>
    <definedName name="_Toevoeging1700_8">Berekeningen1700!$B$61</definedName>
    <definedName name="_Voeding">Berekeningen!$D$14</definedName>
    <definedName name="_Voeding1700">Berekeningen1700!$D$14</definedName>
    <definedName name="_VoedingBMFWaarden">Lijsten!$AB$3:$AB$5</definedName>
    <definedName name="_VoedingToevoegingenBMF">Lijsten!$M$51:$Y$52</definedName>
    <definedName name="_VoedingToevoegingenKunstvoeding">Lijsten!$L$44:$Y$48</definedName>
    <definedName name="_VoedingToevoegingenMoedermelk">Lijsten!$L$33:$Y$39</definedName>
    <definedName name="_VoedingToevoegingenWaarden">Lijsten!$AC$3:$AC$13</definedName>
    <definedName name="_VoorNaam">dbBead!$E$2</definedName>
    <definedName name="_VoornaamNICU">Berekeningen!$C$1</definedName>
    <definedName name="_VoornaamNICU1700">Berekeningen1700!$C$1</definedName>
    <definedName name="_Weken">Berekeningen!$D$4</definedName>
    <definedName name="_Weken1700">Berekeningen1700!$D$4</definedName>
    <definedName name="_WerkbriefActueelIntravasaleToegangBreuk">WerkBriefActueel!$N$6</definedName>
    <definedName name="_WerkbriefActueelIntravasaleToegangGeheel">WerkBriefActueel!$M$6</definedName>
    <definedName name="_WerkbriefActueelIntravasaleToegangStand">WerkBriefActueel!$A$6</definedName>
    <definedName name="_WerkbriefActueelIntravasaleToegangTekst">WerkBriefActueel!$C$6</definedName>
    <definedName name="_WerkbriefActueelTPNCaClBreuk">WerkBriefActueel!$N$10</definedName>
    <definedName name="_WerkbriefActueelTPNCaClGeheel">WerkBriefActueel!$M$10</definedName>
    <definedName name="_WerkbriefActueelTPNCaClTekst">WerkBriefActueel!$H$10</definedName>
    <definedName name="_WerkbriefActueelTPNGlucBreuk">WerkBriefActueel!$N$16</definedName>
    <definedName name="_WerkbriefActueelTPNGlucGeheel">WerkBriefActueel!$M$16</definedName>
    <definedName name="_WerkbriefActueelTPNGlucTekst">WerkBriefActueel!$H$16</definedName>
    <definedName name="_WerkbriefActueelTPNKacetaatBreuk">WerkBriefActueel!$N$9</definedName>
    <definedName name="_WerkbriefActueelTPNKacetaatGeheel">WerkBriefActueel!$M$9</definedName>
    <definedName name="_WerkbriefActueelTPNKacetaatTekst">WerkBriefActueel!$H$9</definedName>
    <definedName name="_WerkbriefActueelTPNMgClBreuk">WerkBriefActueel!$N$11</definedName>
    <definedName name="_WerkbriefActueelTPNMgClGeheel">WerkBriefActueel!$M$11</definedName>
    <definedName name="_WerkbriefActueelTPNMgClTekst">WerkBriefActueel!$H$11</definedName>
    <definedName name="_WerkbriefActueelTPNNaClBreuk">WerkBriefActueel!$N$8</definedName>
    <definedName name="_WerkbriefActueelTPNNaClGeheel">WerkBriefActueel!$M$8</definedName>
    <definedName name="_WerkbriefActueelTPNNaCLTekst">WerkBriefActueel!$H$8</definedName>
    <definedName name="_WerkbriefActueelTPNNICUmixBreuk">WerkBriefActueel!$N$14</definedName>
    <definedName name="_WerkbriefActueelTPNNICUmixGeheel">WerkBriefActueel!$M$14</definedName>
    <definedName name="_WerkbriefActueelTPNNICUmixTekst">WerkBriefActueel!$H$14</definedName>
    <definedName name="_WerkbriefActueelTPNPrimeneBreuk">WerkBriefActueel!$N$13</definedName>
    <definedName name="_WerkbriefActueelTPNPrimeneGeheel">WerkBriefActueel!$M$13</definedName>
    <definedName name="_WerkbriefActueelTPNPrimeneTekst">WerkBriefActueel!$H$13</definedName>
    <definedName name="_WerkbriefActueelTPNSamBBreuk">WerkBriefActueel!$N$15</definedName>
    <definedName name="_WerkbriefActueelTPNSamBGeheel">WerkBriefActueel!$M$15</definedName>
    <definedName name="_WerkbriefActueelTPNSamBTekst">WerkBriefActueel!$H$15</definedName>
    <definedName name="_WerkbriefActueelTPNSoluvitBreuk">WerkBriefActueel!$N$12</definedName>
    <definedName name="_WerkbriefActueelTPNSoluvitGeheel">WerkBriefActueel!$M$12</definedName>
    <definedName name="_WerkbriefActueelTPNSoluvitTekst">WerkBriefActueel!$H$12</definedName>
    <definedName name="_WerkbriefActueelTPNStand">WerkBriefActueel!$A$8</definedName>
    <definedName name="_WerkbriefActueelTPNTotaalBreuk">WerkBriefActueel!$N$17</definedName>
    <definedName name="_WerkbriefActueelTPNTotaalGeheel">WerkBriefActueel!$M$17</definedName>
    <definedName name="_WerkbriefIntravasaleToegangBreuk">WerkBrief!$N$6</definedName>
    <definedName name="_WerkbriefIntravasaleToegangGeheel">WerkBrief!$M$6</definedName>
    <definedName name="_WerkbriefIntravasaleToegangStand">WerkBrief!$A$6</definedName>
    <definedName name="_WerkbriefIntravasaleToegangTekst">WerkBrief!$C$6</definedName>
    <definedName name="_WerkbriefTPNCaClBreuk">WerkBrief!$N$10</definedName>
    <definedName name="_WerkbriefTPNCaClGeheel">WerkBrief!$M$10</definedName>
    <definedName name="_WerkbriefTPNCaClTekst">WerkBrief!$H$10</definedName>
    <definedName name="_WerkbriefTPNGlucBreuk">WerkBrief!$N$16</definedName>
    <definedName name="_WerkbriefTPNGlucGeheel">WerkBrief!$M$16</definedName>
    <definedName name="_WerkbriefTPNGlucTekst">WerkBrief!$H$16</definedName>
    <definedName name="_WerkbriefTPNKacetaatBreuk">WerkBrief!$N$9</definedName>
    <definedName name="_WerkbriefTPNKacetaatGeheel">WerkBrief!$M$9</definedName>
    <definedName name="_WerkbriefTPNKacetaatTekst">WerkBrief!$H$9</definedName>
    <definedName name="_WerkbriefTPNMgClBreuk">WerkBrief!$N$11</definedName>
    <definedName name="_WerkbriefTPNMgClGeheel">WerkBrief!$M$11</definedName>
    <definedName name="_WerkbriefTPNMgClTekst">WerkBrief!$H$11</definedName>
    <definedName name="_WerkbriefTPNNaClBreuk">WerkBrief!$N$8</definedName>
    <definedName name="_WerkbriefTPNNaClGeheel">WerkBrief!$M$8</definedName>
    <definedName name="_WerkbriefTPNNaCLTekst">WerkBrief!$H$8</definedName>
    <definedName name="_WerkbriefTPNNICUmixBreuk">WerkBrief!$N$14</definedName>
    <definedName name="_WerkbriefTPNNICUmixGeheel">WerkBrief!$M$14</definedName>
    <definedName name="_WerkbriefTPNNICUmixTekst">WerkBrief!$H$14</definedName>
    <definedName name="_WerkbriefTPNPrimeneBreuk">WerkBrief!$N$13</definedName>
    <definedName name="_WerkbriefTPNPrimeneGeheel">WerkBrief!$M$13</definedName>
    <definedName name="_WerkbriefTPNPrimeneTekst">WerkBrief!$H$13</definedName>
    <definedName name="_WerkbriefTPNSamBBreuk">WerkBrief!$N$15</definedName>
    <definedName name="_WerkbriefTPNSamBGeheel">WerkBrief!$M$15</definedName>
    <definedName name="_WerkbriefTPNSamBTekst">WerkBrief!$H$15</definedName>
    <definedName name="_WerkbriefTPNSoluvitBreuk">WerkBrief!$N$12</definedName>
    <definedName name="_WerkbriefTPNSoluvitGeheel">WerkBrief!$M$12</definedName>
    <definedName name="_WerkbriefTPNSoluvitTekst">WerkBrief!$H$12</definedName>
    <definedName name="_WerkbriefTPNStand">WerkBrief!$A$8</definedName>
    <definedName name="_WerkbriefTPNTotaalBreuk">WerkBrief!$N$17</definedName>
    <definedName name="_WerkbriefTPNTotaalGeheel">WerkBrief!$M$17</definedName>
    <definedName name="Aanvullend_aEEG">tblAanvullendeAfspraken!$A$2:$A$5</definedName>
    <definedName name="Aanvullend_LiquorDrainSub1">tblAanvullendeAfspraken!$J$2:$J$5</definedName>
    <definedName name="Aanvullend_NIBD">tblAanvullendeAfspraken!$E$2:$E$6</definedName>
    <definedName name="Aanvullend_Overige_Ped">ber_AanvullendeAfsprakenPed!$F$17</definedName>
    <definedName name="Aanvullend_PerPeriode">tblAanvullendeAfspraken!$I$2:$I$5</definedName>
    <definedName name="Aanvullend_ThoraxDrainSub1">tblAanvullendeAfspraken!$B$2:$B$8</definedName>
    <definedName name="Aanvullend_ThoraxDrainSub2">tblAanvullendeAfspraken!$C$2:$C$6</definedName>
    <definedName name="Aanvullend_ThoraxDrainSub3">tblAanvullendeAfspraken!$D$2:$D$5</definedName>
    <definedName name="Aanvullend_Verliezen_Ped">ber_AanvullendeAfsprakenPed!$H$18</definedName>
    <definedName name="Aanvullend_Vertrektijden">tblAanvullendeAfspraken!$G$2:$H$98</definedName>
    <definedName name="Aanvullend_Verwijderen">tblAanvullendeAfspraken!$F$2:$F$6</definedName>
    <definedName name="Aanvullend_WondkweekTekst">ber_AanvullendeAfsprakenNeo!$G$31</definedName>
    <definedName name="AanvullendNeoBool_aEEG">ber_AanvullendeAfsprakenNeo!$B$22</definedName>
    <definedName name="AanvullendNeoBool_ArmLinks">ber_AanvullendeAfsprakenNeo!$D$11</definedName>
    <definedName name="AanvullendNeoBool_ArmRechts">ber_AanvullendeAfsprakenNeo!$D$12</definedName>
    <definedName name="AanvullendNeoBool_BeenLinks">ber_AanvullendeAfsprakenNeo!$D$13</definedName>
    <definedName name="AanvullendNeoBool_BeenRechts">ber_AanvullendeAfsprakenNeo!$D$14</definedName>
    <definedName name="AanvullendNeoBool_Bloedkweek">ber_AanvullendeAfsprakenNeo!$F$7</definedName>
    <definedName name="AanvullendNeoBool_CatheterDemeure">ber_AanvullendeAfsprakenNeo!$J$7</definedName>
    <definedName name="AanvullendNeoBool_CT">ber_AanvullendeAfsprakenNeo!$B$23</definedName>
    <definedName name="AanvullendNeoBool_ECG">ber_AanvullendeAfsprakenNeo!$B$24</definedName>
    <definedName name="AanvullendNeoBool_EchoBuik">ber_AanvullendeAfsprakenNeo!$B$25</definedName>
    <definedName name="AanvullendNeoBool_EchoHart">ber_AanvullendeAfsprakenNeo!$B$26</definedName>
    <definedName name="AanvullendNeoBool_FaecesBacterieel">ber_AanvullendeAfsprakenNeo!$H$8</definedName>
    <definedName name="AanvullendNeoBool_Faeceskweek">ber_AanvullendeAfsprakenNeo!$F$8</definedName>
    <definedName name="AanvullendNeoBool_FaecesRotaAdeno">ber_AanvullendeAfsprakenNeo!$H$9</definedName>
    <definedName name="AanvullendNeoBool_FaecesSchimmelGist">ber_AanvullendeAfsprakenNeo!$H$10</definedName>
    <definedName name="AanvullendNeoBool_FaecesViraal">ber_AanvullendeAfsprakenNeo!$H$11</definedName>
    <definedName name="AanvullendNeoBool_Finnigan">ber_AanvullendeAfsprakenNeo!$B$7</definedName>
    <definedName name="AanvullendNeoBool_Fototherapie">ber_AanvullendeAfsprakenNeo!$J$29</definedName>
    <definedName name="AanvullendNeoBool_FototherapieStop">ber_AanvullendeAfsprakenNeo!$J$8</definedName>
    <definedName name="AanvullendNeoBool_Gatrostoma">ber_AanvullendeAfsprakenNeo!$J$9</definedName>
    <definedName name="AanvullendNeoBool_Gewicht">ber_AanvullendeAfsprakenNeo!$B$8</definedName>
    <definedName name="AanvullendNeoBool_InfuusOpSlot">ber_AanvullendeAfsprakenNeo!$J$10</definedName>
    <definedName name="AanvullendNeoBool_InfuusUit">ber_AanvullendeAfsprakenNeo!$J$11</definedName>
    <definedName name="AanvullendNeoBool_Keelkweek">ber_AanvullendeAfsprakenNeo!$F$12</definedName>
    <definedName name="AanvullendNeoBool_Lengte">ber_AanvullendeAfsprakenNeo!$B$9</definedName>
    <definedName name="AanvullendNeoBool_Liquor">ber_AanvullendeAfsprakenNeo!$B$46</definedName>
    <definedName name="AanvullendNeoBool_MaagsondeOpenHoog">ber_AanvullendeAfsprakenNeo!$J$12</definedName>
    <definedName name="AanvullendNeoBool_Monitor">ber_AanvullendeAfsprakenNeo!$B$10</definedName>
    <definedName name="AanvullendNeoBool_MRI">ber_AanvullendeAfsprakenNeo!$B$27</definedName>
    <definedName name="AanvullendNeoBool_Neusspoelsel">ber_AanvullendeAfsprakenNeo!$F$13</definedName>
    <definedName name="AanvullendNeoBool_NeusspoelselViraal">ber_AanvullendeAfsprakenNeo!$H$13</definedName>
    <definedName name="AanvullendNeoBool_NIBD">ber_AanvullendeAfsprakenNeo!$B$11</definedName>
    <definedName name="AanvullendNeoBool_NIBDAll">ber_AanvullendeAfsprakenNeo!$B$15</definedName>
    <definedName name="AanvullendNeoBool_NIRS1">ber_AanvullendeAfsprakenNeo!$B$28</definedName>
    <definedName name="AanvullendNeoBool_NIRS2">ber_AanvullendeAfsprakenNeo!$B$29</definedName>
    <definedName name="AanvullendNeoBool_NIRSnier">ber_AanvullendeAfsprakenNeo!$B$30</definedName>
    <definedName name="AanvullendNeoBool_OntslagAkkoord">ber_AanvullendeAfsprakenNeo!$J$15</definedName>
    <definedName name="AanvullendNeoBool_OntslagInOverleg">ber_AanvullendeAfsprakenNeo!$J$13</definedName>
    <definedName name="AanvullendNeoBool_OntslagNaVisite">ber_AanvullendeAfsprakenNeo!$J$14</definedName>
    <definedName name="AanvullendNeoBool_Opnamekweken">ber_AanvullendeAfsprakenNeo!$F$14</definedName>
    <definedName name="AanvullendNeoBool_OppervlakteGistSchimmel">ber_AanvullendeAfsprakenNeo!$H$16</definedName>
    <definedName name="AanvullendNeoBool_Oppervlaktekweken">ber_AanvullendeAfsprakenNeo!$F$15</definedName>
    <definedName name="AanvullendNeoBool_OppervlakteOpname">ber_AanvullendeAfsprakenNeo!$H$15</definedName>
    <definedName name="AanvullendNeoBool_Pacemakerdraden">ber_AanvullendeAfsprakenNeo!$J$16</definedName>
    <definedName name="AanvullendNeoBool_Peritoneaal">ber_AanvullendeAfsprakenNeo!$B$43</definedName>
    <definedName name="AanvullendNeoBool_PeritoneaalVacuum">ber_AanvullendeAfsprakenNeo!$D$43</definedName>
    <definedName name="AanvullendNeoBool_Pigtail">ber_AanvullendeAfsprakenNeo!$B$44</definedName>
    <definedName name="AanvullendNeoBool_PigtailVacuum">ber_AanvullendeAfsprakenNeo!$D$44</definedName>
    <definedName name="AanvullendNeoBool_Redon">ber_AanvullendeAfsprakenNeo!$B$45</definedName>
    <definedName name="AanvullendNeoBool_RedonVacuum">ber_AanvullendeAfsprakenNeo!$D$45</definedName>
    <definedName name="AanvullendNeoBool_Rickham">ber_AanvullendeAfsprakenNeo!$J$17</definedName>
    <definedName name="AanvullendNeoBool_RS">ber_AanvullendeAfsprakenNeo!$J$18</definedName>
    <definedName name="AanvullendNeoBool_RSdiagnostiek">ber_AanvullendeAfsprakenNeo!$F$17</definedName>
    <definedName name="AanvullendNeoBool_SaturatiePost">ber_AanvullendeAfsprakenNeo!$B$16</definedName>
    <definedName name="AanvullendNeoBool_SaturatiePre">ber_AanvullendeAfsprakenNeo!$B$17</definedName>
    <definedName name="AanvullendNeoBool_Schedel">ber_AanvullendeAfsprakenNeo!$B$18</definedName>
    <definedName name="AanvullendNeoBool_SputumBacterieel">ber_AanvullendeAfsprakenNeo!$H$18</definedName>
    <definedName name="AanvullendNeoBool_Sputumkweek">ber_AanvullendeAfsprakenNeo!$F$18</definedName>
    <definedName name="AanvullendNeoBool_SputumUreaplasmaMycoplasma">ber_AanvullendeAfsprakenNeo!$H$19</definedName>
    <definedName name="AanvullendNeoBool_SputumViraal">ber_AanvullendeAfsprakenNeo!$H$20</definedName>
    <definedName name="AanvullendNeoBool_Thorax1">ber_AanvullendeAfsprakenNeo!$B$34</definedName>
    <definedName name="AanvullendNeoBool_Thorax2">ber_AanvullendeAfsprakenNeo!$B$37</definedName>
    <definedName name="AanvullendNeoBool_Thorax3">ber_AanvullendeAfsprakenNeo!$B$40</definedName>
    <definedName name="AanvullendNeoBool_Uitzuigkweek">ber_AanvullendeAfsprakenNeo!$F$21</definedName>
    <definedName name="AanvullendNeoBool_Urine">ber_AanvullendeAfsprakenNeo!$F$23</definedName>
    <definedName name="AanvullendNeoBool_Urine24uur">ber_AanvullendeAfsprakenNeo!$H$27</definedName>
    <definedName name="AanvullendNeoBool_UrineCMV">ber_AanvullendeAfsprakenNeo!$H$28</definedName>
    <definedName name="AanvullendNeoBool_Urinekweek">ber_AanvullendeAfsprakenNeo!$F$22</definedName>
    <definedName name="AanvullendNeoBool_UrinekweekBacterieel">ber_AanvullendeAfsprakenNeo!$H$22</definedName>
    <definedName name="AanvullendNeoBool_UrineMetabool">ber_AanvullendeAfsprakenNeo!$H$29</definedName>
    <definedName name="AanvullendNeoBool_UrineNatriumKalium">ber_AanvullendeAfsprakenNeo!$H$23</definedName>
    <definedName name="AanvullendNeoBool_UrineRchitis">ber_AanvullendeAfsprakenNeo!$H$30</definedName>
    <definedName name="AanvullendNeoBool_UrineSediment">ber_AanvullendeAfsprakenNeo!$H$24</definedName>
    <definedName name="AanvullendNeoBool_UrineSedimentKweek">ber_AanvullendeAfsprakenNeo!$H$25</definedName>
    <definedName name="AanvullendNeoBool_UrineSedimentMaWoVr">ber_AanvullendeAfsprakenNeo!$H$26</definedName>
    <definedName name="AanvullendNeoBool_Urostoma">ber_AanvullendeAfsprakenNeo!$J$19</definedName>
    <definedName name="AanvullendNeoBool_Verliezen">ber_AanvullendeAfsprakenNeo!$J$20</definedName>
    <definedName name="AanvullendNeoBool_VerliezenFFP">ber_AanvullendeAfsprakenNeo!$L$23</definedName>
    <definedName name="AanvullendNeoBool_VerliezenNaCl">ber_AanvullendeAfsprakenNeo!$L$22</definedName>
    <definedName name="AanvullendNeoBool_VerliezenRingerslactaat">ber_AanvullendeAfsprakenNeo!$L$21</definedName>
    <definedName name="AanvullendNeoBool_Verwijderen">ber_AanvullendeAfsprakenNeo!$J$24</definedName>
    <definedName name="AanvullendNeoBool_VerwijderenCAD">ber_AanvullendeAfsprakenNeo!$L$24</definedName>
    <definedName name="AanvullendNeoBool_VerwijderenNVL">ber_AanvullendeAfsprakenNeo!$L$25</definedName>
    <definedName name="AanvullendNeoBool_VerwijderenPAL">ber_AanvullendeAfsprakenNeo!$L$26</definedName>
    <definedName name="AanvullendNeoBool_VerwijderenSilastic">ber_AanvullendeAfsprakenNeo!$L$27</definedName>
    <definedName name="AanvullendNeoBool_Vochtbalans">ber_AanvullendeAfsprakenNeo!$B$19</definedName>
    <definedName name="AanvullendNeoBool_XBOZ">ber_AanvullendeAfsprakenNeo!$B$31</definedName>
    <definedName name="AanvullendNeoBool_XThorax">ber_AanvullendeAfsprakenNeo!$B$32</definedName>
    <definedName name="AanvullendNeoData_AantalLampen">ber_AanvullendeAfsprakenNeo!$K$29</definedName>
    <definedName name="AanvullendNeoData_aEEG">ber_AanvullendeAfsprakenNeo!$D$22</definedName>
    <definedName name="AanvullendNeoData_GewichtFrequentie">ber_AanvullendeAfsprakenNeo!$C$8</definedName>
    <definedName name="AanvullendNeoData_GewichtPer">ber_AanvullendeAfsprakenNeo!$D$8</definedName>
    <definedName name="AanvullendNeoData_LengteFrequentie">ber_AanvullendeAfsprakenNeo!$C$9</definedName>
    <definedName name="AanvullendNeoData_LengtePer">ber_AanvullendeAfsprakenNeo!$D$9</definedName>
    <definedName name="AanvullendNeoData_LiquorHoogte">ber_AanvullendeAfsprakenNeo!$D$47</definedName>
    <definedName name="AanvullendNeoData_LiquorSub">ber_AanvullendeAfsprakenNeo!$D$46</definedName>
    <definedName name="AanvullendNeoData_NIBDdd">ber_AanvullendeAfsprakenNeo!$B$12</definedName>
    <definedName name="AanvullendNeoData_Rickhamdd">ber_AanvullendeAfsprakenNeo!$K$17</definedName>
    <definedName name="AanvullendNeoData_Rickhamml">ber_AanvullendeAfsprakenNeo!$L$17</definedName>
    <definedName name="AanvullendNeoData_SchedelFrequentie">ber_AanvullendeAfsprakenNeo!$C$18</definedName>
    <definedName name="AanvullendNeoData_SchedelPer">ber_AanvullendeAfsprakenNeo!$D$18</definedName>
    <definedName name="AanvullendNeoData_Thorax1Sub1">ber_AanvullendeAfsprakenNeo!$D$36</definedName>
    <definedName name="AanvullendNeoData_Thorax1Sub2">ber_AanvullendeAfsprakenNeo!$D$34</definedName>
    <definedName name="AanvullendNeoData_Thorax1Sub3">ber_AanvullendeAfsprakenNeo!$D$35</definedName>
    <definedName name="AanvullendNeoData_Thorax2Sub1">ber_AanvullendeAfsprakenNeo!$D$39</definedName>
    <definedName name="AanvullendNeoData_Thorax2Sub2">ber_AanvullendeAfsprakenNeo!$D$37</definedName>
    <definedName name="AanvullendNeoData_Thorax2Sub3">ber_AanvullendeAfsprakenNeo!$D$38</definedName>
    <definedName name="AanvullendNeoData_Thorax3Sub1">ber_AanvullendeAfsprakenNeo!$D$42</definedName>
    <definedName name="AanvullendNeoData_Thorax3Sub2">ber_AanvullendeAfsprakenNeo!$D$40</definedName>
    <definedName name="AanvullendNeoData_Thorax3Sub3">ber_AanvullendeAfsprakenNeo!$D$41</definedName>
    <definedName name="AanvullendNeoData_VerliezenFrequentie">ber_AanvullendeAfsprakenNeo!$K$20</definedName>
    <definedName name="AanvullendNeoData_Vertrek">ber_AanvullendeAfsprakenNeo!$D$27</definedName>
    <definedName name="AanvullendNeoData_Wondkweek">ber_AanvullendeAfsprakenNeo!$G$31</definedName>
    <definedName name="AanvullendPedBool_ArmLinks">ber_AanvullendeAfsprakenPed!$D$11</definedName>
    <definedName name="AanvullendPedBool_ArmRechts">ber_AanvullendeAfsprakenPed!$D$12</definedName>
    <definedName name="AanvullendPedBool_BeenLinks">ber_AanvullendeAfsprakenPed!$D$13</definedName>
    <definedName name="AanvullendPedBool_BeenRechts">ber_AanvullendeAfsprakenPed!$D$14</definedName>
    <definedName name="AanvullendPedBool_Buik">ber_AanvullendeAfsprakenPed!$B$10</definedName>
    <definedName name="AanvullendPedBool_Catheter">ber_AanvullendeAfsprakenPed!$F$7</definedName>
    <definedName name="AanvullendPedBool_CFM">ber_AanvullendeAfsprakenPed!$B$20</definedName>
    <definedName name="AanvullendPedBool_Duodenumsonde">ber_AanvullendeAfsprakenPed!$F$10</definedName>
    <definedName name="AanvullendPedBool_ECG">ber_AanvullendeAfsprakenPed!$B$21</definedName>
    <definedName name="AanvullendPedBool_Gastrostoma">ber_AanvullendeAfsprakenPed!$F$12</definedName>
    <definedName name="AanvullendPedBool_GCS">ber_AanvullendeAfsprakenPed!$B$42</definedName>
    <definedName name="AanvullendPedBool_Gewicht">ber_AanvullendeAfsprakenPed!$B$7</definedName>
    <definedName name="AanvullendPedBool_HardeKraag">ber_AanvullendeAfsprakenPed!$F$15</definedName>
    <definedName name="AanvullendPedBool_Headblocks">ber_AanvullendeAfsprakenPed!$F$13</definedName>
    <definedName name="AanvullendPedBool_ICP">ber_AanvullendeAfsprakenPed!$B$24</definedName>
    <definedName name="AanvullendPedBool_Lengte">ber_AanvullendeAfsprakenPed!$B$8</definedName>
    <definedName name="AanvullendPedBool_Liquor">ber_AanvullendeAfsprakenPed!$B$39</definedName>
    <definedName name="AanvullendPedBool_Maagretentie">ber_AanvullendeAfsprakenPed!$F$16</definedName>
    <definedName name="AanvullendPedBool_Maagsonde">ber_AanvullendeAfsprakenPed!$F$9</definedName>
    <definedName name="AanvullendPedBool_NIBD">ber_AanvullendeAfsprakenPed!$B$11</definedName>
    <definedName name="AanvullendPedBool_NIBDAlle">ber_AanvullendeAfsprakenPed!$B$15</definedName>
    <definedName name="AanvullendPedBool_NIRS1">ber_AanvullendeAfsprakenPed!$B$22</definedName>
    <definedName name="AanvullendPedBool_NIRS2">ber_AanvullendeAfsprakenPed!$B$23</definedName>
    <definedName name="AanvullendPedBool_PEG">ber_AanvullendeAfsprakenPed!$F$11</definedName>
    <definedName name="AanvullendPedBool_Peritoneaal">ber_AanvullendeAfsprakenPed!$B$36</definedName>
    <definedName name="AanvullendPedBool_PeritoneaalVacuum">ber_AanvullendeAfsprakenPed!$D$36</definedName>
    <definedName name="AanvullendPedBool_Pigtail">ber_AanvullendeAfsprakenPed!$B$37</definedName>
    <definedName name="AanvullendPedBool_PigtailVacuum">ber_AanvullendeAfsprakenPed!$D$37</definedName>
    <definedName name="AanvullendPedBool_Pupil">ber_AanvullendeAfsprakenPed!$B$43</definedName>
    <definedName name="AanvullendPedBool_Redon">ber_AanvullendeAfsprakenPed!$B$38</definedName>
    <definedName name="AanvullendPedBool_RedonVacuum">ber_AanvullendeAfsprakenPed!$D$38</definedName>
    <definedName name="AanvullendPedBool_SaturatiePost">ber_AanvullendeAfsprakenPed!$B$16</definedName>
    <definedName name="AanvullendPedBool_SaturatiePre">ber_AanvullendeAfsprakenPed!$B$17</definedName>
    <definedName name="AanvullendPedBool_Schedel">ber_AanvullendeAfsprakenPed!$B$9</definedName>
    <definedName name="AanvullendPedBool_Sedatie">ber_AanvullendeAfsprakenPed!$B$44</definedName>
    <definedName name="AanvullendPedBool_Thorax1">ber_AanvullendeAfsprakenPed!$B$27</definedName>
    <definedName name="AanvullendPedBool_Thorax2">ber_AanvullendeAfsprakenPed!$B$30</definedName>
    <definedName name="AanvullendPedBool_Thorax3">ber_AanvullendeAfsprakenPed!$B$33</definedName>
    <definedName name="AanvullendPedBool_TOSCA">ber_AanvullendeAfsprakenPed!$B$25</definedName>
    <definedName name="AanvullendPedBool_Urostoma">ber_AanvullendeAfsprakenPed!$F$8</definedName>
    <definedName name="AanvullendPedBool_Verliezen">ber_AanvullendeAfsprakenPed!$F$18</definedName>
    <definedName name="AanvullendPedBool_ZachteKraag">ber_AanvullendeAfsprakenPed!$F$14</definedName>
    <definedName name="AanvullendPedData_GCSdd">ber_AanvullendeAfsprakenPed!$C$42</definedName>
    <definedName name="AanvullendPedData_GewichtFrequentie">ber_AanvullendeAfsprakenPed!$C$7</definedName>
    <definedName name="AanvullendPedData_GewichtPer">ber_AanvullendeAfsprakenPed!$D$7</definedName>
    <definedName name="AanvullendPedData_LengteFrequentie">ber_AanvullendeAfsprakenPed!$C$8</definedName>
    <definedName name="AanvullendPedData_LengtePer">ber_AanvullendeAfsprakenPed!$D$8</definedName>
    <definedName name="AanvullendPedData_LiquorHoogte">ber_AanvullendeAfsprakenPed!$D$40</definedName>
    <definedName name="AanvullendPedData_LiquorSub">ber_AanvullendeAfsprakenPed!$D$39</definedName>
    <definedName name="AanvullendPedData_MaagretentieUur">ber_AanvullendeAfsprakenPed!$G$16</definedName>
    <definedName name="AanvullendPedData_NIBDdd">ber_AanvullendeAfsprakenPed!$B$12</definedName>
    <definedName name="AanvullendPedData_Overig">ber_AanvullendeAfsprakenPed!$F$17</definedName>
    <definedName name="AanvullendPedData_SchedelFrequentie">ber_AanvullendeAfsprakenPed!$C$9</definedName>
    <definedName name="AanvullendPedData_SchedelPer">ber_AanvullendeAfsprakenPed!$D$9</definedName>
    <definedName name="AanvullendPedData_Thorax1Sub1">ber_AanvullendeAfsprakenPed!$D$29</definedName>
    <definedName name="AanvullendPedData_Thorax1Sub2">ber_AanvullendeAfsprakenPed!$D$27</definedName>
    <definedName name="AanvullendPedData_Thorax1Sub3">ber_AanvullendeAfsprakenPed!$D$28</definedName>
    <definedName name="AanvullendPedData_Thorax2Sub1">ber_AanvullendeAfsprakenPed!$D$32</definedName>
    <definedName name="AanvullendPedData_Thorax2Sub2">ber_AanvullendeAfsprakenPed!$D$30</definedName>
    <definedName name="AanvullendPedData_Thorax2Sub3">ber_AanvullendeAfsprakenPed!$D$31</definedName>
    <definedName name="AanvullendPedData_Thorax3Sub1">ber_AanvullendeAfsprakenPed!$D$35</definedName>
    <definedName name="AanvullendPedData_Thorax3Sub2">ber_AanvullendeAfsprakenPed!$D$33</definedName>
    <definedName name="AanvullendPedData_Thorax3Sub3">ber_AanvullendeAfsprakenPed!$D$34</definedName>
    <definedName name="AanvullendPedData_VerliezenStof">ber_AanvullendeAfsprakenPed!$H$18</definedName>
    <definedName name="AanvullendPedData_VerliezenUur">ber_AanvullendeAfsprakenPed!$G$18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ber_Infusen!$E$8</definedName>
    <definedName name="Dag">Berekeningen!$B$6</definedName>
    <definedName name="dbPatientSave">Patienten!$A$1:$B$713</definedName>
    <definedName name="Dos">Lijsten!$J$3:$K$11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21">ber_Med_disc!$G$22</definedName>
    <definedName name="DosHoev_22">ber_Med_disc!$G$23</definedName>
    <definedName name="DosHoev_23">ber_Med_disc!$G$24</definedName>
    <definedName name="DosHoev_24">ber_Med_disc!$G$25</definedName>
    <definedName name="DosHoev_25">ber_Med_disc!$G$26</definedName>
    <definedName name="DosHoev_26">ber_Med_disc!$G$27</definedName>
    <definedName name="DosHoev_27">ber_Med_disc!$G$28</definedName>
    <definedName name="DosHoev_28">ber_Med_disc!$G$29</definedName>
    <definedName name="DosHoev_29">ber_Med_disc!$G$30</definedName>
    <definedName name="DosHoev_3">ber_Med_disc!$G$4</definedName>
    <definedName name="DosHoev_30">ber_Med_disc!$G$31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21">ber_Med_disc!$F$22</definedName>
    <definedName name="Eenheid_22">ber_Med_disc!$F$23</definedName>
    <definedName name="Eenheid_23">ber_Med_disc!$F$24</definedName>
    <definedName name="Eenheid_24">ber_Med_disc!$F$25</definedName>
    <definedName name="Eenheid_25">ber_Med_disc!$F$26</definedName>
    <definedName name="Eenheid_26">ber_Med_disc!$F$27</definedName>
    <definedName name="Eenheid_27">ber_Med_disc!$F$28</definedName>
    <definedName name="Eenheid_28">ber_Med_disc!$F$29</definedName>
    <definedName name="Eenheid_29">ber_Med_disc!$F$30</definedName>
    <definedName name="Eenheid_3">ber_Med_disc!$F$4</definedName>
    <definedName name="Eenheid_30">ber_Med_disc!$F$31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aktorLijst">Lijsten!$K$3:$K$8</definedName>
    <definedName name="FreqPO_1">ber_PO!$J$2</definedName>
    <definedName name="FreqPO_2">ber_PO!$J$3</definedName>
    <definedName name="FreqPO_3">ber_PO!$J$4</definedName>
    <definedName name="FreqPO_4">ber_PO!$J$5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21">ber_Med_disc!$D$22</definedName>
    <definedName name="Generic_22">ber_Med_disc!$D$23</definedName>
    <definedName name="Generic_23">ber_Med_disc!$D$24</definedName>
    <definedName name="Generic_24">ber_Med_disc!$D$25</definedName>
    <definedName name="Generic_25">ber_Med_disc!$D$26</definedName>
    <definedName name="Generic_26">ber_Med_disc!$D$27</definedName>
    <definedName name="Generic_27">ber_Med_disc!$D$28</definedName>
    <definedName name="Generic_28">ber_Med_disc!$D$29</definedName>
    <definedName name="Generic_29">ber_Med_disc!$D$30</definedName>
    <definedName name="Generic_3">ber_Med_disc!$D$4</definedName>
    <definedName name="Generic_30">ber_Med_disc!$D$31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dicatie_1">ber_Med_disc!$B$2</definedName>
    <definedName name="Indicatie_10">ber_Med_disc!$B$11</definedName>
    <definedName name="Indicatie_11">ber_Med_disc!$B$12</definedName>
    <definedName name="Indicatie_12">ber_Med_disc!$B$13</definedName>
    <definedName name="Indicatie_13">ber_Med_disc!$B$14</definedName>
    <definedName name="Indicatie_14">ber_Med_disc!$B$15</definedName>
    <definedName name="Indicatie_15">ber_Med_disc!$B$16</definedName>
    <definedName name="Indicatie_16">ber_Med_disc!$B$17</definedName>
    <definedName name="Indicatie_17">ber_Med_disc!$B$18</definedName>
    <definedName name="Indicatie_18">ber_Med_disc!$B$19</definedName>
    <definedName name="Indicatie_19">ber_Med_disc!$B$20</definedName>
    <definedName name="Indicatie_2">ber_Med_disc!$B$3</definedName>
    <definedName name="Indicatie_20">ber_Med_disc!$B$21</definedName>
    <definedName name="Indicatie_21">ber_Med_disc!$B$22</definedName>
    <definedName name="Indicatie_22">ber_Med_disc!$B$23</definedName>
    <definedName name="Indicatie_23">ber_Med_disc!$B$24</definedName>
    <definedName name="Indicatie_24">ber_Med_disc!$B$25</definedName>
    <definedName name="Indicatie_25">ber_Med_disc!$B$26</definedName>
    <definedName name="Indicatie_26">ber_Med_disc!$B$27</definedName>
    <definedName name="Indicatie_27">ber_Med_disc!$B$28</definedName>
    <definedName name="Indicatie_28">ber_Med_disc!$B$29</definedName>
    <definedName name="Indicatie_29">ber_Med_disc!$B$30</definedName>
    <definedName name="Indicatie_3">ber_Med_disc!$B$4</definedName>
    <definedName name="Indicatie_30">ber_Med_disc!$B$31</definedName>
    <definedName name="Indicatie_4">ber_Med_disc!$B$5</definedName>
    <definedName name="Indicatie_5">ber_Med_disc!$B$6</definedName>
    <definedName name="Indicatie_6">ber_Med_disc!$B$7</definedName>
    <definedName name="Indicatie_7">ber_Med_disc!$B$8</definedName>
    <definedName name="Indicatie_8">ber_Med_disc!$B$9</definedName>
    <definedName name="Indicatie_9">ber_Med_disc!$B$10</definedName>
    <definedName name="Infuus_1">ber_Infusen!$B$2</definedName>
    <definedName name="Infuus_2">ber_Infusen!$B$3</definedName>
    <definedName name="Infuus_3">ber_Infusen!$B$4</definedName>
    <definedName name="Infuus_4">ber_Infusen!$B$5</definedName>
    <definedName name="Infuus_5">ber_Infusen!$B$6</definedName>
    <definedName name="Infuus_6">ber_Infusen!$B$7</definedName>
    <definedName name="KCl">ber_TPN!$C$8</definedName>
    <definedName name="KCl_2">ber_TPN!$C$22</definedName>
    <definedName name="KClVol">ber_TPN!$E$8</definedName>
    <definedName name="KClVol_2">ber_TPN!$E$22</definedName>
    <definedName name="KeuzePO_1">ber_PO!$N$2</definedName>
    <definedName name="KeuzePO_2">ber_PO!$N$3</definedName>
    <definedName name="KeuzePO_3">ber_PO!$N$4</definedName>
    <definedName name="KeuzePO_4">ber_PO!$N$5</definedName>
    <definedName name="KNaFosfaat">ber_TPN!$C$11</definedName>
    <definedName name="KNaFosfaatVol">ber_TPN!$E$11</definedName>
    <definedName name="Lab_Data">Ber_Lab!$C$4:$C$35,Ber_Lab!$E$4:$E$34,Ber_Lab!$G$4:$G$34,Ber_Lab!$I$4:$I$34,Ber_Lab!$L$4:$L$34,Ber_Lab!$N$4:$N$34,Ber_Lab!$P$4:$P$34</definedName>
    <definedName name="Lab14_1">Ber_Lab!$E$4</definedName>
    <definedName name="Lab14_10">Ber_Lab!$E$13</definedName>
    <definedName name="Lab14_11">Ber_Lab!$E$14</definedName>
    <definedName name="Lab14_12">Ber_Lab!$E$15</definedName>
    <definedName name="Lab14_13">Ber_Lab!$E$16</definedName>
    <definedName name="Lab14_14">Ber_Lab!$E$17</definedName>
    <definedName name="Lab14_15">Ber_Lab!$E$18</definedName>
    <definedName name="Lab14_16">Ber_Lab!$E$19</definedName>
    <definedName name="Lab14_17">Ber_Lab!$E$20</definedName>
    <definedName name="Lab14_18">Ber_Lab!$E$21</definedName>
    <definedName name="Lab14_19">Ber_Lab!$E$22</definedName>
    <definedName name="Lab14_2">Ber_Lab!$E$5</definedName>
    <definedName name="Lab14_20">Ber_Lab!$E$23</definedName>
    <definedName name="Lab14_21">Ber_Lab!$E$24</definedName>
    <definedName name="Lab14_22">Ber_Lab!$E$25</definedName>
    <definedName name="Lab14_23">Ber_Lab!$E$26</definedName>
    <definedName name="Lab14_24">Ber_Lab!$E$27</definedName>
    <definedName name="Lab14_25">Ber_Lab!$E$28</definedName>
    <definedName name="Lab14_26">Ber_Lab!$E$29</definedName>
    <definedName name="Lab14_27">Ber_Lab!$E$30</definedName>
    <definedName name="Lab14_28">Ber_Lab!$E$31</definedName>
    <definedName name="Lab14_29">Ber_Lab!$E$32</definedName>
    <definedName name="Lab14_3">Ber_Lab!$E$6</definedName>
    <definedName name="Lab14_30">Ber_Lab!$E$33</definedName>
    <definedName name="Lab14_31">Ber_Lab!$E$34</definedName>
    <definedName name="Lab14_4">Ber_Lab!$E$7</definedName>
    <definedName name="Lab14_5">Ber_Lab!$E$8</definedName>
    <definedName name="Lab14_6">Ber_Lab!$E$9</definedName>
    <definedName name="Lab14_7">Ber_Lab!$E$10</definedName>
    <definedName name="Lab14_8">Ber_Lab!$E$11</definedName>
    <definedName name="Lab14_9">Ber_Lab!$E$12</definedName>
    <definedName name="Lab19_1">Ber_Lab!$G$4</definedName>
    <definedName name="Lab19_10">Ber_Lab!$G$13</definedName>
    <definedName name="Lab19_11">Ber_Lab!$G$14</definedName>
    <definedName name="Lab19_12">Ber_Lab!$G$15</definedName>
    <definedName name="Lab19_13">Ber_Lab!$G$16</definedName>
    <definedName name="Lab19_14">Ber_Lab!$G$17</definedName>
    <definedName name="Lab19_15">Ber_Lab!$G$18</definedName>
    <definedName name="Lab19_16">Ber_Lab!$G$19</definedName>
    <definedName name="Lab19_17">Ber_Lab!$G$20</definedName>
    <definedName name="Lab19_18">Ber_Lab!$G$21</definedName>
    <definedName name="Lab19_19">Ber_Lab!$G$22</definedName>
    <definedName name="Lab19_2">Ber_Lab!$G$5</definedName>
    <definedName name="Lab19_20">Ber_Lab!$G$23</definedName>
    <definedName name="Lab19_21">Ber_Lab!$G$24</definedName>
    <definedName name="Lab19_22">Ber_Lab!$G$25</definedName>
    <definedName name="Lab19_23">Ber_Lab!$G$26</definedName>
    <definedName name="Lab19_24">Ber_Lab!$G$27</definedName>
    <definedName name="Lab19_25">Ber_Lab!$G$28</definedName>
    <definedName name="Lab19_26">Ber_Lab!$G$29</definedName>
    <definedName name="Lab19_27">Ber_Lab!$G$30</definedName>
    <definedName name="Lab19_28">Ber_Lab!$G$31</definedName>
    <definedName name="Lab19_29">Ber_Lab!$G$32</definedName>
    <definedName name="Lab19_3">Ber_Lab!$G$6</definedName>
    <definedName name="Lab19_30">Ber_Lab!$G$33</definedName>
    <definedName name="Lab19_31">Ber_Lab!$G$34</definedName>
    <definedName name="Lab19_32">Ber_Lab!$G$35</definedName>
    <definedName name="Lab19_4">Ber_Lab!$G$7</definedName>
    <definedName name="Lab19_5">Ber_Lab!$G$8</definedName>
    <definedName name="Lab19_6">Ber_Lab!$G$9</definedName>
    <definedName name="Lab19_7">Ber_Lab!$G$10</definedName>
    <definedName name="Lab19_8">Ber_Lab!$G$11</definedName>
    <definedName name="Lab19_9">Ber_Lab!$G$12</definedName>
    <definedName name="Lab24_1">Ber_Lab!$I$4</definedName>
    <definedName name="Lab24_10">Ber_Lab!$I$13</definedName>
    <definedName name="Lab24_11">Ber_Lab!$I$14</definedName>
    <definedName name="Lab24_12">Ber_Lab!$I$15</definedName>
    <definedName name="Lab24_13">Ber_Lab!$I$16</definedName>
    <definedName name="Lab24_14">Ber_Lab!$I$17</definedName>
    <definedName name="Lab24_15">Ber_Lab!$I$18</definedName>
    <definedName name="Lab24_16">Ber_Lab!$I$19</definedName>
    <definedName name="Lab24_17">Ber_Lab!$I$20</definedName>
    <definedName name="Lab24_18">Ber_Lab!$I$21</definedName>
    <definedName name="Lab24_19">Ber_Lab!$I$22</definedName>
    <definedName name="Lab24_2">Ber_Lab!$I$5</definedName>
    <definedName name="Lab24_20">Ber_Lab!$I$23</definedName>
    <definedName name="Lab24_21">Ber_Lab!$I$24</definedName>
    <definedName name="Lab24_22">Ber_Lab!$I$25</definedName>
    <definedName name="Lab24_23">Ber_Lab!$I$26</definedName>
    <definedName name="Lab24_24">Ber_Lab!$I$27</definedName>
    <definedName name="Lab24_25">Ber_Lab!$I$28</definedName>
    <definedName name="Lab24_26">Ber_Lab!$I$29</definedName>
    <definedName name="Lab24_27">Ber_Lab!$I$30</definedName>
    <definedName name="Lab24_28">Ber_Lab!$I$31</definedName>
    <definedName name="Lab24_29">Ber_Lab!$I$32</definedName>
    <definedName name="Lab24_3">Ber_Lab!$I$6</definedName>
    <definedName name="Lab24_30">Ber_Lab!$I$33</definedName>
    <definedName name="Lab24_31">Ber_Lab!$I$34</definedName>
    <definedName name="Lab24_4">Ber_Lab!$I$7</definedName>
    <definedName name="Lab24_5">Ber_Lab!$I$8</definedName>
    <definedName name="Lab24_6">Ber_Lab!$I$9</definedName>
    <definedName name="Lab24_7">Ber_Lab!$I$10</definedName>
    <definedName name="Lab24_8">Ber_Lab!$I$11</definedName>
    <definedName name="Lab24_9">Ber_Lab!$I$12</definedName>
    <definedName name="LabDag1_1">Ber_Lab!$L$4</definedName>
    <definedName name="LabDag1_10">Ber_Lab!$L$13</definedName>
    <definedName name="LabDag1_11">Ber_Lab!$L$14</definedName>
    <definedName name="LabDag1_12">Ber_Lab!$L$15</definedName>
    <definedName name="LabDag1_13">Ber_Lab!$L$16</definedName>
    <definedName name="LabDag1_14">Ber_Lab!$L$17</definedName>
    <definedName name="LabDag1_15">Ber_Lab!$L$18</definedName>
    <definedName name="LabDag1_16">Ber_Lab!$L$19</definedName>
    <definedName name="LabDag1_17">Ber_Lab!$L$20</definedName>
    <definedName name="LabDag1_18">Ber_Lab!$L$21</definedName>
    <definedName name="LabDag1_19">Ber_Lab!$L$22</definedName>
    <definedName name="LabDag1_2">Ber_Lab!$L$5</definedName>
    <definedName name="LabDag1_20">Ber_Lab!$L$23</definedName>
    <definedName name="LabDag1_21">Ber_Lab!$L$24</definedName>
    <definedName name="LabDag1_22">Ber_Lab!$L$25</definedName>
    <definedName name="LabDag1_23">Ber_Lab!$L$26</definedName>
    <definedName name="LabDag1_24">Ber_Lab!$L$27</definedName>
    <definedName name="LabDag1_25">Ber_Lab!$L$28</definedName>
    <definedName name="LabDag1_26">Ber_Lab!$L$29</definedName>
    <definedName name="LabDag1_27">Ber_Lab!$L$30</definedName>
    <definedName name="LabDag1_28">Ber_Lab!$L$31</definedName>
    <definedName name="LabDag1_29">Ber_Lab!$L$32</definedName>
    <definedName name="LabDag1_3">Ber_Lab!$L$6</definedName>
    <definedName name="LabDag1_30">Ber_Lab!$L$33</definedName>
    <definedName name="LabDag1_31">Ber_Lab!$L$34</definedName>
    <definedName name="LabDag1_4">Ber_Lab!$L$7</definedName>
    <definedName name="LabDag1_5">Ber_Lab!$L$8</definedName>
    <definedName name="LabDag1_6">Ber_Lab!$L$9</definedName>
    <definedName name="LabDag1_7">Ber_Lab!$L$10</definedName>
    <definedName name="LabDag1_8">Ber_Lab!$L$11</definedName>
    <definedName name="LabDag1_9">Ber_Lab!$L$12</definedName>
    <definedName name="LabDag2_1">Ber_Lab!$N$4</definedName>
    <definedName name="LabDag2_10">Ber_Lab!$N$13</definedName>
    <definedName name="LabDag2_11">Ber_Lab!$N$14</definedName>
    <definedName name="LabDag2_12">Ber_Lab!$N$15</definedName>
    <definedName name="LabDag2_13">Ber_Lab!$N$16</definedName>
    <definedName name="LabDag2_14">Ber_Lab!$N$17</definedName>
    <definedName name="LabDag2_15">Ber_Lab!$N$18</definedName>
    <definedName name="LabDag2_16">Ber_Lab!$N$19</definedName>
    <definedName name="LabDag2_17">Ber_Lab!$N$20</definedName>
    <definedName name="LabDag2_18">Ber_Lab!$N$21</definedName>
    <definedName name="LabDag2_19">Ber_Lab!$N$22</definedName>
    <definedName name="LabDag2_2">Ber_Lab!$N$5</definedName>
    <definedName name="LabDag2_20">Ber_Lab!$N$23</definedName>
    <definedName name="LabDag2_21">Ber_Lab!$N$24</definedName>
    <definedName name="LabDag2_22">Ber_Lab!$N$25</definedName>
    <definedName name="LabDag2_23">Ber_Lab!$N$26</definedName>
    <definedName name="LabDag2_24">Ber_Lab!$N$27</definedName>
    <definedName name="LabDag2_25">Ber_Lab!$N$28</definedName>
    <definedName name="LabDag2_26">Ber_Lab!$N$29</definedName>
    <definedName name="LabDag2_27">Ber_Lab!$N$30</definedName>
    <definedName name="LabDag2_28">Ber_Lab!$N$31</definedName>
    <definedName name="LabDag2_29">Ber_Lab!$N$32</definedName>
    <definedName name="LabDag2_3">Ber_Lab!$N$6</definedName>
    <definedName name="LabDag2_30">Ber_Lab!$N$33</definedName>
    <definedName name="LabDag2_31">Ber_Lab!$N$34</definedName>
    <definedName name="LabDag2_4">Ber_Lab!$N$7</definedName>
    <definedName name="LabDag2_5">Ber_Lab!$N$8</definedName>
    <definedName name="LabDag2_6">Ber_Lab!$N$9</definedName>
    <definedName name="LabDag2_7">Ber_Lab!$N$10</definedName>
    <definedName name="LabDag2_8">Ber_Lab!$N$11</definedName>
    <definedName name="LabDag2_9">Ber_Lab!$N$12</definedName>
    <definedName name="LabDag3_1">Ber_Lab!$P$4</definedName>
    <definedName name="LabDag3_10">Ber_Lab!$P$13</definedName>
    <definedName name="LabDag3_11">Ber_Lab!$P$14</definedName>
    <definedName name="LabDag3_12">Ber_Lab!$P$15</definedName>
    <definedName name="LabDag3_13">Ber_Lab!$P$16</definedName>
    <definedName name="LabDag3_14">Ber_Lab!$P$17</definedName>
    <definedName name="LabDag3_15">Ber_Lab!$P$18</definedName>
    <definedName name="LabDag3_16">Ber_Lab!$P$19</definedName>
    <definedName name="LabDag3_17">Ber_Lab!$P$20</definedName>
    <definedName name="LabDag3_18">Ber_Lab!$P$21</definedName>
    <definedName name="LabDag3_19">Ber_Lab!$P$22</definedName>
    <definedName name="LabDag3_2">Ber_Lab!$P$5</definedName>
    <definedName name="LabDag3_20">Ber_Lab!$P$23</definedName>
    <definedName name="LabDag3_21">Ber_Lab!$P$24</definedName>
    <definedName name="LabDag3_22">Ber_Lab!$P$25</definedName>
    <definedName name="LabDag3_23">Ber_Lab!$P$26</definedName>
    <definedName name="LabDag3_24">Ber_Lab!$P$27</definedName>
    <definedName name="LabDag3_25">Ber_Lab!$P$28</definedName>
    <definedName name="LabDag3_26">Ber_Lab!$P$29</definedName>
    <definedName name="LabDag3_27">Ber_Lab!$P$30</definedName>
    <definedName name="LabDag3_28">Ber_Lab!$P$31</definedName>
    <definedName name="LabDag3_29">Ber_Lab!$P$32</definedName>
    <definedName name="LabDag3_3">Ber_Lab!$P$6</definedName>
    <definedName name="LabDag3_30">Ber_Lab!$P$33</definedName>
    <definedName name="LabDag3_31">Ber_Lab!$P$34</definedName>
    <definedName name="LabDag3_4">Ber_Lab!$P$7</definedName>
    <definedName name="LabDag3_5">Ber_Lab!$P$8</definedName>
    <definedName name="LabDag3_6">Ber_Lab!$P$9</definedName>
    <definedName name="LabDag3_7">Ber_Lab!$P$10</definedName>
    <definedName name="LabDag3_8">Ber_Lab!$P$11</definedName>
    <definedName name="LabDag3_9">Ber_Lab!$P$12</definedName>
    <definedName name="LabNeo_Data">Ber_Lab_Neo!$C$4:$C$35,Ber_Lab_Neo!$E$4:$E$34,Ber_Lab_Neo!$G$4:$G$34,Ber_Lab_Neo!$I$4:$I$34,Ber_Lab_Neo!$K$4:$K$34,Ber_Lab_Neo!$M$4:$M$34,Ber_Lab_Neo!$O$4:$O$34,Ber_Lab_Neo!$Q$4:$Q$34,Ber_Lab_Neo!$S$4:$S$34,Ber_Lab_Neo!$D$38</definedName>
    <definedName name="LabNeo04_1">Ber_Lab_Neo!$M$4</definedName>
    <definedName name="LabNeo04_10">Ber_Lab_Neo!$M$13</definedName>
    <definedName name="LabNeo04_11">Ber_Lab_Neo!$M$14</definedName>
    <definedName name="LabNeo04_12">Ber_Lab_Neo!$M$15</definedName>
    <definedName name="LabNeo04_13">Ber_Lab_Neo!$M$16</definedName>
    <definedName name="LabNeo04_14">Ber_Lab_Neo!$M$17</definedName>
    <definedName name="LabNeo04_15">Ber_Lab_Neo!$M$18</definedName>
    <definedName name="LabNeo04_16">Ber_Lab_Neo!$M$19</definedName>
    <definedName name="LabNeo04_17">Ber_Lab_Neo!$M$20</definedName>
    <definedName name="LabNeo04_18">Ber_Lab_Neo!$M$21</definedName>
    <definedName name="LabNeo04_19">Ber_Lab_Neo!$M$22</definedName>
    <definedName name="LabNeo04_2">Ber_Lab_Neo!$M$5</definedName>
    <definedName name="LabNeo04_20">Ber_Lab_Neo!$M$23</definedName>
    <definedName name="LabNeo04_21">Ber_Lab_Neo!$M$24</definedName>
    <definedName name="LabNeo04_22">Ber_Lab_Neo!$M$25</definedName>
    <definedName name="LabNeo04_23">Ber_Lab_Neo!$M$26</definedName>
    <definedName name="LabNeo04_24">Ber_Lab_Neo!$M$27</definedName>
    <definedName name="LabNeo04_25">Ber_Lab_Neo!$M$28</definedName>
    <definedName name="LabNeo04_26">Ber_Lab_Neo!$M$29</definedName>
    <definedName name="LabNeo04_27">Ber_Lab_Neo!$M$30</definedName>
    <definedName name="LabNeo04_28">Ber_Lab_Neo!$M$31</definedName>
    <definedName name="LabNeo04_29">Ber_Lab_Neo!$M$32</definedName>
    <definedName name="LabNeo04_3">Ber_Lab_Neo!$M$6</definedName>
    <definedName name="LabNeo04_30">Ber_Lab_Neo!$M$33</definedName>
    <definedName name="LabNeo04_31">Ber_Lab_Neo!$M$34</definedName>
    <definedName name="LabNeo04_4">Ber_Lab_Neo!$M$7</definedName>
    <definedName name="LabNeo04_5">Ber_Lab_Neo!$M$8</definedName>
    <definedName name="LabNeo04_6">Ber_Lab_Neo!$M$9</definedName>
    <definedName name="LabNeo04_7">Ber_Lab_Neo!$M$10</definedName>
    <definedName name="LabNeo04_8">Ber_Lab_Neo!$M$11</definedName>
    <definedName name="LabNeo04_9">Ber_Lab_Neo!$M$12</definedName>
    <definedName name="LabNeo12_1">Ber_Lab_Neo!$E$4</definedName>
    <definedName name="LabNeo12_10">Ber_Lab_Neo!$E$13</definedName>
    <definedName name="LabNeo12_11">Ber_Lab_Neo!$E$14</definedName>
    <definedName name="LabNeo12_12">Ber_Lab_Neo!$E$15</definedName>
    <definedName name="LabNeo12_13">Ber_Lab_Neo!$E$16</definedName>
    <definedName name="LabNeo12_14">Ber_Lab_Neo!$E$17</definedName>
    <definedName name="LabNeo12_15">Ber_Lab_Neo!$E$18</definedName>
    <definedName name="LabNeo12_16">Ber_Lab_Neo!$E$19</definedName>
    <definedName name="LabNeo12_17">Ber_Lab_Neo!$E$20</definedName>
    <definedName name="LabNeo12_18">Ber_Lab_Neo!$E$21</definedName>
    <definedName name="LabNeo12_19">Ber_Lab_Neo!$E$22</definedName>
    <definedName name="LabNeo12_2">Ber_Lab_Neo!$E$5</definedName>
    <definedName name="LabNeo12_20">Ber_Lab_Neo!$E$23</definedName>
    <definedName name="LabNeo12_21">Ber_Lab_Neo!$E$24</definedName>
    <definedName name="LabNeo12_22">Ber_Lab_Neo!$E$25</definedName>
    <definedName name="LabNeo12_23">Ber_Lab_Neo!$E$26</definedName>
    <definedName name="LabNeo12_24">Ber_Lab_Neo!$E$27</definedName>
    <definedName name="LabNeo12_25">Ber_Lab_Neo!$E$28</definedName>
    <definedName name="LabNeo12_26">Ber_Lab_Neo!$E$29</definedName>
    <definedName name="LabNeo12_27">Ber_Lab_Neo!$E$30</definedName>
    <definedName name="LabNeo12_28">Ber_Lab_Neo!$E$31</definedName>
    <definedName name="LabNeo12_29">Ber_Lab_Neo!$E$32</definedName>
    <definedName name="LabNeo12_3">Ber_Lab_Neo!$E$6</definedName>
    <definedName name="LabNeo12_30">Ber_Lab_Neo!$E$33</definedName>
    <definedName name="LabNeo12_31">Ber_Lab_Neo!$E$34</definedName>
    <definedName name="LabNeo12_4">Ber_Lab_Neo!$E$7</definedName>
    <definedName name="LabNeo12_5">Ber_Lab_Neo!$E$8</definedName>
    <definedName name="LabNeo12_6">Ber_Lab_Neo!$E$9</definedName>
    <definedName name="LabNeo12_7">Ber_Lab_Neo!$E$10</definedName>
    <definedName name="LabNeo12_8">Ber_Lab_Neo!$E$11</definedName>
    <definedName name="LabNeo12_9">Ber_Lab_Neo!$E$12</definedName>
    <definedName name="LabNeo16_1">Ber_Lab_Neo!$G$4</definedName>
    <definedName name="LabNeo16_10">Ber_Lab_Neo!$G$13</definedName>
    <definedName name="LabNeo16_11">Ber_Lab_Neo!$G$14</definedName>
    <definedName name="LabNeo16_12">Ber_Lab_Neo!$G$15</definedName>
    <definedName name="LabNeo16_13">Ber_Lab_Neo!$G$16</definedName>
    <definedName name="LabNeo16_14">Ber_Lab_Neo!$G$17</definedName>
    <definedName name="LabNeo16_15">Ber_Lab_Neo!$G$18</definedName>
    <definedName name="LabNeo16_16">Ber_Lab_Neo!$G$19</definedName>
    <definedName name="LabNeo16_17">Ber_Lab_Neo!$G$20</definedName>
    <definedName name="LabNeo16_18">Ber_Lab_Neo!$G$21</definedName>
    <definedName name="LabNeo16_19">Ber_Lab_Neo!$G$22</definedName>
    <definedName name="LabNeo16_2">Ber_Lab_Neo!$G$5</definedName>
    <definedName name="LabNeo16_20">Ber_Lab_Neo!$G$23</definedName>
    <definedName name="LabNeo16_21">Ber_Lab_Neo!$G$24</definedName>
    <definedName name="LabNeo16_22">Ber_Lab_Neo!$G$25</definedName>
    <definedName name="LabNeo16_23">Ber_Lab_Neo!$G$26</definedName>
    <definedName name="LabNeo16_24">Ber_Lab_Neo!$G$27</definedName>
    <definedName name="LabNeo16_25">Ber_Lab_Neo!$G$28</definedName>
    <definedName name="LabNeo16_26">Ber_Lab_Neo!$G$29</definedName>
    <definedName name="LabNeo16_27">Ber_Lab_Neo!$G$30</definedName>
    <definedName name="LabNeo16_28">Ber_Lab_Neo!$G$31</definedName>
    <definedName name="LabNeo16_29">Ber_Lab_Neo!$G$32</definedName>
    <definedName name="LabNeo16_3">Ber_Lab_Neo!$G$6</definedName>
    <definedName name="LabNeo16_30">Ber_Lab_Neo!$G$33</definedName>
    <definedName name="LabNeo16_31">Ber_Lab_Neo!$G$34</definedName>
    <definedName name="LabNeo16_4">Ber_Lab_Neo!$G$7</definedName>
    <definedName name="LabNeo16_5">Ber_Lab_Neo!$G$8</definedName>
    <definedName name="LabNeo16_6">Ber_Lab_Neo!$G$9</definedName>
    <definedName name="LabNeo16_7">Ber_Lab_Neo!$G$10</definedName>
    <definedName name="LabNeo16_8">Ber_Lab_Neo!$G$11</definedName>
    <definedName name="LabNeo16_9">Ber_Lab_Neo!$G$12</definedName>
    <definedName name="LabNeo20_1">Ber_Lab_Neo!$I$4</definedName>
    <definedName name="LabNeo20_10">Ber_Lab_Neo!$I$13</definedName>
    <definedName name="LabNeo20_11">Ber_Lab_Neo!$I$14</definedName>
    <definedName name="LabNeo20_12">Ber_Lab_Neo!$I$15</definedName>
    <definedName name="LabNeo20_13">Ber_Lab_Neo!$I$16</definedName>
    <definedName name="LabNeo20_14">Ber_Lab_Neo!$I$17</definedName>
    <definedName name="LabNeo20_15">Ber_Lab_Neo!$I$18</definedName>
    <definedName name="LabNeo20_16">Ber_Lab_Neo!$I$19</definedName>
    <definedName name="LabNeo20_17">Ber_Lab_Neo!$I$20</definedName>
    <definedName name="LabNeo20_18">Ber_Lab_Neo!$I$21</definedName>
    <definedName name="LabNeo20_19">Ber_Lab_Neo!$I$22</definedName>
    <definedName name="LabNeo20_2">Ber_Lab_Neo!$I$5</definedName>
    <definedName name="LabNeo20_20">Ber_Lab_Neo!$I$23</definedName>
    <definedName name="LabNeo20_21">Ber_Lab_Neo!$I$24</definedName>
    <definedName name="LabNeo20_22">Ber_Lab_Neo!$I$25</definedName>
    <definedName name="LabNeo20_23">Ber_Lab_Neo!$I$26</definedName>
    <definedName name="LabNeo20_24">Ber_Lab_Neo!$I$27</definedName>
    <definedName name="LabNeo20_25">Ber_Lab_Neo!$I$28</definedName>
    <definedName name="LabNeo20_26">Ber_Lab_Neo!$I$29</definedName>
    <definedName name="LabNeo20_27">Ber_Lab_Neo!$I$30</definedName>
    <definedName name="LabNeo20_28">Ber_Lab_Neo!$I$31</definedName>
    <definedName name="LabNeo20_29">Ber_Lab_Neo!$I$32</definedName>
    <definedName name="LabNeo20_3">Ber_Lab_Neo!$I$6</definedName>
    <definedName name="LabNeo20_30">Ber_Lab_Neo!$I$33</definedName>
    <definedName name="LabNeo20_31">Ber_Lab_Neo!$I$34</definedName>
    <definedName name="LabNeo20_4">Ber_Lab_Neo!$I$7</definedName>
    <definedName name="LabNeo20_5">Ber_Lab_Neo!$I$8</definedName>
    <definedName name="LabNeo20_6">Ber_Lab_Neo!$I$9</definedName>
    <definedName name="LabNeo20_7">Ber_Lab_Neo!$I$10</definedName>
    <definedName name="LabNeo20_8">Ber_Lab_Neo!$I$11</definedName>
    <definedName name="LabNeo20_9">Ber_Lab_Neo!$I$12</definedName>
    <definedName name="LabNeo24_1">Ber_Lab_Neo!$K$4</definedName>
    <definedName name="LabNeo24_10">Ber_Lab_Neo!$K$13</definedName>
    <definedName name="LabNeo24_11">Ber_Lab_Neo!$K$14</definedName>
    <definedName name="LabNeo24_12">Ber_Lab_Neo!$K$15</definedName>
    <definedName name="LabNeo24_13">Ber_Lab_Neo!$K$16</definedName>
    <definedName name="LabNeo24_14">Ber_Lab_Neo!$K$17</definedName>
    <definedName name="LabNeo24_15">Ber_Lab_Neo!$K$18</definedName>
    <definedName name="LabNeo24_16">Ber_Lab_Neo!$K$19</definedName>
    <definedName name="LabNeo24_17">Ber_Lab_Neo!$K$20</definedName>
    <definedName name="LabNeo24_18">Ber_Lab_Neo!$K$21</definedName>
    <definedName name="LabNeo24_19">Ber_Lab_Neo!$K$22</definedName>
    <definedName name="LabNeo24_2">Ber_Lab_Neo!$K$5</definedName>
    <definedName name="LabNeo24_20">Ber_Lab_Neo!$K$23</definedName>
    <definedName name="LabNeo24_21">Ber_Lab_Neo!$K$24</definedName>
    <definedName name="LabNeo24_22">Ber_Lab_Neo!$K$25</definedName>
    <definedName name="LabNeo24_23">Ber_Lab_Neo!$K$26</definedName>
    <definedName name="LabNeo24_24">Ber_Lab_Neo!$K$27</definedName>
    <definedName name="LabNeo24_25">Ber_Lab_Neo!$K$28</definedName>
    <definedName name="LabNeo24_26">Ber_Lab_Neo!$K$29</definedName>
    <definedName name="LabNeo24_27">Ber_Lab_Neo!$K$30</definedName>
    <definedName name="LabNeo24_28">Ber_Lab_Neo!$K$31</definedName>
    <definedName name="LabNeo24_29">Ber_Lab_Neo!$K$32</definedName>
    <definedName name="LabNeo24_3">Ber_Lab_Neo!$K$6</definedName>
    <definedName name="LabNeo24_30">Ber_Lab_Neo!$K$33</definedName>
    <definedName name="LabNeo24_31">Ber_Lab_Neo!$K$34</definedName>
    <definedName name="LabNeo24_4">Ber_Lab_Neo!$K$7</definedName>
    <definedName name="LabNeo24_5">Ber_Lab_Neo!$K$8</definedName>
    <definedName name="LabNeo24_6">Ber_Lab_Neo!$K$9</definedName>
    <definedName name="LabNeo24_7">Ber_Lab_Neo!$K$10</definedName>
    <definedName name="LabNeo24_8">Ber_Lab_Neo!$K$11</definedName>
    <definedName name="LabNeo24_9">Ber_Lab_Neo!$K$12</definedName>
    <definedName name="LabNeoDag1_1">Ber_Lab_Neo!$O$4</definedName>
    <definedName name="LabNeoDag1_10">Ber_Lab_Neo!$O$13</definedName>
    <definedName name="LabNeoDag1_11">Ber_Lab_Neo!$O$14</definedName>
    <definedName name="LabNeoDag1_12">Ber_Lab_Neo!$O$15</definedName>
    <definedName name="LabNeoDag1_13">Ber_Lab_Neo!$O$16</definedName>
    <definedName name="LabNeoDag1_14">Ber_Lab_Neo!$O$17</definedName>
    <definedName name="LabNeoDag1_15">Ber_Lab_Neo!$O$18</definedName>
    <definedName name="LabNeoDag1_16">Ber_Lab_Neo!$O$19</definedName>
    <definedName name="LabNeoDag1_17">Ber_Lab_Neo!$O$20</definedName>
    <definedName name="LabNeoDag1_18">Ber_Lab_Neo!$O$21</definedName>
    <definedName name="LabNeoDag1_19">Ber_Lab_Neo!$O$22</definedName>
    <definedName name="LabNeoDag1_2">Ber_Lab_Neo!$O$5</definedName>
    <definedName name="LabNeoDag1_20">Ber_Lab_Neo!$O$23</definedName>
    <definedName name="LabNeoDag1_21">Ber_Lab_Neo!$O$24</definedName>
    <definedName name="LabNeoDag1_22">Ber_Lab_Neo!$O$25</definedName>
    <definedName name="LabNeoDag1_23">Ber_Lab_Neo!$O$26</definedName>
    <definedName name="LabNeoDag1_24">Ber_Lab_Neo!$O$27</definedName>
    <definedName name="LabNeoDag1_25">Ber_Lab_Neo!$O$28</definedName>
    <definedName name="LabNeoDag1_26">Ber_Lab_Neo!$O$29</definedName>
    <definedName name="LabNeoDag1_27">Ber_Lab_Neo!$O$30</definedName>
    <definedName name="LabNeoDag1_28">Ber_Lab_Neo!$O$31</definedName>
    <definedName name="LabNeoDag1_29">Ber_Lab_Neo!$O$32</definedName>
    <definedName name="LabNeoDag1_3">Ber_Lab_Neo!$O$6</definedName>
    <definedName name="LabNeoDag1_30">Ber_Lab_Neo!$O$33</definedName>
    <definedName name="LabNeoDag1_31">Ber_Lab_Neo!$O$34</definedName>
    <definedName name="LabNeoDag1_4">Ber_Lab_Neo!$O$7</definedName>
    <definedName name="LabNeoDag1_5">Ber_Lab_Neo!$O$8</definedName>
    <definedName name="LabNeoDag1_6">Ber_Lab_Neo!$O$9</definedName>
    <definedName name="LabNeoDag1_7">Ber_Lab_Neo!$O$10</definedName>
    <definedName name="LabNeoDag1_8">Ber_Lab_Neo!$O$11</definedName>
    <definedName name="LabNeoDag1_9">Ber_Lab_Neo!$O$12</definedName>
    <definedName name="LabNeoDag2_1">Ber_Lab_Neo!$Q$4</definedName>
    <definedName name="LabNeoDag2_10">Ber_Lab_Neo!$Q$13</definedName>
    <definedName name="LabNeoDag2_11">Ber_Lab_Neo!$Q$14</definedName>
    <definedName name="LabNeoDag2_12">Ber_Lab_Neo!$Q$15</definedName>
    <definedName name="LabNeoDag2_13">Ber_Lab_Neo!$Q$16</definedName>
    <definedName name="LabNeoDag2_14">Ber_Lab_Neo!$Q$17</definedName>
    <definedName name="LabNeoDag2_15">Ber_Lab_Neo!$Q$18</definedName>
    <definedName name="LabNeoDag2_16">Ber_Lab_Neo!$Q$19</definedName>
    <definedName name="LabNeoDag2_17">Ber_Lab_Neo!$Q$20</definedName>
    <definedName name="LabNeoDag2_18">Ber_Lab_Neo!$Q$21</definedName>
    <definedName name="LabNeoDag2_19">Ber_Lab_Neo!$Q$22</definedName>
    <definedName name="LabNeoDag2_2">Ber_Lab_Neo!$Q$5</definedName>
    <definedName name="LabNeoDag2_20">Ber_Lab_Neo!$Q$23</definedName>
    <definedName name="LabNeoDag2_21">Ber_Lab_Neo!$Q$24</definedName>
    <definedName name="LabNeoDag2_22">Ber_Lab_Neo!$Q$25</definedName>
    <definedName name="LabNeoDag2_23">Ber_Lab_Neo!$Q$26</definedName>
    <definedName name="LabNeoDag2_24">Ber_Lab_Neo!$Q$27</definedName>
    <definedName name="LabNeoDag2_25">Ber_Lab_Neo!$Q$28</definedName>
    <definedName name="LabNeoDag2_26">Ber_Lab_Neo!$Q$29</definedName>
    <definedName name="LabNeoDag2_27">Ber_Lab_Neo!$Q$30</definedName>
    <definedName name="LabNeoDag2_28">Ber_Lab_Neo!$Q$31</definedName>
    <definedName name="LabNeoDag2_29">Ber_Lab_Neo!$Q$32</definedName>
    <definedName name="LabNeoDag2_3">Ber_Lab_Neo!$Q$6</definedName>
    <definedName name="LabNeoDag2_30">Ber_Lab_Neo!$Q$33</definedName>
    <definedName name="LabNeoDag2_31">Ber_Lab_Neo!$Q$34</definedName>
    <definedName name="LabNeoDag2_4">Ber_Lab_Neo!$Q$7</definedName>
    <definedName name="LabNeoDag2_5">Ber_Lab_Neo!$Q$8</definedName>
    <definedName name="LabNeoDag2_6">Ber_Lab_Neo!$Q$9</definedName>
    <definedName name="LabNeoDag2_7">Ber_Lab_Neo!$Q$10</definedName>
    <definedName name="LabNeoDag2_8">Ber_Lab_Neo!$Q$11</definedName>
    <definedName name="LabNeoDag2_9">Ber_Lab_Neo!$Q$12</definedName>
    <definedName name="LabNeoDag3_1">Ber_Lab_Neo!$S$4</definedName>
    <definedName name="LabNeoDag3_10">Ber_Lab_Neo!$S$13</definedName>
    <definedName name="LabNeoDag3_11">Ber_Lab_Neo!$S$14</definedName>
    <definedName name="LabNeoDag3_12">Ber_Lab_Neo!$S$15</definedName>
    <definedName name="LabNeoDag3_13">Ber_Lab_Neo!$S$16</definedName>
    <definedName name="LabNeoDag3_14">Ber_Lab_Neo!$S$17</definedName>
    <definedName name="LabNeoDag3_15">Ber_Lab_Neo!$S$18</definedName>
    <definedName name="LabNeoDag3_16">Ber_Lab_Neo!$S$19</definedName>
    <definedName name="LabNeoDag3_17">Ber_Lab_Neo!$S$20</definedName>
    <definedName name="LabNeoDag3_18">Ber_Lab_Neo!$S$21</definedName>
    <definedName name="LabNeoDag3_19">Ber_Lab_Neo!$S$22</definedName>
    <definedName name="LabNeoDag3_2">Ber_Lab_Neo!$S$5</definedName>
    <definedName name="LabNeoDag3_20">Ber_Lab_Neo!$S$23</definedName>
    <definedName name="LabNeoDag3_21">Ber_Lab_Neo!$S$24</definedName>
    <definedName name="LabNeoDag3_22">Ber_Lab_Neo!$S$25</definedName>
    <definedName name="LabNeoDag3_23">Ber_Lab_Neo!$S$26</definedName>
    <definedName name="LabNeoDag3_24">Ber_Lab_Neo!$S$27</definedName>
    <definedName name="LabNeoDag3_25">Ber_Lab_Neo!$S$28</definedName>
    <definedName name="LabNeoDag3_26">Ber_Lab_Neo!$S$29</definedName>
    <definedName name="LabNeoDag3_27">Ber_Lab_Neo!$S$30</definedName>
    <definedName name="LabNeoDag3_28">Ber_Lab_Neo!$S$31</definedName>
    <definedName name="LabNeoDag3_29">Ber_Lab_Neo!$S$32</definedName>
    <definedName name="LabNeoDag3_3">Ber_Lab_Neo!$S$6</definedName>
    <definedName name="LabNeoDag3_30">Ber_Lab_Neo!$S$33</definedName>
    <definedName name="LabNeoDag3_31">Ber_Lab_Neo!$S$34</definedName>
    <definedName name="LabNeoDag3_4">Ber_Lab_Neo!$S$7</definedName>
    <definedName name="LabNeoDag3_5">Ber_Lab_Neo!$S$8</definedName>
    <definedName name="LabNeoDag3_6">Ber_Lab_Neo!$S$9</definedName>
    <definedName name="LabNeoDag3_7">Ber_Lab_Neo!$S$10</definedName>
    <definedName name="LabNeoDag3_8">Ber_Lab_Neo!$S$11</definedName>
    <definedName name="LabNeoDag3_9">Ber_Lab_Neo!$S$12</definedName>
    <definedName name="LabNeoOpmerkingen">Ber_Lab_Neo!$D$38</definedName>
    <definedName name="LabNeoOpn_1">Ber_Lab_Neo!$C$4</definedName>
    <definedName name="LabNeoOpn_10">Ber_Lab_Neo!$C$13</definedName>
    <definedName name="LabNeoOpn_11">Ber_Lab_Neo!$C$14</definedName>
    <definedName name="LabNeoOpn_12">Ber_Lab_Neo!$C$15</definedName>
    <definedName name="LabNeoOpn_13">Ber_Lab_Neo!$C$16</definedName>
    <definedName name="LabNeoOpn_14">Ber_Lab_Neo!$C$17</definedName>
    <definedName name="LabNeoOpn_15">Ber_Lab_Neo!$C$18</definedName>
    <definedName name="LabNeoOpn_16">Ber_Lab_Neo!$C$19</definedName>
    <definedName name="LabNeoOpn_17">Ber_Lab_Neo!$C$20</definedName>
    <definedName name="LabNeoOpn_18">Ber_Lab_Neo!$C$21</definedName>
    <definedName name="LabNeoOpn_19">Ber_Lab_Neo!$C$22</definedName>
    <definedName name="LabNeoOpn_2">Ber_Lab_Neo!$C$5</definedName>
    <definedName name="LabNeoOpn_20">Ber_Lab_Neo!$C$23</definedName>
    <definedName name="LabNeoOpn_21">Ber_Lab_Neo!$C$24</definedName>
    <definedName name="LabNeoOpn_22">Ber_Lab_Neo!$C$25</definedName>
    <definedName name="LabNeoOpn_23">Ber_Lab_Neo!$C$26</definedName>
    <definedName name="LabNeoOpn_24">Ber_Lab_Neo!$C$27</definedName>
    <definedName name="LabNeoOpn_25">Ber_Lab_Neo!$C$28</definedName>
    <definedName name="LabNeoOpn_26">Ber_Lab_Neo!$C$29</definedName>
    <definedName name="LabNeoOpn_27">Ber_Lab_Neo!$C$30</definedName>
    <definedName name="LabNeoOpn_28">Ber_Lab_Neo!$C$31</definedName>
    <definedName name="LabNeoOpn_29">Ber_Lab_Neo!$C$32</definedName>
    <definedName name="LabNeoOpn_3">Ber_Lab_Neo!$C$6</definedName>
    <definedName name="LabNeoOpn_30">Ber_Lab_Neo!$C$33</definedName>
    <definedName name="LabNeoOpn_31">Ber_Lab_Neo!$C$34</definedName>
    <definedName name="LabNeoOpn_32">Ber_Lab_Neo!$C$35</definedName>
    <definedName name="LabNeoOpn_4">Ber_Lab_Neo!$C$7</definedName>
    <definedName name="LabNeoOpn_5">Ber_Lab_Neo!$C$8</definedName>
    <definedName name="LabNeoOpn_6">Ber_Lab_Neo!$C$9</definedName>
    <definedName name="LabNeoOpn_7">Ber_Lab_Neo!$C$10</definedName>
    <definedName name="LabNeoOpn_8">Ber_Lab_Neo!$C$11</definedName>
    <definedName name="LabNeoOpn_9">Ber_Lab_Neo!$C$12</definedName>
    <definedName name="LabOpn_1">Ber_Lab!$C$4</definedName>
    <definedName name="LabOpn_10">Ber_Lab!$C$13</definedName>
    <definedName name="LabOpn_11">Ber_Lab!$C$14</definedName>
    <definedName name="LabOpn_12">Ber_Lab!$C$15</definedName>
    <definedName name="LabOpn_13">Ber_Lab!$C$16</definedName>
    <definedName name="LabOpn_14">Ber_Lab!$C$17</definedName>
    <definedName name="LabOpn_15">Ber_Lab!$C$18</definedName>
    <definedName name="LabOpn_16">Ber_Lab!$C$19</definedName>
    <definedName name="LabOpn_17">Ber_Lab!$C$20</definedName>
    <definedName name="LabOpn_18">Ber_Lab!$C$21</definedName>
    <definedName name="LabOpn_19">Ber_Lab!$C$22</definedName>
    <definedName name="LabOpn_2">Ber_Lab!$C$5</definedName>
    <definedName name="LabOpn_20">Ber_Lab!$C$23</definedName>
    <definedName name="LabOpn_21">Ber_Lab!$C$24</definedName>
    <definedName name="LabOpn_22">Ber_Lab!$C$25</definedName>
    <definedName name="LabOpn_23">Ber_Lab!$C$26</definedName>
    <definedName name="LabOpn_24">Ber_Lab!$C$27</definedName>
    <definedName name="LabOpn_25">Ber_Lab!$C$28</definedName>
    <definedName name="LabOpn_26">Ber_Lab!$C$29</definedName>
    <definedName name="LabOpn_27">Ber_Lab!$C$30</definedName>
    <definedName name="LabOpn_28">Ber_Lab!$C$31</definedName>
    <definedName name="LabOpn_29">Ber_Lab!$C$32</definedName>
    <definedName name="LabOpn_3">Ber_Lab!$C$6</definedName>
    <definedName name="LabOpn_30">Ber_Lab!$C$33</definedName>
    <definedName name="LabOpn_31">Ber_Lab!$C$34</definedName>
    <definedName name="LabOpn_32">Ber_Lab!$C$35</definedName>
    <definedName name="LabOpn_4">Ber_Lab!$C$7</definedName>
    <definedName name="LabOpn_5">Ber_Lab!$C$8</definedName>
    <definedName name="LabOpn_6">Ber_Lab!$C$9</definedName>
    <definedName name="LabOpn_7">Ber_Lab!$C$10</definedName>
    <definedName name="LabOpn_8">Ber_Lab!$C$11</definedName>
    <definedName name="LabOpn_9">Ber_Lab!$C$12</definedName>
    <definedName name="Lengte">dbBead!$H$2</definedName>
    <definedName name="LijstenLijstToevoegingenKV">Lijsten!$M$44:$Y$48</definedName>
    <definedName name="LijstenLijstToevoegingenMM">Lijsten!$M$33:$Y$39</definedName>
    <definedName name="LijstenLijstVoeding">Lijsten!$M$3:$Z$19</definedName>
    <definedName name="LijstenOpzoektabelKV">Lijsten!$M$43:$Y$48</definedName>
    <definedName name="LijstenOpzoektabelMM">Lijsten!$M$32:$Y$39</definedName>
    <definedName name="LijstenOpzoektabelVoeding">Lijsten!$M$2:$Z$19</definedName>
    <definedName name="lijstIntralipidSmof">Lijsten!$AE$3:$AE$4</definedName>
    <definedName name="lijstToevoegingenKVPrint">Lijsten!$L$44:$L$48</definedName>
    <definedName name="lijstToevoegingenMMPrint">Lijsten!$L$33:$L$39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camenten">tblMedicatieIVNeo!$B$2:$K$26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21">ber_Med_disc!$Q$22</definedName>
    <definedName name="MedInloop_22">ber_Med_disc!$Q$23</definedName>
    <definedName name="MedInloop_23">ber_Med_disc!$Q$24</definedName>
    <definedName name="MedInloop_24">ber_Med_disc!$Q$25</definedName>
    <definedName name="MedInloop_25">ber_Med_disc!$Q$26</definedName>
    <definedName name="MedInloop_26">ber_Med_disc!$Q$27</definedName>
    <definedName name="MedInloop_27">ber_Med_disc!$Q$28</definedName>
    <definedName name="MedInloop_28">ber_Med_disc!$Q$29</definedName>
    <definedName name="MedInloop_29">ber_Med_disc!$Q$30</definedName>
    <definedName name="MedInloop_3">ber_Med_disc!$Q$4</definedName>
    <definedName name="MedInloop_30">ber_Med_disc!$Q$31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">ber_IVmed!$E$3</definedName>
    <definedName name="MedIVMlOpl_10">ber_IVmed!$E$12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MlOpl_2">ber_IVmed!$E$4</definedName>
    <definedName name="MedIVMlOpl_3">ber_IVmed!$E$5</definedName>
    <definedName name="MedIVMlOpl_4">ber_IVmed!$E$6</definedName>
    <definedName name="MedIVMlOpl_5">ber_IVmed!$E$7</definedName>
    <definedName name="MedIVMlOpl_6">ber_IVmed!$E$8</definedName>
    <definedName name="MedIVMlOpl_7">ber_IVmed!$E$9</definedName>
    <definedName name="MedIVMlOpl_8">ber_IVmed!$E$10</definedName>
    <definedName name="MedIVMlOpl_9">ber_IVmed!$E$11</definedName>
    <definedName name="MedIVOplVlst_1">ber_IVmed!$I$3</definedName>
    <definedName name="MedIVOplVlst_10">ber_IVmed!$I$12</definedName>
    <definedName name="MedIVOplVlst_11">ber_IVmed!$I$13</definedName>
    <definedName name="MedIVOplVlst_12">ber_IVmed!$I$14</definedName>
    <definedName name="MedIVOplVlst_13">ber_IVmed!$I$15</definedName>
    <definedName name="MedIVOplVlst_14">ber_IVmed!$I$16</definedName>
    <definedName name="MedIVOplVlst_15">ber_IVmed!$I$17</definedName>
    <definedName name="MedIVOplVlst_2">ber_IVmed!$I$4</definedName>
    <definedName name="MedIVOplVlst_3">ber_IVmed!$I$5</definedName>
    <definedName name="MedIVOplVlst_4">ber_IVmed!$I$6</definedName>
    <definedName name="MedIVOplVlst_5">ber_IVmed!$I$7</definedName>
    <definedName name="MedIVOplVlst_6">ber_IVmed!$I$8</definedName>
    <definedName name="MedIVOplVlst_7">ber_IVmed!$I$9</definedName>
    <definedName name="MedIVOplVlst_8">ber_IVmed!$I$10</definedName>
    <definedName name="MedIVOplVlst_9">ber_IVmed!$I$11</definedName>
    <definedName name="MedIVStand_1">ber_IVmed!$J$3</definedName>
    <definedName name="MedIVStand_10">ber_IVmed!$J$12</definedName>
    <definedName name="MedIVStand_11">ber_IVmed!$J$13</definedName>
    <definedName name="MedIVStand_12">ber_IVmed!$J$14</definedName>
    <definedName name="MedIVStand_13">ber_IVmed!$J$15</definedName>
    <definedName name="MedIVStand_14">ber_IVmed!$J$16</definedName>
    <definedName name="MedIVStand_15">ber_IVmed!$J$17</definedName>
    <definedName name="MedIVStand_2">ber_IVmed!$J$4</definedName>
    <definedName name="MedIVStand_3">ber_IVmed!$J$5</definedName>
    <definedName name="MedIVStand_4">ber_IVmed!$J$6</definedName>
    <definedName name="MedIVStand_5">ber_IVmed!$J$7</definedName>
    <definedName name="MedIVStand_6">ber_IVmed!$J$8</definedName>
    <definedName name="MedIVStand_7">ber_IVmed!$J$9</definedName>
    <definedName name="MedIVStand_8">ber_IVmed!$J$10</definedName>
    <definedName name="MedIVStand_9">ber_IVmed!$J$11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ber_Med_disc!$B$42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21">ber_Med_disc!$C$22</definedName>
    <definedName name="MedKeuze_22">ber_Med_disc!$C$23</definedName>
    <definedName name="MedKeuze_23">ber_Med_disc!$C$24</definedName>
    <definedName name="MedKeuze_24">ber_Med_disc!$C$25</definedName>
    <definedName name="MedKeuze_25">ber_Med_disc!$C$26</definedName>
    <definedName name="MedKeuze_26">ber_Med_disc!$C$27</definedName>
    <definedName name="MedKeuze_27">ber_Med_disc!$C$28</definedName>
    <definedName name="MedKeuze_28">ber_Med_disc!$C$29</definedName>
    <definedName name="MedKeuze_29">ber_Med_disc!$C$30</definedName>
    <definedName name="MedKeuze_3">ber_Med_disc!$C$4</definedName>
    <definedName name="MedKeuze_30">ber_Med_disc!$C$31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21">ber_Med_disc!$O$22</definedName>
    <definedName name="MedOpl_22">ber_Med_disc!$O$23</definedName>
    <definedName name="MedOpl_23">ber_Med_disc!$O$24</definedName>
    <definedName name="MedOpl_24">ber_Med_disc!$O$25</definedName>
    <definedName name="MedOpl_25">ber_Med_disc!$O$26</definedName>
    <definedName name="MedOpl_26">ber_Med_disc!$O$27</definedName>
    <definedName name="MedOpl_27">ber_Med_disc!$O$28</definedName>
    <definedName name="MedOpl_28">ber_Med_disc!$O$29</definedName>
    <definedName name="MedOpl_29">ber_Med_disc!$O$30</definedName>
    <definedName name="MedOpl_3">ber_Med_disc!$O$4</definedName>
    <definedName name="MedOpl_30">ber_Med_disc!$O$31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21">ber_Med_disc!$N$22</definedName>
    <definedName name="MedOplVol_22">ber_Med_disc!$N$23</definedName>
    <definedName name="MedOplVol_23">ber_Med_disc!$N$24</definedName>
    <definedName name="MedOplVol_24">ber_Med_disc!$N$25</definedName>
    <definedName name="MedOplVol_25">ber_Med_disc!$N$26</definedName>
    <definedName name="MedOplVol_26">ber_Med_disc!$N$27</definedName>
    <definedName name="MedOplVol_27">ber_Med_disc!$N$28</definedName>
    <definedName name="MedOplVol_28">ber_Med_disc!$N$29</definedName>
    <definedName name="MedOplVol_29">ber_Med_disc!$N$30</definedName>
    <definedName name="MedOplVol_3">ber_Med_disc!$N$4</definedName>
    <definedName name="MedOplVol_30">ber_Med_disc!$N$31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21">ber_Med_disc!$I$22</definedName>
    <definedName name="MedTijden_22">ber_Med_disc!$I$23</definedName>
    <definedName name="MedTijden_23">ber_Med_disc!$I$24</definedName>
    <definedName name="MedTijden_24">ber_Med_disc!$I$25</definedName>
    <definedName name="MedTijden_25">ber_Med_disc!$I$26</definedName>
    <definedName name="MedTijden_26">ber_Med_disc!$I$27</definedName>
    <definedName name="MedTijden_27">ber_Med_disc!$I$28</definedName>
    <definedName name="MedTijden_28">ber_Med_disc!$I$29</definedName>
    <definedName name="MedTijden_29">ber_Med_disc!$I$30</definedName>
    <definedName name="MedTijden_3">ber_Med_disc!$I$4</definedName>
    <definedName name="MedTijden_30">ber_Med_disc!$I$31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21">ber_Med_disc!$L$22</definedName>
    <definedName name="MedToed_22">ber_Med_disc!$L$23</definedName>
    <definedName name="MedToed_23">ber_Med_disc!$L$24</definedName>
    <definedName name="MedToed_24">ber_Med_disc!$L$25</definedName>
    <definedName name="MedToed_25">ber_Med_disc!$L$26</definedName>
    <definedName name="MedToed_26">ber_Med_disc!$L$27</definedName>
    <definedName name="MedToed_27">ber_Med_disc!$L$28</definedName>
    <definedName name="MedToed_28">ber_Med_disc!$L$29</definedName>
    <definedName name="MedToed_29">ber_Med_disc!$L$30</definedName>
    <definedName name="MedToed_3">ber_Med_disc!$L$4</definedName>
    <definedName name="MedToed_30">ber_Med_disc!$L$31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ber_TPN!$C$21</definedName>
    <definedName name="NaClVol">ber_TPN!$E$7</definedName>
    <definedName name="NaClVol_2">ber_TPN!$E$21</definedName>
    <definedName name="Opl">Lijsten!$A$3:$H$18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15">ber_Opm!$C$36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21">ber_Opm!$C$37</definedName>
    <definedName name="opmMedDisc__22">ber_Opm!$C$38</definedName>
    <definedName name="opmMedDisc__23">ber_Opm!$C$39</definedName>
    <definedName name="opmMedDisc__24">ber_Opm!$C$40</definedName>
    <definedName name="opmMedDisc__25">ber_Opm!$C$41</definedName>
    <definedName name="opmMedDisc__26">ber_Opm!$C$42</definedName>
    <definedName name="opmMedDisc__27">ber_Opm!$C$43</definedName>
    <definedName name="opmMedDisc__28">ber_Opm!$C$44</definedName>
    <definedName name="opmMedDisc__29">ber_Opm!$C$45</definedName>
    <definedName name="opmMedDisc__3">ber_Opm!$C$18</definedName>
    <definedName name="opmMedDisc__30">ber_Opm!$C$46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PatNummer">dbBead!$A$2</definedName>
    <definedName name="patRec">Patienten!$S$1</definedName>
    <definedName name="Peditrace">ber_TPN!$E$5</definedName>
    <definedName name="PM">ber_Infusen!$D$2</definedName>
    <definedName name="PM_AO">ber_Infusen!$G$2</definedName>
    <definedName name="PM_AS">ber_Infusen!$G$5</definedName>
    <definedName name="PM_AV">ber_Infusen!$G$4</definedName>
    <definedName name="PM_Freq">ber_Infusen!$G$1</definedName>
    <definedName name="PM_Instelling">ber_Infusen!$G$1:$G$6</definedName>
    <definedName name="PM_Mod">ber_Infusen!$E$2</definedName>
    <definedName name="PM_Standaard">ber_Infusen!$H$1:$H$6</definedName>
    <definedName name="PM_VO">ber_Infusen!$G$3</definedName>
    <definedName name="PM_VS">ber_Infusen!$G$6</definedName>
    <definedName name="Pos">Lijsten!$M$3:$Y$19</definedName>
    <definedName name="_xlnm.Print_Area" localSheetId="19">AcuteOpvang!$B$2:$G$44</definedName>
    <definedName name="_xlnm.Print_Area" localSheetId="48">'AcuteOpvang Neo'!$B$2:$G$31</definedName>
    <definedName name="_xlnm.Print_Area" localSheetId="22">AfsprakenCMV!$A$2:$J$127</definedName>
    <definedName name="_xlnm.Print_Area" localSheetId="50">Apotheek!$A$1:$Q$63</definedName>
    <definedName name="_xlnm.Print_Area" localSheetId="23">Medicatie!$B$1:$AG$22</definedName>
    <definedName name="_xlnm.Print_Area" localSheetId="42">'Medicatie Neo'!$B$1:$AG$22</definedName>
    <definedName name="_xlnm.Print_Area" localSheetId="49">Print!$A$1:$Q$68</definedName>
    <definedName name="_xlnm.Print_Area" localSheetId="27">TPN16tot30kg!$A$1:$H$48</definedName>
    <definedName name="_xlnm.Print_Area" localSheetId="25">TPN2tot6kg!$A$1:$H$48</definedName>
    <definedName name="_xlnm.Print_Area" localSheetId="28">TPN31tot50kg!$A$1:$H$49</definedName>
    <definedName name="_xlnm.Print_Area" localSheetId="26">TPN7tot15kg!$A$1:$H$50</definedName>
    <definedName name="_xlnm.Print_Area" localSheetId="29">TPNboven50kg!$A$1:$H$52</definedName>
    <definedName name="_xlnm.Print_Area" localSheetId="37">WerkBrief!$A$1:$P$55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21">ber_Med_disc!$U$22</definedName>
    <definedName name="RecNo_22">ber_Med_disc!$U$23</definedName>
    <definedName name="RecNo_23">ber_Med_disc!$U$24</definedName>
    <definedName name="RecNo_24">ber_Med_disc!$U$25</definedName>
    <definedName name="RecNo_25">ber_Med_disc!$U$26</definedName>
    <definedName name="RecNo_26">ber_Med_disc!$U$27</definedName>
    <definedName name="RecNo_27">ber_Med_disc!$U$28</definedName>
    <definedName name="RecNo_28">ber_Med_disc!$U$29</definedName>
    <definedName name="RecNo_29">ber_Med_disc!$U$30</definedName>
    <definedName name="RecNo_3">ber_Med_disc!$U$4</definedName>
    <definedName name="RecNo_30">ber_Med_disc!$U$31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Patienten!$C$2:$C$521</definedName>
    <definedName name="SelectedIntralipidSmof">Berekeningen!$F$35</definedName>
    <definedName name="SelectedIntralipidSmof1700">Berekeningen1700!$F$35</definedName>
    <definedName name="SMOF">ber_TPN!$C$16</definedName>
    <definedName name="Soluvit">ber_TPN!$C$15</definedName>
    <definedName name="SoluvitVol">ber_TPN!$E$15</definedName>
    <definedName name="Sonde">ber_PO!$O$2</definedName>
    <definedName name="SpecVoed_1">ber_PO!$H$2</definedName>
    <definedName name="SpecVoed_10">ber_PO!$H$11</definedName>
    <definedName name="SpecVoed_11">ber_PO!$H$12</definedName>
    <definedName name="SpecVoed_12">ber_PO!$H$13</definedName>
    <definedName name="SpecVoed_2">ber_PO!$H$3</definedName>
    <definedName name="SpecVoed_3">ber_PO!$H$4</definedName>
    <definedName name="SpecVoed_4">ber_PO!$H$5</definedName>
    <definedName name="SpecVoed_5">ber_PO!$H$6</definedName>
    <definedName name="SpecVoed_6">ber_PO!$H$7</definedName>
    <definedName name="SpecVoed_7">ber_PO!$H$8</definedName>
    <definedName name="SpecVoed_8">ber_PO!$H$9</definedName>
    <definedName name="SpecVoed_9">ber_PO!$H$10</definedName>
    <definedName name="SST2Stand">ber_TPN!$D$19</definedName>
    <definedName name="SSTglucose">ber_TPN!$B$6</definedName>
    <definedName name="SSTGlucose_2">ber_TPN!$B$20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21">ber_Med_disc!$E$22</definedName>
    <definedName name="StandDos_22">ber_Med_disc!$E$23</definedName>
    <definedName name="StandDos_23">ber_Med_disc!$E$24</definedName>
    <definedName name="StandDos_24">ber_Med_disc!$E$25</definedName>
    <definedName name="StandDos_25">ber_Med_disc!$E$26</definedName>
    <definedName name="StandDos_26">ber_Med_disc!$E$27</definedName>
    <definedName name="StandDos_27">ber_Med_disc!$E$28</definedName>
    <definedName name="StandDos_28">ber_Med_disc!$E$29</definedName>
    <definedName name="StandDos_29">ber_Med_disc!$E$30</definedName>
    <definedName name="StandDos_3">ber_Med_disc!$E$4</definedName>
    <definedName name="StandDos_30">ber_Med_disc!$E$31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21">ber_Med_disc!$B$22</definedName>
    <definedName name="StartDatum_22">ber_Med_disc!$B$23</definedName>
    <definedName name="StartDatum_23">ber_Med_disc!$B$24</definedName>
    <definedName name="StartDatum_24">ber_Med_disc!$B$25</definedName>
    <definedName name="StartDatum_25">ber_Med_disc!$B$26</definedName>
    <definedName name="StartDatum_26">ber_Med_disc!$B$27</definedName>
    <definedName name="StartDatum_27">ber_Med_disc!$B$28</definedName>
    <definedName name="StartDatum_28">ber_Med_disc!$B$29</definedName>
    <definedName name="StartDatum_29">ber_Med_disc!$B$30</definedName>
    <definedName name="StartDatum_3">ber_Med_disc!$B$4</definedName>
    <definedName name="StartDatum_30">ber_Med_disc!$B$31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abelAcuteTubeMaatKgNeo">'AcuteOpvang Neo'!$L$22:$N$24</definedName>
    <definedName name="tblBerMedContIV">ber_IVmed!$B$2:$H$12</definedName>
    <definedName name="tblInfusen">tblInfusen!$A$2:$A$34</definedName>
    <definedName name="tblInfusenBer">tblInfusen!$A$2:$C$34</definedName>
    <definedName name="tblMedDiscEenh">tblMedDisc!$E$2:$E$7</definedName>
    <definedName name="tblMedDiscOplVl">tblMedDisc!$B$2:$B$5</definedName>
    <definedName name="tblMedDiscTijden">tblMedDisc!$C$2:$D$14</definedName>
    <definedName name="tblMedDiscTijdenIndex">tblMedDisc!$C$2:$C$14</definedName>
    <definedName name="tblMedDiscTijdenValues">tblMedDisc!$D$2:$D$14</definedName>
    <definedName name="tblMedDiscToed">tblMedDisc!$A$2:$A$13</definedName>
    <definedName name="tblMedicationContIV">tblMedicatieIV!$B$3:$W$34</definedName>
    <definedName name="tblOmrekenCa">tblVoeding!$E$4</definedName>
    <definedName name="tblOmrekenCl">tblVoeding!$J$4</definedName>
    <definedName name="tblOmrekenFe">tblVoeding!$H$4</definedName>
    <definedName name="tblOmrekenK">tblVoeding!$D$4</definedName>
    <definedName name="tblOmrekenMg">tblVoeding!$G$4</definedName>
    <definedName name="tblOmrekenNA">tblVoeding!$C$4</definedName>
    <definedName name="tblOmrekenP">tblVoeding!$F$4</definedName>
    <definedName name="tblOmrekenVitD">tblVoeding!$I$4</definedName>
    <definedName name="tblOplossing">ber_IVmed!$T$3:$T$6</definedName>
    <definedName name="tblOpzoekenMedicatieIV">tblMedicatieIV!$A$3:$B$34</definedName>
    <definedName name="tblPacemakerModus">tblInfusen!$F$2:$F$5</definedName>
    <definedName name="tblPacemakerPositie">tblInfusen!$E$2:$E$5</definedName>
    <definedName name="tblPerOs">tblPO!$C$3:$O$27</definedName>
    <definedName name="tblPO_poederlijst">tblPO!$C$31:$C$54</definedName>
    <definedName name="tblPoeder">tblPO!$C$31:$O$54</definedName>
    <definedName name="tblSonde">tblPO!$Q$2:$Q$6</definedName>
    <definedName name="tblSSTGlucose">ber_TPN!$K$27:$K$40</definedName>
    <definedName name="tblTijden">ber_Med_disc!$C$28:$D$39</definedName>
    <definedName name="tblTPN">ber_TPN!$A$27:$I$28</definedName>
    <definedName name="tblVoedingBasislijst">tblVoeding!$B$8:$N$44</definedName>
    <definedName name="tblVoedingPO">tblPO!$C$3:$C$27</definedName>
    <definedName name="tblVoedingPoeder">tblVoeding!$B$49:$N$75</definedName>
    <definedName name="TotaalVocht">ber_Med_disc!$P$33</definedName>
    <definedName name="TPN">ber_TPN!$B$4</definedName>
    <definedName name="tpnB">ber_TPN!$A$29:$I$29</definedName>
    <definedName name="tpnC">ber_TPN!$A$30:$I$30</definedName>
    <definedName name="tpnD">ber_TPN!$A$31:$I$31</definedName>
    <definedName name="tpnE">ber_TPN!$A$32:$I$32</definedName>
    <definedName name="TpnNICU">Lijsten!$M$25:$V$26</definedName>
    <definedName name="tpnNutriflex">ber_TPN!$A$33:$I$33</definedName>
    <definedName name="tpnSelected">ber_TPN!$A$28:$I$28</definedName>
    <definedName name="TPNVol">ber_TPN!$E$4</definedName>
    <definedName name="VitIntra">ber_TPN!$C$14</definedName>
    <definedName name="VitIntraVol">ber_TPN!$E$14</definedName>
    <definedName name="VolPO_1">ber_PO!$K$2</definedName>
    <definedName name="VolPO_2">ber_PO!$K$3</definedName>
    <definedName name="VolPO_3">ber_PO!$K$4</definedName>
    <definedName name="VolPO_4">ber_PO!$K$5</definedName>
    <definedName name="Z_33CCADFA_0D48_46A6_8927_2B2144029216_.wvu.FilterData" localSheetId="53" hidden="1">Patienten!$A$1:$Q$577</definedName>
    <definedName name="Z_33CCADFA_0D48_46A6_8927_2B2144029216_.wvu.FilterData" localSheetId="58" hidden="1">Temp!$A$2:$B$437</definedName>
    <definedName name="Z_33CCADFA_0D48_46A6_8927_2B2144029216_.wvu.PrintArea" localSheetId="19" hidden="1">AcuteOpvang!$B$2:$G$44</definedName>
    <definedName name="Z_33CCADFA_0D48_46A6_8927_2B2144029216_.wvu.PrintArea" localSheetId="48" hidden="1">'AcuteOpvang Neo'!$B$2:$G$31</definedName>
    <definedName name="Z_33CCADFA_0D48_46A6_8927_2B2144029216_.wvu.PrintArea" localSheetId="22" hidden="1">AfsprakenCMV!$A$2:$J$127</definedName>
    <definedName name="Z_33CCADFA_0D48_46A6_8927_2B2144029216_.wvu.PrintArea" localSheetId="23" hidden="1">Medicatie!$B$1:$AG$22</definedName>
    <definedName name="Z_33CCADFA_0D48_46A6_8927_2B2144029216_.wvu.PrintArea" localSheetId="42" hidden="1">'Medicatie Neo'!$B$1:$AG$22</definedName>
    <definedName name="Z_33CCADFA_0D48_46A6_8927_2B2144029216_.wvu.PrintArea" localSheetId="27" hidden="1">TPN16tot30kg!$A$1:$H$48</definedName>
    <definedName name="Z_33CCADFA_0D48_46A6_8927_2B2144029216_.wvu.PrintArea" localSheetId="25" hidden="1">TPN2tot6kg!$A$1:$H$48</definedName>
    <definedName name="Z_33CCADFA_0D48_46A6_8927_2B2144029216_.wvu.PrintArea" localSheetId="28" hidden="1">TPN31tot50kg!$A$1:$H$49</definedName>
    <definedName name="Z_33CCADFA_0D48_46A6_8927_2B2144029216_.wvu.PrintArea" localSheetId="26" hidden="1">TPN7tot15kg!$A$1:$H$50</definedName>
    <definedName name="Z_33CCADFA_0D48_46A6_8927_2B2144029216_.wvu.PrintArea" localSheetId="29" hidden="1">TPNboven50kg!$A$1:$H$52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D26" i="12"/>
  <c r="C26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<sst xmlns="http://schemas.openxmlformats.org/spreadsheetml/2006/main" count="6106" uniqueCount="2648">
  <si>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</si>
  <si>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</si>
  <si>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</si>
  <si>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</si>
  <si>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</si>
  <si>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</si>
  <si>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</si>
  <si>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</si>
  <si>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</si>
  <si>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</si>
  <si>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</si>
  <si>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</si>
  <si>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</si>
  <si>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</si>
  <si>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</si>
  <si>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</si>
  <si>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</si>
  <si>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</si>
  <si>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</si>
  <si>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</si>
  <si>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</si>
  <si>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</si>
  <si>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</si>
  <si>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</si>
  <si>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</si>
  <si>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</si>
  <si>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</si>
  <si>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</si>
  <si>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</si>
  <si>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</si>
  <si>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</si>
  <si>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</si>
  <si>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</si>
  <si>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</si>
  <si>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</si>
  <si>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</si>
  <si>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</si>
  <si>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</si>
  <si>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</si>
  <si>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</si>
  <si>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</si>
  <si>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</si>
  <si>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</si>
  <si>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</si>
  <si>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</si>
  <si>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</si>
  <si>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</si>
  <si>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</si>
  <si>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</si>
  <si>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</si>
  <si>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</si>
  <si>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</si>
  <si>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</si>
  <si>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</si>
  <si>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</si>
  <si>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</si>
  <si>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</si>
  <si>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</si>
  <si>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</si>
  <si>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</si>
  <si>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</si>
  <si>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</si>
  <si>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</si>
  <si>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</si>
  <si>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</si>
  <si>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</si>
  <si>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</si>
  <si>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</si>
  <si>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</si>
  <si>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</si>
  <si>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</si>
  <si>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</si>
  <si>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</si>
  <si>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</si>
  <si>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</si>
  <si>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</si>
  <si>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</si>
  <si>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</si>
  <si>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</si>
  <si>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</si>
  <si>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</si>
  <si>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</si>
  <si>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</si>
  <si>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</si>
  <si>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</si>
  <si>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</si>
  <si>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</si>
  <si>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</si>
  <si>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</si>
  <si>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</si>
  <si>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</si>
  <si>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</si>
  <si>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</si>
  <si>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</si>
  <si>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</si>
  <si>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</si>
  <si>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</si>
  <si>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</si>
  <si>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</si>
  <si>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</si>
  <si>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</si>
  <si>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</si>
  <si>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</si>
  <si>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</si>
  <si>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</si>
  <si>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</si>
  <si>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</si>
  <si>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</si>
  <si>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</si>
  <si>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</si>
  <si>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</si>
  <si>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</si>
  <si>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</si>
  <si>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</si>
  <si>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</si>
  <si>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</si>
  <si>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</si>
  <si>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</si>
  <si>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</si>
  <si>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</si>
  <si>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</si>
  <si>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</si>
  <si>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</si>
  <si>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</si>
  <si>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</si>
  <si>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</si>
  <si>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</si>
  <si>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</si>
  <si>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</si>
  <si>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</si>
  <si>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</si>
  <si>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</si>
  <si>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</si>
  <si>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</si>
  <si>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</si>
  <si>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</si>
  <si>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</si>
  <si>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</si>
  <si>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</si>
  <si>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</si>
  <si>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</si>
  <si>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</si>
  <si>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</si>
  <si>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</si>
  <si>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</si>
  <si>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</si>
  <si>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</si>
  <si>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</si>
  <si>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</si>
  <si>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</si>
  <si>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</si>
  <si>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</si>
  <si>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</si>
  <si>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</si>
  <si>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</si>
  <si>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</si>
  <si>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</si>
  <si>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</si>
  <si>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</si>
  <si>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</si>
  <si>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</si>
  <si>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</si>
  <si>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</si>
  <si>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</si>
  <si>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</si>
  <si>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</si>
  <si>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</si>
  <si>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</si>
  <si>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</si>
  <si>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</si>
  <si>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</si>
  <si>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</si>
  <si>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</si>
  <si>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</si>
  <si>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</si>
  <si>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</si>
  <si>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</si>
  <si>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</si>
  <si>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</si>
  <si>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</si>
  <si>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</si>
  <si>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</si>
  <si>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</si>
  <si>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</si>
  <si>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</si>
  <si>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</si>
  <si>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</si>
  <si>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</si>
  <si>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</si>
  <si>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</si>
  <si>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</si>
  <si>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</si>
  <si>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</si>
  <si>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</si>
  <si>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</si>
  <si>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</si>
  <si>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</si>
  <si>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</si>
  <si>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</si>
  <si>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</si>
  <si>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</si>
  <si>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</si>
  <si>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</si>
  <si>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</si>
  <si>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</si>
  <si>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</si>
  <si>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</si>
  <si>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</si>
  <si>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</si>
  <si>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</si>
  <si>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</si>
  <si>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</si>
  <si>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</si>
  <si>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</si>
  <si>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</si>
  <si>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</si>
  <si>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</si>
  <si>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</si>
  <si>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</si>
  <si>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</si>
  <si>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</si>
  <si>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</si>
  <si>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</si>
  <si>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</si>
  <si>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</si>
  <si>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</si>
  <si>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</si>
  <si>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</si>
  <si>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</si>
  <si>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</si>
  <si>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</si>
  <si>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</si>
  <si>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</si>
  <si>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</si>
  <si>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</si>
  <si>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</si>
  <si>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</si>
  <si>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</si>
  <si>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</si>
  <si>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</si>
  <si>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</si>
  <si>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</si>
  <si>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</si>
  <si>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</si>
  <si>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</si>
  <si>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</si>
  <si>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</si>
  <si>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</si>
  <si>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</si>
  <si>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</si>
  <si>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</si>
  <si>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</si>
  <si>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</si>
  <si>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</si>
  <si>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</si>
  <si>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</si>
  <si>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</si>
  <si>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</si>
  <si>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</si>
  <si>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</si>
  <si>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</si>
  <si>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</si>
  <si>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</si>
  <si>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</si>
  <si>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</si>
  <si>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</si>
  <si>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</si>
  <si>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</si>
  <si>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</si>
  <si>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</si>
  <si>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</si>
  <si>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</si>
  <si>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</si>
  <si>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</si>
  <si>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</si>
  <si>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</si>
  <si>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</si>
  <si>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</si>
  <si>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</si>
  <si>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</si>
  <si>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</si>
  <si>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</si>
  <si>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</si>
  <si>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</si>
  <si>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</si>
  <si>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</si>
  <si>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</si>
  <si>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</si>
  <si>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</si>
  <si>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</si>
  <si>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</si>
  <si>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</si>
  <si>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</si>
  <si>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</si>
  <si>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</si>
  <si>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</si>
  <si>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</si>
  <si>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</si>
  <si>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</si>
  <si>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</si>
  <si>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</si>
  <si>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</si>
  <si>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</si>
  <si>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</si>
  <si>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</si>
  <si>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</si>
  <si>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</si>
  <si>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</si>
  <si>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</si>
  <si>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</si>
  <si>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</si>
  <si>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</si>
  <si>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</si>
  <si>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</si>
  <si>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</si>
  <si>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</si>
  <si>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</si>
  <si>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</si>
  <si>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</si>
  <si>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</si>
  <si>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</si>
  <si>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</si>
  <si>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</si>
  <si>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</si>
  <si>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</si>
  <si>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</si>
  <si>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</si>
  <si>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</si>
  <si>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</si>
  <si>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</si>
  <si>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</si>
  <si>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</si>
  <si>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</si>
  <si>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</si>
  <si>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</si>
  <si>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</si>
  <si>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</si>
  <si>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</si>
  <si>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</si>
  <si>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</si>
  <si>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</si>
  <si>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</si>
  <si>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</si>
  <si>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</si>
  <si>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</si>
  <si>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</si>
  <si>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</si>
  <si>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</si>
  <si>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</si>
  <si>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</si>
  <si>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</si>
  <si>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</si>
  <si>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</si>
  <si>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</si>
  <si>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</si>
  <si>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</si>
  <si>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</si>
  <si>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</si>
  <si>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</si>
  <si>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</si>
  <si>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</si>
  <si>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</si>
  <si>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</si>
  <si>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</si>
  <si>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</si>
  <si>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</si>
  <si>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</si>
  <si>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</si>
  <si>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</si>
  <si>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</si>
  <si>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</si>
  <si>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</si>
  <si>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</si>
  <si>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</si>
  <si>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</si>
  <si>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</si>
  <si>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</si>
  <si>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</si>
  <si>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</si>
  <si>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</si>
  <si>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</si>
  <si>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</si>
  <si>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</si>
  <si>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</si>
  <si>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</si>
  <si>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</si>
  <si>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</si>
  <si>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</si>
  <si>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</si>
  <si>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</si>
  <si>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</si>
  <si>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</si>
  <si>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</si>
  <si>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</si>
  <si>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</si>
  <si>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</si>
  <si>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</si>
  <si>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</si>
  <si>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</si>
  <si>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</si>
  <si>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</si>
  <si>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</si>
  <si>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</si>
  <si>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</si>
  <si>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</si>
  <si>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</si>
  <si>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</si>
  <si>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</si>
  <si>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</si>
  <si>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</si>
  <si>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</si>
  <si>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</si>
  <si>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</si>
  <si>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</si>
  <si>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</si>
  <si>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</si>
  <si>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</si>
  <si>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</si>
  <si>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</si>
  <si>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</si>
  <si>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</si>
  <si>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</si>
  <si>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</si>
  <si>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</si>
  <si>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</si>
  <si>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</si>
  <si>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</si>
  <si>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</si>
  <si>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</si>
  <si>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</si>
  <si>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</si>
  <si>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</si>
  <si>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</si>
  <si>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</si>
  <si>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</si>
  <si>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</si>
  <si>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</si>
  <si>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</si>
  <si>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</si>
  <si>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</si>
  <si>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</si>
  <si>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</si>
  <si>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</si>
  <si>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</si>
  <si>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</si>
  <si>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</si>
  <si>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</si>
  <si>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</si>
  <si>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</si>
  <si>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</si>
  <si>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</si>
  <si>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</si>
  <si>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</si>
  <si>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</si>
  <si>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</si>
  <si>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</si>
  <si>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</si>
  <si>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</si>
  <si>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</si>
  <si>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</si>
  <si>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</si>
  <si>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</si>
  <si>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</si>
  <si>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</si>
  <si>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</si>
  <si>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</si>
  <si>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</si>
  <si>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</si>
  <si>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</si>
  <si>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</si>
  <si>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</si>
  <si>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</si>
  <si>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</si>
  <si>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</si>
  <si>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</si>
  <si>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</si>
  <si>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</si>
  <si>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</si>
  <si>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</si>
  <si>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</si>
  <si>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</si>
  <si>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</si>
  <si>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</si>
  <si>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</si>
  <si>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</si>
  <si>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</si>
  <si>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</si>
  <si>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</si>
  <si>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</si>
  <si>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</si>
  <si>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</si>
  <si>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</si>
  <si>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</si>
  <si>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</si>
  <si>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</si>
  <si>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</si>
  <si>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</si>
  <si>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</si>
  <si>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</si>
  <si>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</si>
  <si>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</si>
  <si>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</si>
  <si>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</si>
  <si>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</si>
  <si>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</si>
  <si>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</si>
  <si>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</si>
  <si>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</si>
  <si>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</si>
  <si>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</si>
  <si>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</si>
  <si>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</si>
  <si>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</si>
  <si>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</si>
  <si>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</si>
  <si>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</si>
  <si>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</si>
  <si>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</si>
  <si>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</si>
  <si>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</si>
  <si>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</si>
  <si>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</si>
  <si>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</si>
  <si>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</si>
  <si>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</si>
  <si>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</si>
  <si>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</si>
  <si>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</si>
  <si>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</si>
  <si>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</si>
  <si>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</si>
  <si>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</si>
  <si>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</si>
  <si>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</si>
  <si>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</si>
  <si>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</si>
  <si>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</si>
  <si>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</si>
  <si>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</si>
  <si>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</si>
  <si>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</si>
  <si>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</si>
  <si>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</si>
  <si>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</si>
  <si>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</si>
  <si>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</si>
  <si>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</si>
  <si>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</si>
  <si>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</si>
  <si>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</si>
  <si>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</si>
  <si>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</si>
  <si>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</si>
  <si>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</si>
  <si>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</si>
  <si>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</si>
  <si>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</si>
  <si>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</si>
  <si>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</si>
  <si>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</si>
  <si>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</si>
  <si>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</si>
  <si>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</si>
  <si>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</si>
  <si>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</si>
  <si>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</si>
  <si>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</si>
  <si>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</si>
  <si>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</si>
  <si>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</si>
  <si>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</si>
  <si>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</si>
  <si>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</si>
  <si>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</si>
  <si>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</si>
  <si>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</si>
  <si>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</si>
  <si>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</si>
  <si>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</si>
  <si>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</si>
  <si>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</si>
  <si>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</si>
  <si>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</si>
  <si>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</si>
  <si>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</si>
  <si>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</si>
  <si>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</si>
  <si>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</si>
  <si>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</si>
  <si>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</si>
  <si>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</si>
  <si>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</si>
  <si>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</si>
  <si>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</si>
  <si>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</si>
  <si>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</si>
  <si>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</si>
  <si>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</si>
  <si>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</si>
  <si>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</si>
  <si>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</si>
  <si>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</si>
  <si>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</si>
  <si>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</si>
  <si>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</si>
  <si>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</si>
  <si>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</si>
  <si>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</si>
  <si>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</si>
  <si>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</si>
  <si>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</si>
  <si>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</si>
  <si>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</si>
  <si>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</si>
  <si>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</si>
  <si>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</si>
  <si>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</si>
  <si>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</si>
  <si>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</si>
  <si>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</si>
  <si>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</si>
  <si>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</si>
  <si>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</si>
  <si>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</si>
  <si>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</si>
  <si>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</si>
  <si>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</si>
  <si>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</si>
  <si>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</si>
  <si>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</si>
  <si>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</si>
  <si>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</si>
  <si>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</si>
  <si>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</si>
  <si>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</si>
  <si>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</si>
  <si>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</si>
  <si>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</si>
  <si>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</si>
  <si>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</si>
  <si>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</si>
  <si>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</si>
  <si>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</si>
  <si>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</si>
  <si>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</si>
  <si>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</si>
  <si>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</si>
  <si>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</si>
  <si>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</si>
  <si>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</si>
  <si>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</si>
  <si>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</si>
  <si>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</si>
  <si>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</si>
  <si>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</si>
  <si>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</si>
  <si>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</si>
  <si>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</si>
  <si>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</si>
  <si>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</si>
  <si>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</si>
  <si>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</si>
  <si>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</si>
  <si>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</si>
  <si>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</si>
  <si>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</si>
  <si>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</si>
  <si>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</si>
  <si>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</si>
  <si>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</si>
  <si>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</si>
  <si>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</si>
  <si>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</si>
  <si>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</si>
  <si>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</si>
  <si>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</si>
  <si>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</si>
  <si>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</si>
  <si>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</si>
  <si>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</si>
  <si>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</si>
  <si>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</si>
  <si>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</si>
  <si>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</si>
  <si>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</si>
  <si>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</si>
  <si>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</si>
  <si>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</si>
  <si>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</si>
  <si>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</si>
  <si>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</si>
  <si>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</si>
  <si>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</si>
  <si>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</si>
  <si>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</si>
  <si>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</si>
  <si>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</si>
  <si>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</si>
  <si>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</si>
  <si>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</si>
  <si>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</si>
  <si>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</si>
  <si>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</si>
  <si>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</si>
  <si>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</si>
  <si>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</si>
  <si>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</si>
  <si>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</si>
  <si>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</si>
  <si>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</si>
  <si>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</si>
  <si>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</si>
  <si>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</si>
  <si>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</si>
  <si>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</si>
  <si>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</si>
  <si>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</si>
  <si>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</si>
  <si>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</si>
  <si>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</si>
  <si>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</si>
  <si>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</si>
  <si>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</si>
  <si>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</si>
  <si>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</si>
  <si>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</si>
  <si>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</si>
  <si>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</si>
  <si>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</si>
  <si>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</si>
  <si>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</si>
  <si>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</si>
  <si>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</si>
  <si>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</si>
  <si>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</si>
  <si>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</si>
  <si>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</si>
  <si>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</si>
  <si>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</si>
  <si>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</si>
  <si>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</si>
  <si>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</si>
  <si>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</si>
  <si>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</si>
  <si>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</si>
  <si>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</si>
  <si>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</si>
  <si>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</si>
  <si>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</si>
  <si>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</si>
  <si>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</si>
  <si>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</si>
  <si>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</si>
  <si>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</si>
  <si>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</si>
  <si>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</si>
  <si>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</si>
  <si>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</si>
  <si>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</si>
  <si>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</si>
  <si>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</si>
  <si>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</si>
  <si>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</si>
  <si>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</si>
  <si>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</si>
  <si>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</si>
  <si>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</si>
  <si>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</si>
  <si>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</si>
  <si>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</si>
  <si>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</si>
  <si>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</si>
  <si>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</si>
  <si>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</si>
  <si>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</si>
  <si>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</si>
  <si>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</si>
  <si>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</si>
  <si>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</si>
  <si>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</si>
  <si>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</si>
  <si>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</si>
  <si>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</si>
  <si>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</si>
  <si>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</si>
  <si>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</si>
  <si>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</si>
  <si>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</si>
  <si>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</si>
  <si>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</si>
  <si>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</si>
  <si>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</si>
  <si>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</si>
  <si>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</si>
  <si>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</si>
  <si>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</si>
  <si>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</si>
  <si>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</si>
  <si>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</si>
  <si>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</si>
  <si>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</si>
  <si>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</si>
  <si>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</si>
  <si>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</si>
  <si>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</si>
  <si>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</si>
  <si>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</si>
  <si>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</si>
  <si>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</si>
  <si>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</si>
  <si>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</si>
  <si>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</si>
  <si>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</si>
  <si>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</si>
  <si>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</si>
  <si>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</si>
  <si>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</si>
  <si>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</si>
  <si>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</si>
  <si>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</si>
  <si>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</si>
  <si>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</si>
  <si>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</si>
  <si>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</si>
  <si>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</si>
  <si>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</si>
  <si>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</si>
  <si>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</si>
  <si>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</si>
  <si>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</si>
  <si>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</si>
  <si>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</si>
  <si>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</si>
  <si>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</si>
  <si>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</si>
  <si>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</si>
  <si>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</si>
  <si>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</si>
  <si>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</si>
  <si>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</si>
  <si>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</si>
  <si>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</si>
  <si>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</si>
  <si>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</si>
  <si>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</si>
  <si>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</si>
  <si>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</si>
  <si>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</si>
  <si>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</si>
  <si>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</si>
  <si>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</si>
  <si>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</si>
  <si>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</si>
  <si>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</si>
  <si>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</si>
  <si>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</si>
  <si>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</si>
  <si>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</si>
  <si>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</si>
  <si>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</si>
  <si>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</si>
  <si>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</si>
  <si>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</si>
  <si>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</si>
  <si>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</si>
  <si>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</si>
  <si>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</si>
  <si>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</si>
  <si>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</si>
  <si>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</si>
  <si>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</si>
  <si>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</si>
  <si>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</si>
  <si>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</si>
  <si>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</si>
  <si>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</si>
  <si>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</si>
  <si>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</si>
  <si>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</si>
  <si>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</si>
  <si>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</si>
  <si>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</si>
  <si>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</si>
  <si>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</si>
  <si>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</si>
  <si>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</si>
  <si>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</si>
  <si>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</si>
  <si>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</si>
  <si>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</si>
  <si>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</si>
  <si>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</si>
  <si>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</si>
  <si>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</si>
  <si>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</si>
  <si>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</si>
  <si>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</si>
  <si>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</si>
  <si>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</si>
  <si>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</si>
  <si>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</si>
  <si>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</si>
  <si>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</si>
  <si>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</si>
  <si>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</si>
  <si>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</si>
  <si>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</si>
  <si>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</si>
  <si>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</si>
  <si>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</si>
  <si>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</si>
  <si>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</si>
  <si>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</si>
  <si>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</si>
  <si>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</si>
  <si>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</si>
  <si>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</si>
  <si>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</si>
  <si>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</si>
  <si>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</si>
  <si>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</si>
  <si>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</si>
  <si>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</si>
  <si>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</si>
  <si>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</si>
  <si>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</si>
  <si>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</si>
  <si>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</si>
  <si>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</si>
  <si>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</si>
  <si>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</si>
  <si>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</si>
  <si>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</si>
  <si>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</si>
  <si>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</si>
  <si>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</si>
  <si>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</si>
  <si>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</si>
  <si>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</si>
  <si>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</si>
  <si>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</si>
  <si>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</si>
  <si>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</si>
  <si>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</si>
  <si>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</si>
  <si>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</si>
  <si>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</si>
  <si>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</si>
  <si>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</si>
  <si>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</si>
  <si>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</si>
  <si>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</si>
  <si>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</si>
  <si>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</si>
  <si>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</si>
  <si>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</si>
  <si>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</si>
  <si>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</si>
  <si>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</si>
  <si>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</si>
  <si>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</si>
  <si>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</si>
  <si>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</si>
  <si>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</si>
  <si>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</si>
  <si>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</si>
  <si>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</si>
  <si>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</si>
  <si>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</si>
  <si>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</si>
  <si>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</si>
  <si>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</si>
  <si>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</si>
  <si>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</si>
  <si>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</si>
  <si>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</si>
  <si>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</si>
  <si>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</si>
  <si>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</si>
  <si>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</si>
  <si>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</si>
  <si>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</si>
  <si>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</si>
  <si>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</si>
  <si>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</si>
  <si>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</si>
  <si>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</si>
  <si>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</si>
  <si>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</si>
  <si>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</si>
  <si>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</si>
  <si>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</si>
  <si>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</si>
  <si>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</si>
  <si>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</si>
  <si>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</si>
  <si>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</si>
  <si>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</si>
  <si>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</si>
  <si>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</si>
  <si>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</si>
  <si>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</si>
  <si>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</si>
  <si>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</si>
  <si>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</si>
  <si>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</si>
  <si>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</si>
  <si>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</si>
  <si>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</si>
  <si>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</si>
  <si>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</si>
  <si>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</si>
  <si>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</si>
  <si>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</si>
  <si>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</si>
  <si>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</si>
  <si>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</si>
  <si>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</si>
  <si>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</si>
  <si>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</si>
  <si>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</si>
  <si>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</si>
  <si>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</si>
  <si>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</si>
  <si>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</si>
  <si>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</si>
  <si>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</si>
  <si>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</si>
  <si>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</si>
  <si>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</si>
  <si>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</si>
  <si>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</si>
  <si>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</si>
  <si>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</si>
  <si>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</si>
  <si>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</si>
  <si>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</si>
  <si>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</si>
  <si>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</si>
  <si>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</si>
  <si>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</si>
  <si>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</si>
  <si>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</si>
  <si>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</si>
  <si>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</si>
  <si>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</si>
  <si>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</si>
  <si>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</si>
  <si>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</si>
  <si>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</si>
  <si>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</si>
  <si>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</si>
  <si>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</si>
  <si>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</si>
  <si>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</si>
  <si>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</si>
  <si>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</si>
  <si>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</si>
  <si>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</si>
  <si>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</si>
  <si>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</si>
  <si>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</si>
  <si>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</si>
  <si>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</si>
  <si>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</si>
  <si>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</si>
  <si>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</si>
  <si>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</si>
  <si>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</si>
  <si>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</si>
  <si>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</si>
  <si>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</si>
  <si>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</si>
  <si>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</si>
  <si>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</si>
  <si>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</si>
  <si>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</si>
  <si>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</si>
  <si>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</si>
  <si>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</si>
  <si>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</si>
  <si>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</si>
  <si>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</si>
  <si>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</si>
  <si>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</si>
  <si>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</si>
  <si>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</si>
  <si>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</si>
  <si>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</si>
  <si>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</si>
  <si>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</si>
  <si>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</si>
  <si>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</si>
  <si>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</si>
  <si>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</si>
  <si>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</si>
  <si>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</si>
  <si>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</si>
  <si>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</si>
  <si>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</si>
  <si>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</si>
  <si>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</si>
  <si>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</si>
  <si>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</si>
  <si>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</si>
  <si>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</si>
  <si>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</si>
  <si>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</si>
  <si>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</si>
  <si>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</si>
  <si>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</si>
  <si>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</si>
  <si>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</si>
  <si>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</si>
  <si>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</si>
  <si>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</si>
  <si>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</si>
  <si>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</si>
  <si>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</si>
  <si>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</si>
  <si>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</si>
  <si>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</si>
  <si>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</si>
  <si>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</si>
  <si>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</si>
  <si>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</si>
  <si>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</si>
  <si>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</si>
  <si>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</si>
  <si>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</si>
  <si>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</si>
  <si>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</si>
  <si>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</si>
  <si>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</si>
  <si>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</si>
  <si>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</si>
  <si>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</si>
  <si>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</si>
  <si>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</si>
  <si>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</si>
  <si>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</si>
  <si>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</si>
  <si>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</si>
  <si>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</si>
  <si>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</si>
  <si>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</si>
  <si>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</si>
  <si>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</si>
  <si>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</si>
  <si>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</si>
  <si>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</si>
  <si>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</si>
  <si>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</si>
  <si>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</si>
  <si>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</si>
  <si>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</si>
  <si>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</si>
  <si>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</si>
  <si>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</si>
  <si>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</si>
  <si>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</si>
  <si>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</si>
  <si>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</si>
  <si>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</si>
  <si>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</si>
  <si>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</si>
  <si>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</si>
  <si>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</si>
  <si>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</si>
  <si>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</si>
  <si>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</si>
  <si>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</si>
  <si>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</si>
  <si>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</si>
  <si>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</si>
  <si>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</si>
  <si>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</si>
  <si>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</si>
  <si>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</si>
  <si>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</si>
  <si>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</si>
  <si>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</si>
  <si>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</si>
  <si>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</si>
  <si>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</si>
  <si>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</si>
  <si>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</si>
  <si>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</si>
  <si>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</si>
  <si>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</si>
  <si>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</si>
  <si>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</si>
  <si>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</si>
  <si>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</si>
  <si>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</si>
  <si>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</si>
  <si>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</si>
  <si>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</si>
  <si>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</si>
  <si>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</si>
  <si>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</si>
  <si>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</si>
  <si>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</si>
  <si>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</si>
  <si>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</si>
  <si>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</si>
  <si>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</si>
  <si>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</si>
  <si>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</si>
  <si>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</si>
  <si>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</si>
  <si>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</si>
  <si>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</si>
  <si>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</si>
  <si>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</si>
  <si>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</si>
  <si>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</si>
  <si>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</si>
  <si>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</si>
  <si>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</si>
  <si>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</si>
  <si>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</si>
  <si>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</si>
  <si>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</si>
  <si>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</si>
  <si>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</si>
  <si>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</si>
  <si>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</si>
  <si>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</si>
  <si>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</si>
  <si>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</si>
  <si>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</si>
  <si>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</si>
  <si>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</si>
  <si>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</si>
  <si>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</si>
  <si>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</si>
  <si>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</si>
  <si>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</si>
  <si>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</si>
  <si>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</si>
  <si>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</si>
  <si>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</si>
  <si>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</si>
  <si>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</si>
  <si>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</si>
  <si>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</si>
  <si>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</si>
  <si>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</si>
  <si>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</si>
  <si>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</si>
  <si>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</si>
  <si>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</si>
  <si>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</si>
  <si>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</si>
  <si>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</si>
  <si>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</si>
  <si>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</si>
  <si>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</si>
  <si>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</si>
  <si>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</si>
  <si>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</si>
  <si>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</si>
  <si>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</si>
  <si>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</si>
  <si>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</si>
  <si>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</si>
  <si>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</si>
  <si>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</si>
  <si>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</si>
  <si>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</si>
  <si>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</si>
  <si>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</si>
  <si>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</si>
  <si>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</si>
  <si>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</si>
  <si>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</si>
  <si>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</si>
  <si>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</si>
  <si>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</si>
  <si>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</si>
  <si>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</si>
  <si>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</si>
  <si>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</si>
  <si>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</si>
  <si>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</si>
  <si>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</si>
  <si>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</si>
  <si>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</si>
  <si>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</si>
  <si>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</si>
  <si>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</si>
  <si>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</si>
  <si>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</si>
  <si>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</si>
  <si>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</si>
  <si>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</si>
  <si>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</si>
  <si>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</si>
  <si>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</si>
  <si>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</si>
  <si>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</si>
  <si>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</si>
  <si>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</si>
  <si>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</si>
  <si>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</si>
  <si>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</si>
  <si>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</si>
  <si>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</si>
  <si>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</si>
  <si>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</si>
  <si>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</si>
  <si>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</si>
  <si>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</si>
  <si>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</si>
  <si>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</si>
  <si>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</si>
  <si>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</si>
  <si>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</si>
  <si>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</si>
  <si>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</si>
  <si>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</si>
  <si>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</si>
  <si>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</si>
  <si>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</si>
  <si>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</si>
  <si>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</si>
  <si>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</si>
  <si>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</si>
  <si>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</si>
  <si>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</si>
  <si>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</si>
  <si>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</si>
  <si>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</si>
  <si>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</si>
  <si>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</si>
  <si>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</si>
  <si>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</si>
  <si>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</si>
  <si>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</si>
  <si>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</si>
  <si>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</si>
  <si>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</si>
  <si>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</si>
  <si>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</si>
  <si>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</si>
  <si>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</si>
  <si>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</si>
  <si>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</si>
  <si>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</si>
  <si>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</si>
  <si>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</si>
  <si>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</si>
  <si>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</si>
  <si>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</si>
  <si>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</si>
  <si>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</si>
  <si>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</si>
  <si>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</si>
  <si>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</si>
  <si>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</si>
  <si>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</si>
  <si>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</si>
  <si>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</si>
  <si>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</si>
  <si>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</si>
  <si>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</si>
  <si>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</si>
  <si>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</si>
  <si>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</si>
  <si>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</si>
  <si>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</si>
  <si>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</si>
  <si>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</si>
  <si>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</si>
  <si>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</si>
  <si>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</si>
  <si>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</si>
  <si>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</si>
  <si>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</si>
  <si>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</si>
  <si>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</si>
  <si>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</si>
  <si>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</si>
  <si>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</si>
  <si>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</si>
  <si>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</si>
  <si>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</si>
  <si>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</si>
  <si>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</si>
  <si>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</si>
  <si>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</si>
  <si>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</si>
  <si>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</si>
  <si>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</si>
  <si>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</si>
  <si>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</si>
  <si>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</si>
  <si>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</si>
  <si>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</si>
  <si>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</si>
  <si>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</si>
  <si>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</si>
  <si>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</si>
  <si>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</si>
  <si>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</si>
  <si>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</si>
  <si>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</si>
  <si>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</si>
  <si>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</si>
  <si>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</si>
  <si>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</si>
  <si>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</si>
  <si>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</si>
  <si>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</si>
  <si>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</si>
  <si>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</si>
  <si>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</si>
  <si>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</si>
  <si>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</si>
  <si>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</si>
  <si>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</si>
  <si>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</si>
  <si>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</si>
  <si>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</si>
  <si>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</si>
  <si>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</si>
  <si>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</si>
  <si>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</si>
  <si>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</si>
  <si>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</si>
  <si>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</si>
  <si>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</si>
  <si>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</si>
  <si>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</si>
  <si>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</si>
  <si>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</si>
  <si>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</si>
  <si>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</si>
  <si>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</si>
  <si>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</si>
  <si>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</si>
  <si>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</si>
  <si>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</si>
  <si>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</si>
  <si>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</si>
  <si>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</si>
  <si>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</si>
  <si>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</si>
  <si>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</si>
  <si>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</si>
  <si>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</si>
  <si>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</si>
  <si>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</si>
  <si>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</si>
  <si>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</si>
  <si>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</si>
  <si>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</si>
  <si>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</si>
  <si>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</si>
  <si>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</si>
  <si>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</si>
  <si>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</si>
  <si>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</si>
  <si>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</si>
  <si>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</si>
  <si>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</si>
  <si>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</si>
  <si>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</si>
  <si>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</si>
  <si>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</si>
  <si>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</si>
  <si>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</si>
  <si>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</si>
  <si>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</si>
  <si>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</si>
  <si>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</si>
  <si>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</si>
  <si>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</si>
  <si>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</si>
  <si>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</si>
  <si>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</si>
  <si>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</si>
  <si>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</si>
  <si>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</si>
  <si>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</si>
  <si>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</si>
  <si>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</si>
  <si>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</si>
  <si>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</si>
  <si>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</si>
  <si>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</si>
  <si>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</si>
  <si>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</si>
  <si>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</si>
  <si>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</si>
  <si>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</si>
  <si>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</si>
  <si>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</si>
  <si>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</si>
  <si>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</si>
  <si>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</si>
  <si>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</si>
  <si>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</si>
  <si>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</si>
  <si>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</si>
  <si>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</si>
  <si>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</si>
  <si>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</si>
  <si>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</si>
  <si>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</si>
  <si>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</si>
  <si>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</si>
  <si>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</si>
  <si>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</si>
  <si>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</si>
  <si>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</si>
  <si>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</si>
  <si>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</si>
  <si>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</si>
  <si>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</si>
  <si>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</si>
  <si>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</si>
  <si>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</si>
  <si>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</si>
  <si>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</si>
  <si>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</si>
  <si>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</si>
  <si>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</si>
  <si>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</si>
  <si>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</si>
  <si>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</si>
  <si>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</si>
  <si>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</si>
  <si>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</si>
  <si>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</si>
  <si>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</si>
  <si>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</si>
  <si>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</si>
  <si>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</si>
  <si>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</si>
  <si>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</si>
  <si>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</si>
  <si>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</si>
  <si>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</si>
  <si>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</si>
  <si>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</si>
  <si>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</si>
  <si>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</si>
  <si>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</si>
  <si>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</si>
  <si>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</si>
  <si>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</si>
  <si>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</si>
  <si>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</si>
  <si>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</si>
  <si>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</si>
  <si>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</si>
  <si>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</si>
  <si>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</si>
  <si>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</si>
  <si>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</si>
  <si>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</si>
  <si>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</si>
  <si>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</si>
  <si>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</si>
  <si>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</si>
  <si>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</si>
  <si>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</si>
  <si>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</si>
  <si>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</si>
  <si>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</si>
  <si>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</si>
  <si>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</si>
  <si>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</si>
  <si>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</si>
  <si>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</si>
  <si>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</si>
  <si>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</si>
  <si>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</si>
  <si>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</si>
  <si>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</si>
  <si>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</si>
  <si>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</si>
  <si>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</si>
  <si>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</si>
  <si>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</si>
  <si>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</si>
  <si>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</si>
  <si>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</si>
  <si>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</si>
  <si>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</si>
  <si>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</si>
  <si>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</si>
  <si>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</si>
  <si>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</si>
  <si>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</si>
  <si>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</si>
  <si>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</si>
  <si>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</si>
  <si>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</si>
  <si>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</si>
  <si>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</si>
  <si>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</si>
  <si>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</si>
  <si>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</si>
  <si>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</si>
  <si>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</si>
  <si>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</si>
  <si>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</si>
  <si>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</si>
  <si>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</si>
  <si>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</si>
  <si>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</si>
  <si>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</si>
  <si>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</si>
  <si>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</si>
  <si>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</si>
  <si>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</si>
  <si>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</si>
  <si>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</si>
  <si>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</si>
  <si>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</si>
  <si>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</si>
  <si>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</si>
  <si>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</si>
  <si>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</si>
  <si>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</si>
  <si>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</si>
  <si>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</si>
  <si>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</si>
  <si>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</si>
  <si>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</si>
  <si>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</si>
  <si>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</si>
  <si>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</si>
  <si>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</si>
  <si>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</si>
  <si>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</si>
  <si>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</si>
  <si>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</si>
  <si>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</si>
  <si>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</si>
  <si>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</si>
  <si>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</si>
  <si>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</si>
  <si>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</si>
  <si>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</si>
  <si>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</si>
  <si>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</si>
  <si>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</si>
  <si>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</si>
  <si>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</si>
  <si>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</si>
  <si>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</si>
  <si>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</si>
  <si>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</si>
  <si>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</si>
  <si>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</si>
  <si>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</si>
  <si>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</si>
  <si>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</si>
  <si>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</si>
  <si>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</si>
  <si>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</si>
  <si>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</si>
  <si>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</si>
  <si>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</si>
  <si>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</si>
  <si>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</si>
  <si>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</si>
  <si>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</si>
  <si>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</si>
  <si>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</si>
  <si>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</si>
  <si>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</si>
  <si>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</si>
  <si>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</si>
  <si>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</si>
  <si>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</si>
  <si>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</si>
  <si>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</si>
  <si>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</si>
  <si>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</si>
  <si>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</si>
  <si>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</si>
  <si>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</si>
  <si>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</si>
  <si>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</si>
  <si>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</si>
  <si>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</si>
  <si>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</si>
  <si>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</si>
  <si>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</si>
  <si>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</si>
  <si>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</si>
  <si>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</si>
  <si>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</si>
  <si>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</si>
  <si>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</si>
  <si>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</si>
  <si>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</si>
  <si>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</si>
  <si>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</si>
  <si>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</si>
  <si>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</si>
  <si>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</si>
  <si>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</si>
  <si>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</si>
  <si>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</si>
  <si>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</si>
  <si>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</si>
  <si>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</si>
  <si>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</si>
  <si>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</si>
  <si>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</si>
  <si>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</si>
  <si>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</si>
  <si>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</si>
  <si>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</si>
  <si>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</si>
  <si>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</si>
  <si>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</si>
  <si>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</si>
  <si>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</si>
  <si>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</si>
  <si>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</si>
  <si>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</si>
  <si>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</si>
  <si>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</si>
  <si>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</si>
  <si>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</si>
  <si>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</si>
  <si>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</si>
  <si>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</si>
  <si>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</si>
  <si>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</si>
  <si>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</si>
  <si>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</si>
  <si>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</si>
  <si>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</si>
  <si>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</si>
  <si>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</si>
  <si>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</si>
  <si>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</si>
  <si>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</si>
  <si>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</si>
  <si>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</si>
  <si>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</si>
  <si>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</si>
  <si>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</si>
  <si>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</si>
  <si>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</si>
  <si>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</si>
  <si>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</si>
  <si>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</si>
  <si>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</si>
  <si>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</si>
  <si>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</si>
  <si>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</si>
  <si>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</si>
  <si>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</si>
  <si>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</si>
  <si>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</si>
  <si>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</si>
  <si>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</si>
  <si>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</si>
  <si>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</si>
  <si>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</si>
  <si>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</si>
  <si>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</si>
  <si>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</si>
  <si>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</si>
  <si>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</si>
  <si>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</si>
  <si>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</si>
  <si>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</si>
  <si>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</si>
  <si>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</si>
  <si>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</si>
  <si>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</si>
  <si>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</si>
  <si>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</si>
  <si>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</si>
  <si>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</si>
  <si>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</si>
  <si>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</si>
  <si>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</si>
  <si>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</si>
  <si>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</si>
  <si>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</si>
  <si>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</si>
  <si>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</si>
  <si>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</si>
  <si>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</si>
  <si>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</si>
  <si>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</si>
  <si>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</si>
  <si>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</si>
  <si>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</si>
  <si>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</si>
  <si>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</si>
  <si>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</si>
  <si>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</si>
  <si>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</si>
  <si>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</si>
  <si>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</si>
  <si>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</si>
  <si>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</si>
  <si>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</si>
  <si>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</si>
  <si>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</si>
  <si>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</si>
  <si>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</si>
  <si>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</si>
  <si>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</si>
  <si>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</si>
  <si>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</si>
  <si>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</si>
  <si>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</si>
  <si>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</si>
  <si>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</si>
  <si>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</si>
  <si>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</si>
  <si>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</si>
  <si>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</si>
  <si>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</si>
  <si>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</si>
  <si>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</si>
  <si>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</si>
  <si>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</si>
  <si>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</si>
  <si>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</si>
  <si>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</si>
  <si>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</si>
  <si>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</si>
  <si>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</si>
  <si>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</si>
  <si>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</si>
  <si>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</si>
  <si>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</si>
  <si>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</si>
  <si>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</si>
  <si>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</si>
  <si>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</si>
  <si>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</si>
  <si>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</si>
  <si>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</si>
  <si>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</si>
  <si>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</si>
  <si>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</si>
  <si>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</si>
  <si>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</si>
  <si>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</si>
  <si>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</si>
  <si>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</si>
  <si>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</si>
  <si>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</si>
  <si>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</si>
  <si>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</si>
  <si>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</si>
  <si>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</si>
  <si>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</si>
  <si>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</si>
  <si>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</si>
  <si>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</si>
  <si>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</si>
  <si>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</si>
  <si>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</si>
  <si>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</si>
  <si>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</si>
  <si>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</si>
  <si>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</si>
  <si>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</si>
  <si>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</si>
  <si>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</si>
  <si>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</si>
  <si>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</si>
  <si>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</si>
  <si>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</si>
  <si>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</si>
  <si>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</si>
  <si>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</si>
  <si>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</si>
  <si>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</si>
  <si>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</si>
  <si>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</si>
  <si>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</si>
  <si>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</si>
  <si>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</si>
  <si>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</si>
  <si>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</si>
  <si>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</si>
  <si>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</si>
  <si>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</si>
  <si>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</si>
  <si>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</si>
  <si>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</si>
  <si>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</si>
  <si>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</si>
  <si>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</si>
  <si>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</si>
  <si>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</si>
  <si>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</si>
  <si>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</si>
  <si>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</si>
  <si>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</si>
  <si>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</si>
  <si>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</si>
  <si>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</si>
  <si>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</si>
  <si>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</si>
  <si>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</si>
  <si>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</si>
  <si>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</si>
  <si>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</si>
  <si>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</si>
  <si>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</si>
  <si>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</si>
  <si>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</si>
  <si>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</si>
  <si>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</si>
  <si>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</si>
  <si>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</si>
  <si>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</si>
  <si>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</si>
  <si>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</si>
  <si>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</si>
  <si>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</si>
  <si>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</si>
  <si>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</si>
  <si>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</si>
  <si>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</si>
  <si>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</si>
  <si>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</si>
  <si>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</si>
  <si>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</si>
  <si>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</si>
  <si>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</si>
  <si>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</si>
  <si>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</si>
  <si>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</si>
  <si>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</si>
  <si>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</si>
  <si>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</si>
  <si>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</si>
  <si>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</si>
  <si>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</si>
  <si>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</si>
  <si>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</si>
  <si>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</si>
  <si>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</si>
  <si>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</si>
  <si>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</si>
  <si>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</si>
  <si>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</si>
  <si>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</si>
  <si>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</si>
  <si>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</si>
  <si>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</si>
  <si>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</si>
  <si>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</si>
  <si>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</si>
  <si>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</si>
  <si>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</si>
  <si>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</si>
  <si>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</si>
  <si>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</si>
  <si>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</si>
  <si>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</si>
  <si>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</si>
  <si>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</si>
  <si>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</si>
  <si>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</si>
  <si>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</si>
  <si>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</si>
  <si>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</si>
  <si>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</si>
  <si>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</si>
  <si>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</si>
  <si>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</si>
  <si>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</si>
  <si>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</si>
  <si>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</si>
  <si>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</si>
  <si>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</si>
  <si>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</si>
  <si>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</si>
  <si>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</si>
  <si>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</si>
  <si>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</si>
  <si>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</si>
  <si>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</si>
  <si>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</si>
  <si>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</si>
  <si>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</si>
  <si>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</si>
  <si>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</si>
  <si>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</si>
  <si>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</si>
  <si>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</si>
  <si>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</si>
  <si>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</si>
  <si>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</si>
  <si>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</si>
  <si>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</si>
  <si>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</si>
  <si>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</si>
  <si>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</si>
  <si>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</si>
  <si>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</si>
  <si>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</si>
  <si>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</si>
  <si>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</si>
  <si>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</si>
  <si>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</si>
  <si>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</si>
  <si>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</si>
  <si>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</si>
  <si>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</si>
  <si>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</si>
  <si>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</si>
  <si>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</si>
  <si>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</si>
  <si>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</si>
  <si>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</si>
  <si>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</si>
  <si>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</si>
  <si>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</si>
  <si>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</si>
  <si>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</si>
  <si>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</si>
  <si>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</si>
  <si>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</si>
  <si>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</si>
  <si>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</si>
  <si>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</si>
  <si>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</si>
  <si>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</si>
  <si>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</si>
  <si>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</si>
  <si>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</si>
  <si>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</si>
  <si>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</si>
  <si>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</si>
  <si>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</si>
  <si>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</si>
  <si>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</si>
  <si>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</si>
  <si>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</si>
  <si>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</si>
  <si>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</si>
  <si>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</si>
  <si>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</si>
  <si>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</si>
  <si>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</si>
  <si>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</si>
  <si>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</si>
  <si>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</si>
  <si>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</si>
  <si>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</si>
  <si>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</si>
  <si>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</si>
  <si>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</si>
  <si>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</si>
  <si>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</si>
  <si>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</si>
  <si>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</si>
  <si>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</si>
  <si>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</si>
  <si>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</si>
  <si>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</si>
  <si>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</si>
  <si>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</si>
  <si>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</si>
  <si>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</si>
  <si>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</si>
  <si>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</si>
  <si>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</si>
  <si>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</si>
  <si>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</si>
  <si>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</si>
  <si>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</si>
  <si>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</si>
  <si>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</si>
  <si>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</si>
  <si>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</si>
  <si>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</si>
  <si>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</si>
  <si>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</si>
  <si>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</si>
  <si>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</si>
  <si>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</si>
  <si>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</si>
  <si>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</si>
  <si>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</si>
  <si>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</si>
  <si>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</si>
  <si>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</si>
  <si>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</si>
  <si>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</si>
  <si>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</si>
  <si>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</si>
  <si>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</si>
  <si>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</si>
  <si>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</si>
  <si>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</si>
  <si>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</si>
  <si>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</si>
  <si>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</si>
  <si>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</si>
  <si>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</si>
  <si>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</si>
  <si>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</si>
  <si>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</si>
  <si>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</si>
  <si>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</si>
  <si>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</si>
  <si>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</si>
  <si>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</si>
  <si>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</si>
  <si>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</si>
  <si>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</si>
  <si>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</si>
  <si>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</si>
  <si>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</si>
  <si>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</si>
  <si>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</si>
  <si>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</si>
  <si>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</si>
  <si>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</si>
  <si>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</si>
  <si>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</si>
  <si>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</si>
  <si>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</si>
  <si>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</si>
  <si>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</si>
  <si>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</si>
  <si>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</si>
  <si>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</si>
  <si>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</si>
  <si>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</si>
  <si>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</si>
  <si>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</si>
  <si>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</si>
  <si>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</si>
  <si>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</si>
  <si>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</si>
  <si>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</si>
  <si>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</si>
  <si>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</si>
  <si>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</si>
  <si>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</si>
  <si>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</si>
  <si>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</si>
  <si>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</si>
  <si>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</si>
  <si>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</si>
  <si>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</si>
  <si>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</si>
  <si>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</si>
  <si>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</si>
  <si>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</si>
  <si>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</si>
  <si>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</si>
  <si>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</si>
  <si>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</si>
  <si>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</si>
  <si>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</si>
  <si>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</si>
  <si>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</si>
  <si>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</si>
  <si>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</si>
  <si>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</si>
  <si>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</si>
  <si>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</si>
  <si>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</si>
  <si>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</si>
  <si>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</si>
  <si>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</si>
  <si>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</si>
  <si>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</si>
  <si>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</si>
  <si>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</si>
  <si>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</si>
  <si>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</si>
  <si>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</si>
  <si>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</si>
  <si>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</si>
  <si>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</si>
  <si>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</si>
  <si>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</si>
  <si>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</si>
  <si>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</si>
  <si>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</si>
  <si>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</si>
  <si>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</si>
  <si>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</si>
  <si>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</si>
  <si>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</si>
  <si>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</si>
  <si>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</si>
  <si>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</si>
  <si>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</si>
  <si>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</si>
  <si>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</si>
  <si>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</si>
  <si>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</si>
  <si>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</si>
  <si>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</si>
  <si>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</si>
  <si>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</si>
  <si>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</si>
  <si>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</si>
  <si>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</si>
  <si>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</si>
  <si>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</si>
  <si>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</si>
  <si>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</si>
  <si>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</si>
  <si>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</si>
  <si>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</si>
  <si>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</si>
  <si>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</si>
  <si>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</si>
  <si>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</si>
  <si>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</si>
  <si>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</si>
  <si>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</si>
  <si>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</si>
  <si>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</si>
  <si>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</si>
  <si>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</si>
  <si>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</si>
  <si>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</si>
  <si>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</si>
  <si>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</si>
  <si>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</si>
  <si>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</si>
  <si>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</si>
  <si>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</si>
  <si>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</si>
  <si>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</si>
  <si>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</si>
  <si>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</si>
  <si>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</si>
  <si>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</si>
  <si>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</si>
  <si>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</si>
  <si>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</si>
  <si>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</si>
  <si>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</si>
  <si>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</si>
  <si>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</si>
  <si>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</si>
  <si>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</si>
  <si>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</si>
  <si>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</si>
  <si>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</si>
  <si>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</si>
  <si>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</si>
  <si>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</si>
  <si>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</si>
  <si>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</si>
  <si>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</si>
  <si>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</si>
  <si>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</si>
  <si>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</si>
  <si>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</si>
  <si>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</si>
  <si>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</si>
  <si>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</si>
  <si>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</si>
  <si>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</si>
  <si>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</si>
  <si>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</si>
  <si>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</si>
  <si>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</si>
  <si>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</si>
  <si>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</si>
  <si>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</si>
  <si>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</si>
  <si>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</si>
  <si>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</si>
  <si>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</si>
  <si>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</si>
  <si>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</si>
  <si>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</si>
  <si>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</si>
  <si>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</si>
  <si>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</si>
  <si>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</si>
  <si>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</si>
  <si>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</si>
  <si>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</si>
  <si>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</si>
  <si>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</si>
  <si>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</si>
  <si>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</si>
  <si>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</si>
  <si>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</si>
  <si>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</si>
  <si>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</si>
  <si>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</si>
  <si>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</si>
  <si>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</si>
  <si>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</si>
  <si>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</si>
  <si>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</si>
  <si>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</si>
  <si>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</si>
  <si>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</si>
  <si>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</si>
  <si>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</si>
  <si>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</si>
  <si>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</si>
  <si>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</si>
  <si>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</si>
  <si>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</si>
  <si>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</si>
  <si>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</si>
  <si>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</si>
  <si>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</si>
  <si>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</si>
  <si>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</si>
  <si>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</si>
  <si>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</si>
  <si>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</si>
  <si>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</si>
  <si>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</si>
  <si>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</si>
  <si>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</si>
  <si>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</si>
  <si>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</si>
  <si>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</si>
  <si>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</si>
  <si>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</si>
  <si>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</si>
  <si>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</si>
  <si>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</si>
  <si>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</si>
  <si>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</si>
  <si>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</si>
  <si>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</si>
  <si>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</si>
  <si>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</si>
  <si>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</si>
  <si>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</si>
  <si>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</si>
  <si>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</si>
  <si>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</si>
  <si>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</si>
  <si>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</si>
  <si>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</si>
  <si>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</si>
  <si>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</si>
  <si>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</si>
  <si>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</si>
  <si>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</si>
  <si>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</si>
  <si>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</si>
  <si>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</si>
  <si>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</si>
  <si>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</si>
  <si>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</si>
  <si>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</si>
  <si>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</si>
  <si>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</si>
  <si>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</si>
  <si>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</si>
  <si>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</si>
  <si>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</si>
  <si>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</si>
  <si>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</si>
  <si>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</si>
  <si>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</si>
  <si>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</si>
  <si>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</si>
  <si>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</si>
  <si>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</si>
  <si>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</si>
  <si>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</si>
  <si>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</si>
  <si>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</si>
  <si>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</si>
  <si>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</si>
  <si>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</si>
  <si>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</si>
  <si>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</si>
  <si>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</si>
  <si>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</si>
  <si>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</si>
  <si>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</si>
  <si>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</si>
  <si>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</si>
  <si>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</si>
  <si>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</si>
  <si>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</si>
  <si>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</si>
  <si>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</si>
  <si>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</si>
  <si>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</si>
  <si>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</si>
  <si>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</si>
  <si>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</si>
  <si>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</si>
  <si>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</si>
  <si>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</si>
  <si>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</si>
  <si>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</si>
  <si>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</si>
  <si>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</si>
  <si>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</si>
  <si>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</si>
  <si>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</si>
  <si>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</si>
  <si>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</si>
  <si>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</si>
  <si>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</si>
  <si>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</si>
  <si>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</si>
  <si>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</si>
  <si>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</si>
  <si>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</si>
  <si>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</si>
  <si>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</si>
  <si>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</si>
  <si>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</si>
  <si>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</si>
  <si>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</si>
  <si>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</si>
  <si>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</si>
  <si>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</si>
  <si>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</si>
  <si>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</si>
  <si>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</si>
  <si>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</si>
  <si>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</si>
  <si>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</si>
  <si>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</si>
  <si>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</si>
  <si>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</si>
  <si>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</si>
  <si>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</si>
  <si>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</si>
  <si>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</si>
  <si>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</si>
  <si>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</si>
  <si>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</si>
  <si>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</si>
  <si>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</si>
  <si>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</si>
  <si>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</si>
  <si>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</si>
  <si>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</si>
  <si>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</si>
  <si>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</si>
  <si>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</si>
  <si>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</si>
  <si>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</si>
  <si>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</si>
  <si>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</si>
  <si>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</si>
  <si>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</si>
  <si>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</si>
  <si>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</si>
  <si>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</si>
  <si>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</si>
  <si>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</si>
  <si>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</si>
  <si>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</si>
  <si>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</si>
  <si>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</si>
  <si>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</si>
  <si>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</si>
  <si>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</si>
  <si>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</si>
  <si>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</si>
  <si>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</si>
  <si>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</si>
  <si>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</si>
  <si>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</si>
  <si>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</si>
  <si>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</si>
  <si>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</si>
  <si>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</si>
  <si>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</si>
  <si>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</si>
  <si>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</si>
  <si>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</si>
  <si>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</si>
  <si>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</si>
  <si>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</si>
  <si>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</si>
  <si>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</si>
  <si>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</si>
  <si>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</si>
  <si>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</si>
  <si>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</si>
  <si>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</si>
  <si>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</si>
  <si>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</si>
  <si>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</si>
  <si>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</si>
  <si>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</si>
  <si>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</si>
  <si>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</si>
  <si>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</si>
  <si>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</si>
  <si>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</si>
  <si>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</si>
  <si>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</si>
  <si>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</si>
  <si>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</si>
  <si>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</si>
  <si>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</si>
  <si>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</si>
  <si>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</si>
  <si>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</si>
  <si>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</si>
  <si>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</si>
  <si>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</si>
  <si>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</si>
  <si>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</si>
  <si>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</si>
  <si>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</si>
  <si>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</si>
  <si>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</si>
  <si>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</si>
  <si>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</si>
  <si>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</si>
  <si>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</si>
  <si>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</si>
  <si>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</si>
  <si>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</si>
  <si>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</si>
  <si>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</si>
  <si>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</si>
  <si>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</si>
  <si>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</si>
  <si>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</si>
  <si>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</si>
  <si>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</si>
  <si>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</si>
  <si>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</si>
  <si>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</si>
  <si>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</si>
  <si>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</si>
  <si>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</si>
  <si>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</si>
  <si>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</si>
  <si>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</si>
  <si>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</si>
  <si>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</si>
  <si>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</si>
  <si>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</si>
  <si>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</si>
  <si>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</si>
  <si>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</si>
  <si>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</si>
  <si>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</si>
  <si>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</si>
  <si>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</si>
  <si>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</si>
  <si>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</si>
  <si>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</si>
  <si>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</si>
  <si>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</si>
  <si>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</si>
  <si>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</si>
  <si>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</si>
  <si>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</si>
  <si>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</si>
  <si>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</si>
  <si>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</si>
  <si>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</si>
  <si>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</si>
  <si>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</si>
  <si>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</si>
  <si>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</si>
  <si>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</si>
  <si>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</si>
  <si>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</si>
  <si>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</si>
  <si>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</si>
  <si>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</si>
  <si>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</si>
  <si>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</si>
  <si>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</si>
  <si>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</si>
  <si>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</si>
  <si>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</si>
  <si>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</si>
  <si>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</si>
  <si>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</si>
  <si>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</si>
  <si>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</si>
  <si>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</si>
  <si>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</si>
  <si>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</si>
  <si>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</si>
  <si>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</si>
  <si>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</si>
  <si>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</si>
  <si>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</si>
  <si>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</si>
  <si>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</si>
  <si>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</si>
  <si>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</si>
  <si>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</si>
  <si>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</si>
  <si>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</si>
  <si>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</si>
  <si>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</si>
  <si>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</si>
  <si>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</si>
  <si>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</si>
  <si>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</si>
  <si>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</si>
  <si>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</si>
  <si>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</si>
  <si>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</si>
  <si>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</si>
  <si>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</si>
  <si>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</si>
  <si>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</si>
  <si>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</si>
  <si>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</si>
  <si>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</si>
  <si>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</si>
  <si>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</si>
  <si>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</si>
  <si>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</si>
  <si>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</si>
  <si>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</si>
  <si>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tblBerMedContIV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</si>
  <si>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</si>
  <si>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</si>
  <si>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</si>
  <si>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</si>
  <si>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</si>
  <si>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</si>
  <si>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</si>
  <si>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</si>
  <si>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</si>
  <si>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</si>
  <si>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</si>
  <si>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100 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</si>
</sst>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val="0"/>
</file>

<file path=xl/ctrlProps/ctrlProp8.xml><?xml version="1.0" encoding="utf-8"?>
<formControlPr xmlns="http://schemas.microsoft.com/office/spreadsheetml/2009/9/main" objectType="Drop" dropStyle="combo" dx="16" fmlaLink="ber_IVmed!$B$10" fmlaRange="tblMedicationContIV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val="0"/>
</file>

<file path=xl/ctrlProps/ctrlProp10.xml><?xml version="1.0" encoding="utf-8"?>
<formControlPr xmlns="http://schemas.microsoft.com/office/spreadsheetml/2009/9/main" objectType="Drop" dropStyle="combo" dx="16" fmlaLink="ber_IVmed!$I$3" fmlaRange="tblOplossing" val="0"/>
</file>

<file path=xl/ctrlProps/ctrlProp11.xml><?xml version="1.0" encoding="utf-8"?>
<formControlPr xmlns="http://schemas.microsoft.com/office/spreadsheetml/2009/9/main" objectType="Drop" dropStyle="combo" dx="16" fmlaLink="ber_IVmed!$I$4" fmlaRange="tblOplossing" val="0"/>
</file>

<file path=xl/ctrlProps/ctrlProp12.xml><?xml version="1.0" encoding="utf-8"?>
<formControlPr xmlns="http://schemas.microsoft.com/office/spreadsheetml/2009/9/main" objectType="Drop" dropStyle="combo" dx="16" fmlaLink="ber_IVmed!$I$5" fmlaRange="tblOplossing" val="0"/>
</file>

<file path=xl/ctrlProps/ctrlProp13.xml><?xml version="1.0" encoding="utf-8"?>
<formControlPr xmlns="http://schemas.microsoft.com/office/spreadsheetml/2009/9/main" objectType="Drop" dropStyle="combo" dx="16" fmlaLink="ber_IVmed!$I$6" fmlaRange="tblOplossing" val="0"/>
</file>

<file path=xl/ctrlProps/ctrlProp14.xml><?xml version="1.0" encoding="utf-8"?>
<formControlPr xmlns="http://schemas.microsoft.com/office/spreadsheetml/2009/9/main" objectType="Drop" dropStyle="combo" dx="16" fmlaLink="ber_IVmed!$I$7" fmlaRange="tblOplossing" val="0"/>
</file>

<file path=xl/ctrlProps/ctrlProp15.xml><?xml version="1.0" encoding="utf-8"?>
<formControlPr xmlns="http://schemas.microsoft.com/office/spreadsheetml/2009/9/main" objectType="Drop" dropStyle="combo" dx="16" fmlaLink="ber_IVmed!$I$8" fmlaRange="tblOplossing" val="0"/>
</file>

<file path=xl/ctrlProps/ctrlProp16.xml><?xml version="1.0" encoding="utf-8"?>
<formControlPr xmlns="http://schemas.microsoft.com/office/spreadsheetml/2009/9/main" objectType="Drop" dropStyle="combo" dx="16" fmlaLink="ber_IVmed!$I$9" fmlaRange="tblOplossing" val="0"/>
</file>

<file path=xl/ctrlProps/ctrlProp17.xml><?xml version="1.0" encoding="utf-8"?>
<formControlPr xmlns="http://schemas.microsoft.com/office/spreadsheetml/2009/9/main" objectType="Drop" dropStyle="combo" dx="16" fmlaLink="ber_IVmed!$I$10" fmlaRange="tblOplossing" val="0"/>
</file>

<file path=xl/ctrlProps/ctrlProp18.xml><?xml version="1.0" encoding="utf-8"?>
<formControlPr xmlns="http://schemas.microsoft.com/office/spreadsheetml/2009/9/main" objectType="Drop" dropStyle="combo" dx="16" fmlaLink="ber_IVmed!$I$11" fmlaRange="tblOplossing" val="0"/>
</file>

<file path=xl/ctrlProps/ctrlProp19.xml><?xml version="1.0" encoding="utf-8"?>
<formControlPr xmlns="http://schemas.microsoft.com/office/spreadsheetml/2009/9/main" objectType="Drop" dropStyle="combo" dx="16" fmlaLink="ber_IVmed!$I$15" fmlaRange="tblOplossing" val="0"/>
</file>

<file path=xl/ctrlProps/ctrlProp20.xml><?xml version="1.0" encoding="utf-8"?>
<formControlPr xmlns="http://schemas.microsoft.com/office/spreadsheetml/2009/9/main" objectType="Drop" dropStyle="combo" dx="16" fmlaLink="ber_IVmed!$I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I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I$16" fmlaRange="tblOplossing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I$17" fmlaRange="tblOplossing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J$15" max="500" page="10" val="0"/>
</file>

<file path=xl/ctrlProps/ctrlProp28.xml><?xml version="1.0" encoding="utf-8"?>
<formControlPr xmlns="http://schemas.microsoft.com/office/spreadsheetml/2009/9/main" objectType="Spin" dx="15" fmlaLink="ber_IVmed!$J$16" max="500" page="10" val="0"/>
</file>

<file path=xl/ctrlProps/ctrlProp29.xml><?xml version="1.0" encoding="utf-8"?>
<formControlPr xmlns="http://schemas.microsoft.com/office/spreadsheetml/2009/9/main" objectType="Spin" dx="15" fmlaLink="ber_IVmed!$J$17" max="500" page="10" val="0"/>
</file>

<file path=xl/ctrlProps/ctrlProp30.xml><?xml version="1.0" encoding="utf-8"?>
<formControlPr xmlns="http://schemas.microsoft.com/office/spreadsheetml/2009/9/main" objectType="Drop" dropStyle="combo" dx="16" fmlaLink="ber_IVmed!$I$13" fmlaRange="tblOplossing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J$13" max="500" page="10" val="0"/>
</file>

<file path=xl/ctrlProps/ctrlProp33.xml><?xml version="1.0" encoding="utf-8"?>
<formControlPr xmlns="http://schemas.microsoft.com/office/spreadsheetml/2009/9/main" objectType="Drop" dropStyle="combo" dx="16" fmlaLink="ber_IVmed!$I$14" fmlaRange="tblOplossing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J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val="0"/>
</file>

<file path=xl/ctrlProps/ctrlProp37.xml><?xml version="1.0" encoding="utf-8"?>
<formControlPr xmlns="http://schemas.microsoft.com/office/spreadsheetml/2009/9/main" objectType="Drop" dropStyle="combo" dx="16" fmlaLink="ber_IVmed!$I$12" fmlaRange="tblOplossing" val="0"/>
</file>

<file path=xl/ctrlProps/ctrlProp38.xml><?xml version="1.0" encoding="utf-8"?>
<formControlPr xmlns="http://schemas.microsoft.com/office/spreadsheetml/2009/9/main" objectType="Spin" dx="15" fmlaLink="ber_IVmed!$J$4" max="1000" page="10" val="0"/>
</file>

<file path=xl/ctrlProps/ctrlProp39.xml><?xml version="1.0" encoding="utf-8"?>
<formControlPr xmlns="http://schemas.microsoft.com/office/spreadsheetml/2009/9/main" objectType="Spin" dx="15" fmlaLink="ber_IVmed!$J$5" max="1000" page="10" val="0"/>
</file>

<file path=xl/ctrlProps/ctrlProp40.xml><?xml version="1.0" encoding="utf-8"?>
<formControlPr xmlns="http://schemas.microsoft.com/office/spreadsheetml/2009/9/main" objectType="Spin" dx="15" fmlaLink="ber_IVmed!$J$6" max="1000" page="10" val="0"/>
</file>

<file path=xl/ctrlProps/ctrlProp41.xml><?xml version="1.0" encoding="utf-8"?>
<formControlPr xmlns="http://schemas.microsoft.com/office/spreadsheetml/2009/9/main" objectType="Spin" dx="15" fmlaLink="ber_IVmed!$J$7" max="1000" page="10" val="0"/>
</file>

<file path=xl/ctrlProps/ctrlProp42.xml><?xml version="1.0" encoding="utf-8"?>
<formControlPr xmlns="http://schemas.microsoft.com/office/spreadsheetml/2009/9/main" objectType="Spin" dx="15" fmlaLink="ber_IVmed!$J$8" max="1000" page="10" val="0"/>
</file>

<file path=xl/ctrlProps/ctrlProp43.xml><?xml version="1.0" encoding="utf-8"?>
<formControlPr xmlns="http://schemas.microsoft.com/office/spreadsheetml/2009/9/main" objectType="Spin" dx="15" fmlaLink="ber_IVmed!$J$9" max="1000" page="10" val="0"/>
</file>

<file path=xl/ctrlProps/ctrlProp44.xml><?xml version="1.0" encoding="utf-8"?>
<formControlPr xmlns="http://schemas.microsoft.com/office/spreadsheetml/2009/9/main" objectType="Spin" dx="15" fmlaLink="ber_IVmed!$J$10" max="1000" page="10" val="0"/>
</file>

<file path=xl/ctrlProps/ctrlProp45.xml><?xml version="1.0" encoding="utf-8"?>
<formControlPr xmlns="http://schemas.microsoft.com/office/spreadsheetml/2009/9/main" objectType="Spin" dx="15" fmlaLink="ber_IVmed!$J$11" max="1000" page="10" val="0"/>
</file>

<file path=xl/ctrlProps/ctrlProp46.xml><?xml version="1.0" encoding="utf-8"?>
<formControlPr xmlns="http://schemas.microsoft.com/office/spreadsheetml/2009/9/main" objectType="Spin" dx="15" fmlaLink="ber_IVmed!$J$12" max="1000" page="10" val="0"/>
</file>

<file path=xl/ctrlProps/ctrlProp47.xml><?xml version="1.0" encoding="utf-8"?>
<formControlPr xmlns="http://schemas.microsoft.com/office/spreadsheetml/2009/9/main" objectType="Spin" dx="15" fmlaLink="dbBead!$H$2" max="200" min="25" page="10" val="80"/>
</file>

<file path=xl/ctrlProps/ctrlProp48.xml><?xml version="1.0" encoding="utf-8"?>
<formControlPr xmlns="http://schemas.microsoft.com/office/spreadsheetml/2009/9/main" objectType="Spin" dx="15" fmlaLink="ber_IVmed!$E$4" max="1000" page="10" val="0"/>
</file>

<file path=xl/ctrlProps/ctrlProp49.xml><?xml version="1.0" encoding="utf-8"?>
<formControlPr xmlns="http://schemas.microsoft.com/office/spreadsheetml/2009/9/main" objectType="Spin" dx="15" fmlaLink="ber_IVmed!$E$5" max="1000" page="10" val="0"/>
</file>

<file path=xl/ctrlProps/ctrlProp50.xml><?xml version="1.0" encoding="utf-8"?>
<formControlPr xmlns="http://schemas.microsoft.com/office/spreadsheetml/2009/9/main" objectType="Spin" dx="15" fmlaLink="ber_IVmed!$E$6" max="1000" page="10" val="0"/>
</file>

<file path=xl/ctrlProps/ctrlProp51.xml><?xml version="1.0" encoding="utf-8"?>
<formControlPr xmlns="http://schemas.microsoft.com/office/spreadsheetml/2009/9/main" objectType="Spin" dx="15" fmlaLink="ber_IVmed!$E$7" max="1000" page="10" val="0"/>
</file>

<file path=xl/ctrlProps/ctrlProp52.xml><?xml version="1.0" encoding="utf-8"?>
<formControlPr xmlns="http://schemas.microsoft.com/office/spreadsheetml/2009/9/main" objectType="Spin" dx="15" fmlaLink="ber_IVmed!$E$8" max="1000" page="10" val="0"/>
</file>

<file path=xl/ctrlProps/ctrlProp53.xml><?xml version="1.0" encoding="utf-8"?>
<formControlPr xmlns="http://schemas.microsoft.com/office/spreadsheetml/2009/9/main" objectType="Spin" dx="15" fmlaLink="ber_IVmed!$E$9" max="1000" page="10" val="0"/>
</file>

<file path=xl/ctrlProps/ctrlProp54.xml><?xml version="1.0" encoding="utf-8"?>
<formControlPr xmlns="http://schemas.microsoft.com/office/spreadsheetml/2009/9/main" objectType="Spin" dx="15" fmlaLink="ber_IVmed!$E$10" max="1000" page="10" val="0"/>
</file>

<file path=xl/ctrlProps/ctrlProp55.xml><?xml version="1.0" encoding="utf-8"?>
<formControlPr xmlns="http://schemas.microsoft.com/office/spreadsheetml/2009/9/main" objectType="Spin" dx="15" fmlaLink="ber_IVmed!$E$11" max="1000" page="10" val="0"/>
</file>

<file path=xl/ctrlProps/ctrlProp56.xml><?xml version="1.0" encoding="utf-8"?>
<formControlPr xmlns="http://schemas.microsoft.com/office/spreadsheetml/2009/9/main" objectType="Spin" dx="15" fmlaLink="ber_IVmed!$E$12" max="1000" page="10" val="0"/>
</file>

<file path=xl/ctrlProps/ctrlProp57.xml><?xml version="1.0" encoding="utf-8"?>
<formControlPr xmlns="http://schemas.microsoft.com/office/spreadsheetml/2009/9/main" objectType="Spin" dx="15" fmlaLink="ber_IVmed!$D$6" max="1000" page="10" val="0"/>
</file>

<file path=xl/ctrlProps/ctrlProp58.xml><?xml version="1.0" encoding="utf-8"?>
<formControlPr xmlns="http://schemas.microsoft.com/office/spreadsheetml/2009/9/main" objectType="Spin" dx="15" fmlaLink="ber_IVmed!$D$7" max="1000" page="10" val="0"/>
</file>

<file path=xl/ctrlProps/ctrlProp59.xml><?xml version="1.0" encoding="utf-8"?>
<formControlPr xmlns="http://schemas.microsoft.com/office/spreadsheetml/2009/9/main" objectType="Spin" dx="15" fmlaLink="ber_IVmed!$D$8" max="1000" page="10" val="0"/>
</file>

<file path=xl/ctrlProps/ctrlProp60.xml><?xml version="1.0" encoding="utf-8"?>
<formControlPr xmlns="http://schemas.microsoft.com/office/spreadsheetml/2009/9/main" objectType="Spin" dx="15" fmlaLink="ber_IVmed!$D$9" max="1000" page="10" val="0"/>
</file>

<file path=xl/ctrlProps/ctrlProp61.xml><?xml version="1.0" encoding="utf-8"?>
<formControlPr xmlns="http://schemas.microsoft.com/office/spreadsheetml/2009/9/main" objectType="Spin" dx="15" fmlaLink="ber_IVmed!$D$10" max="1000" page="10" val="0"/>
</file>

<file path=xl/ctrlProps/ctrlProp62.xml><?xml version="1.0" encoding="utf-8"?>
<formControlPr xmlns="http://schemas.microsoft.com/office/spreadsheetml/2009/9/main" objectType="Spin" dx="15" fmlaLink="ber_IVmed!$D$11" max="1000" page="10" val="0"/>
</file>

<file path=xl/ctrlProps/ctrlProp63.xml><?xml version="1.0" encoding="utf-8"?>
<formControlPr xmlns="http://schemas.microsoft.com/office/spreadsheetml/2009/9/main" objectType="Spin" dx="15" fmlaLink="ber_IVmed!$D$12" max="1000" page="10" val="0"/>
</file>

<file path=xl/ctrlProps/ctrlProp64.xml><?xml version="1.0" encoding="utf-8"?>
<formControlPr xmlns="http://schemas.microsoft.com/office/spreadsheetml/2009/9/main" objectType="Spin" dx="15" fmlaLink="ber_IVmed!$E$3" max="1000" page="10" val="0"/>
</file>

<file path=xl/ctrlProps/ctrlProp65.xml><?xml version="1.0" encoding="utf-8"?>
<formControlPr xmlns="http://schemas.microsoft.com/office/spreadsheetml/2009/9/main" objectType="Spin" dx="15" fmlaLink="ber_IVmed!$D$3" max="1000" page="10" val="0"/>
</file>

<file path=xl/ctrlProps/ctrlProp66.xml><?xml version="1.0" encoding="utf-8"?>
<formControlPr xmlns="http://schemas.microsoft.com/office/spreadsheetml/2009/9/main" objectType="Spin" dx="15" fmlaLink="ber_IVmed!$J$3" max="1000" page="10"/>
</file>

<file path=xl/ctrlProps/ctrlProp67.xml><?xml version="1.0" encoding="utf-8"?>
<formControlPr xmlns="http://schemas.microsoft.com/office/spreadsheetml/2009/9/main" objectType="Spin" dx="15" fmlaLink="ber_IVmed!$D$4" max="1000" page="10" val="0"/>
</file>

<file path=xl/ctrlProps/ctrlProp68.xml><?xml version="1.0" encoding="utf-8"?>
<formControlPr xmlns="http://schemas.microsoft.com/office/spreadsheetml/2009/9/main" objectType="Spin" dx="15" fmlaLink="ber_IVmed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ber_Med_disc!$I$2" max="13" min="1" page="10"/>
</file>

<file path=xl/ctrlProps/ctrlProp80.xml><?xml version="1.0" encoding="utf-8"?>
<formControlPr xmlns="http://schemas.microsoft.com/office/spreadsheetml/2009/9/main" objectType="Spin" dx="15" fmlaLink="ber_Med_disc!$G$2" max="100" page="10" val="0"/>
</file>

<file path=xl/ctrlProps/ctrlProp81.xml><?xml version="1.0" encoding="utf-8"?>
<formControlPr xmlns="http://schemas.microsoft.com/office/spreadsheetml/2009/9/main" objectType="Drop" dropStyle="combo" dx="16" fmlaLink="ber_Med_disc!$O$2" fmlaRange="tblMedDiscOplVl" sel="0" val="0"/>
</file>

<file path=xl/ctrlProps/ctrlProp82.xml><?xml version="1.0" encoding="utf-8"?>
<formControlPr xmlns="http://schemas.microsoft.com/office/spreadsheetml/2009/9/main" objectType="Spin" dx="15" fmlaLink="ber_Med_disc!$N$2" max="30000" page="10" val="0"/>
</file>

<file path=xl/ctrlProps/ctrlProp83.xml><?xml version="1.0" encoding="utf-8"?>
<formControlPr xmlns="http://schemas.microsoft.com/office/spreadsheetml/2009/9/main" objectType="Spin" dx="15" fmlaLink="ber_Med_disc!$G$3" max="100" page="10" val="0"/>
</file>

<file path=xl/ctrlProps/ctrlProp84.xml><?xml version="1.0" encoding="utf-8"?>
<formControlPr xmlns="http://schemas.microsoft.com/office/spreadsheetml/2009/9/main" objectType="Drop" dropStyle="combo" dx="16" fmlaLink="ber_Med_disc!$O$3" fmlaRange="tblMedDiscOplVl" sel="0" val="0"/>
</file>

<file path=xl/ctrlProps/ctrlProp85.xml><?xml version="1.0" encoding="utf-8"?>
<formControlPr xmlns="http://schemas.microsoft.com/office/spreadsheetml/2009/9/main" objectType="Spin" dx="15" fmlaLink="ber_Med_disc!$N$3" max="30000" page="10" val="0"/>
</file>

<file path=xl/ctrlProps/ctrlProp86.xml><?xml version="1.0" encoding="utf-8"?>
<formControlPr xmlns="http://schemas.microsoft.com/office/spreadsheetml/2009/9/main" objectType="Spin" dx="15" fmlaLink="ber_Med_disc!$I$4" max="13" min="1" page="10"/>
</file>

<file path=xl/ctrlProps/ctrlProp87.xml><?xml version="1.0" encoding="utf-8"?>
<formControlPr xmlns="http://schemas.microsoft.com/office/spreadsheetml/2009/9/main" objectType="Spin" dx="15" fmlaLink="ber_Med_disc!$G$4" max="100" page="10" val="0"/>
</file>

<file path=xl/ctrlProps/ctrlProp88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9.xml><?xml version="1.0" encoding="utf-8"?>
<formControlPr xmlns="http://schemas.microsoft.com/office/spreadsheetml/2009/9/main" objectType="Spin" dx="15" fmlaLink="ber_Med_disc!$N$4" max="30000" page="10" val="0"/>
</file>

<file path=xl/ctrlProps/ctrlProp90.xml><?xml version="1.0" encoding="utf-8"?>
<formControlPr xmlns="http://schemas.microsoft.com/office/spreadsheetml/2009/9/main" objectType="Spin" dx="15" fmlaLink="ber_Med_disc!$I$5" max="13" min="1" page="10"/>
</file>

<file path=xl/ctrlProps/ctrlProp91.xml><?xml version="1.0" encoding="utf-8"?>
<formControlPr xmlns="http://schemas.microsoft.com/office/spreadsheetml/2009/9/main" objectType="Spin" dx="15" fmlaLink="ber_Med_disc!$G$5" max="100" page="10" val="0"/>
</file>

<file path=xl/ctrlProps/ctrlProp92.xml><?xml version="1.0" encoding="utf-8"?>
<formControlPr xmlns="http://schemas.microsoft.com/office/spreadsheetml/2009/9/main" objectType="Drop" dropStyle="combo" dx="16" fmlaLink="ber_Med_disc!$O$5" fmlaRange="tblMedDiscOplVl" sel="0" val="0"/>
</file>

<file path=xl/ctrlProps/ctrlProp93.xml><?xml version="1.0" encoding="utf-8"?>
<formControlPr xmlns="http://schemas.microsoft.com/office/spreadsheetml/2009/9/main" objectType="Spin" dx="15" fmlaLink="ber_Med_disc!$N$5" max="30000" page="10" val="0"/>
</file>

<file path=xl/ctrlProps/ctrlProp94.xml><?xml version="1.0" encoding="utf-8"?>
<formControlPr xmlns="http://schemas.microsoft.com/office/spreadsheetml/2009/9/main" objectType="Spin" dx="15" fmlaLink="ber_Med_disc!$I$6" max="13" min="1" page="10"/>
</file>

<file path=xl/ctrlProps/ctrlProp95.xml><?xml version="1.0" encoding="utf-8"?>
<formControlPr xmlns="http://schemas.microsoft.com/office/spreadsheetml/2009/9/main" objectType="Spin" dx="15" fmlaLink="ber_Med_disc!$G$6" max="100" page="10" val="0"/>
</file>

<file path=xl/ctrlProps/ctrlProp96.xml><?xml version="1.0" encoding="utf-8"?>
<formControlPr xmlns="http://schemas.microsoft.com/office/spreadsheetml/2009/9/main" objectType="Drop" dropStyle="combo" dx="16" fmlaLink="ber_Med_disc!$O$6" fmlaRange="tblMedDiscOplVl" sel="0" val="0"/>
</file>

<file path=xl/ctrlProps/ctrlProp97.xml><?xml version="1.0" encoding="utf-8"?>
<formControlPr xmlns="http://schemas.microsoft.com/office/spreadsheetml/2009/9/main" objectType="Spin" dx="15" fmlaLink="ber_Med_disc!$N$6" max="30000" page="10" val="0"/>
</file>

<file path=xl/ctrlProps/ctrlProp98.xml><?xml version="1.0" encoding="utf-8"?>
<formControlPr xmlns="http://schemas.microsoft.com/office/spreadsheetml/2009/9/main" objectType="Spin" dx="15" fmlaLink="ber_Med_disc!$I$7" max="13" min="1" page="10"/>
</file>

<file path=xl/ctrlProps/ctrlProp99.xml><?xml version="1.0" encoding="utf-8"?>
<formControlPr xmlns="http://schemas.microsoft.com/office/spreadsheetml/2009/9/main" objectType="Spin" dx="15" fmlaLink="ber_Med_disc!$G$7" max="100" page="10" val="0"/>
</file>

<file path=xl/ctrlProps/ctrlProp100.xml><?xml version="1.0" encoding="utf-8"?>
<formControlPr xmlns="http://schemas.microsoft.com/office/spreadsheetml/2009/9/main" objectType="Drop" dropStyle="combo" dx="16" fmlaLink="ber_Med_disc!$O$7" fmlaRange="tblMedDiscOplVl" sel="0" val="0"/>
</file>

<file path=xl/ctrlProps/ctrlProp101.xml><?xml version="1.0" encoding="utf-8"?>
<formControlPr xmlns="http://schemas.microsoft.com/office/spreadsheetml/2009/9/main" objectType="Spin" dx="15" fmlaLink="ber_Med_disc!$N$7" max="30000" page="10" val="0"/>
</file>

<file path=xl/ctrlProps/ctrlProp102.xml><?xml version="1.0" encoding="utf-8"?>
<formControlPr xmlns="http://schemas.microsoft.com/office/spreadsheetml/2009/9/main" objectType="Spin" dx="15" fmlaLink="ber_Med_disc!$I$8" max="13" min="1" page="10"/>
</file>

<file path=xl/ctrlProps/ctrlProp103.xml><?xml version="1.0" encoding="utf-8"?>
<formControlPr xmlns="http://schemas.microsoft.com/office/spreadsheetml/2009/9/main" objectType="Spin" dx="15" fmlaLink="ber_Med_disc!$G$8" max="100" page="10" val="0"/>
</file>

<file path=xl/ctrlProps/ctrlProp104.xml><?xml version="1.0" encoding="utf-8"?>
<formControlPr xmlns="http://schemas.microsoft.com/office/spreadsheetml/2009/9/main" objectType="Drop" dropStyle="combo" dx="16" fmlaLink="ber_Med_disc!$O$8" fmlaRange="tblMedDiscOplVl" sel="0" val="0"/>
</file>

<file path=xl/ctrlProps/ctrlProp105.xml><?xml version="1.0" encoding="utf-8"?>
<formControlPr xmlns="http://schemas.microsoft.com/office/spreadsheetml/2009/9/main" objectType="Spin" dx="15" fmlaLink="ber_Med_disc!$N$8" max="30000" page="10" val="0"/>
</file>

<file path=xl/ctrlProps/ctrlProp106.xml><?xml version="1.0" encoding="utf-8"?>
<formControlPr xmlns="http://schemas.microsoft.com/office/spreadsheetml/2009/9/main" objectType="Spin" dx="15" fmlaLink="ber_Med_disc!$I$9" max="13" min="1" page="10"/>
</file>

<file path=xl/ctrlProps/ctrlProp107.xml><?xml version="1.0" encoding="utf-8"?>
<formControlPr xmlns="http://schemas.microsoft.com/office/spreadsheetml/2009/9/main" objectType="Spin" dx="15" fmlaLink="ber_Med_disc!$G$9" max="100" page="10" val="0"/>
</file>

<file path=xl/ctrlProps/ctrlProp108.xml><?xml version="1.0" encoding="utf-8"?>
<formControlPr xmlns="http://schemas.microsoft.com/office/spreadsheetml/2009/9/main" objectType="Drop" dropStyle="combo" dx="16" fmlaLink="ber_Med_disc!$O$9" fmlaRange="tblMedDiscOplVl" sel="0" val="0"/>
</file>

<file path=xl/ctrlProps/ctrlProp109.xml><?xml version="1.0" encoding="utf-8"?>
<formControlPr xmlns="http://schemas.microsoft.com/office/spreadsheetml/2009/9/main" objectType="Spin" dx="15" fmlaLink="ber_Med_disc!$N$9" max="30000" page="10" val="0"/>
</file>

<file path=xl/ctrlProps/ctrlProp110.xml><?xml version="1.0" encoding="utf-8"?>
<formControlPr xmlns="http://schemas.microsoft.com/office/spreadsheetml/2009/9/main" objectType="Spin" dx="15" fmlaLink="ber_Med_disc!$I$10" max="13" min="1" page="10"/>
</file>

<file path=xl/ctrlProps/ctrlProp111.xml><?xml version="1.0" encoding="utf-8"?>
<formControlPr xmlns="http://schemas.microsoft.com/office/spreadsheetml/2009/9/main" objectType="Spin" dx="15" fmlaLink="ber_Med_disc!$G$10" max="100" page="10" val="0"/>
</file>

<file path=xl/ctrlProps/ctrlProp112.xml><?xml version="1.0" encoding="utf-8"?>
<formControlPr xmlns="http://schemas.microsoft.com/office/spreadsheetml/2009/9/main" objectType="Drop" dropStyle="combo" dx="16" fmlaLink="ber_Med_disc!$O$10" fmlaRange="tblMedDiscOplVl" sel="0" val="0"/>
</file>

<file path=xl/ctrlProps/ctrlProp113.xml><?xml version="1.0" encoding="utf-8"?>
<formControlPr xmlns="http://schemas.microsoft.com/office/spreadsheetml/2009/9/main" objectType="Spin" dx="15" fmlaLink="ber_Med_disc!$N$10" max="30000" page="10" val="0"/>
</file>

<file path=xl/ctrlProps/ctrlProp114.xml><?xml version="1.0" encoding="utf-8"?>
<formControlPr xmlns="http://schemas.microsoft.com/office/spreadsheetml/2009/9/main" objectType="Spin" dx="15" fmlaLink="ber_Med_disc!$I$11" max="13" min="1" page="10"/>
</file>

<file path=xl/ctrlProps/ctrlProp115.xml><?xml version="1.0" encoding="utf-8"?>
<formControlPr xmlns="http://schemas.microsoft.com/office/spreadsheetml/2009/9/main" objectType="Spin" dx="15" fmlaLink="ber_Med_disc!$G$11" max="100" page="10" val="0"/>
</file>

<file path=xl/ctrlProps/ctrlProp116.xml><?xml version="1.0" encoding="utf-8"?>
<formControlPr xmlns="http://schemas.microsoft.com/office/spreadsheetml/2009/9/main" objectType="Drop" dropStyle="combo" dx="16" fmlaLink="ber_Med_disc!$O$11" fmlaRange="tblMedDiscOplVl" sel="0" val="0"/>
</file>

<file path=xl/ctrlProps/ctrlProp117.xml><?xml version="1.0" encoding="utf-8"?>
<formControlPr xmlns="http://schemas.microsoft.com/office/spreadsheetml/2009/9/main" objectType="Spin" dx="15" fmlaLink="ber_Med_disc!$N$11" max="30000" page="10" val="0"/>
</file>

<file path=xl/ctrlProps/ctrlProp118.xml><?xml version="1.0" encoding="utf-8"?>
<formControlPr xmlns="http://schemas.microsoft.com/office/spreadsheetml/2009/9/main" objectType="Spin" dx="15" fmlaLink="ber_Med_disc!$I$12" max="13" min="1" page="10"/>
</file>

<file path=xl/ctrlProps/ctrlProp119.xml><?xml version="1.0" encoding="utf-8"?>
<formControlPr xmlns="http://schemas.microsoft.com/office/spreadsheetml/2009/9/main" objectType="Spin" dx="15" fmlaLink="ber_Med_disc!$G$12" max="100" page="10" val="0"/>
</file>

<file path=xl/ctrlProps/ctrlProp120.xml><?xml version="1.0" encoding="utf-8"?>
<formControlPr xmlns="http://schemas.microsoft.com/office/spreadsheetml/2009/9/main" objectType="Drop" dropStyle="combo" dx="16" fmlaLink="ber_Med_disc!$O$12" fmlaRange="tblMedDiscOplVl" sel="0" val="0"/>
</file>

<file path=xl/ctrlProps/ctrlProp121.xml><?xml version="1.0" encoding="utf-8"?>
<formControlPr xmlns="http://schemas.microsoft.com/office/spreadsheetml/2009/9/main" objectType="Spin" dx="15" fmlaLink="ber_Med_disc!$N$12" max="30000" page="10" val="0"/>
</file>

<file path=xl/ctrlProps/ctrlProp122.xml><?xml version="1.0" encoding="utf-8"?>
<formControlPr xmlns="http://schemas.microsoft.com/office/spreadsheetml/2009/9/main" objectType="Spin" dx="15" fmlaLink="ber_Med_disc!$I$13" max="13" min="1" page="10"/>
</file>

<file path=xl/ctrlProps/ctrlProp123.xml><?xml version="1.0" encoding="utf-8"?>
<formControlPr xmlns="http://schemas.microsoft.com/office/spreadsheetml/2009/9/main" objectType="Spin" dx="15" fmlaLink="ber_Med_disc!$G$13" max="100" page="10" val="0"/>
</file>

<file path=xl/ctrlProps/ctrlProp124.xml><?xml version="1.0" encoding="utf-8"?>
<formControlPr xmlns="http://schemas.microsoft.com/office/spreadsheetml/2009/9/main" objectType="Drop" dropStyle="combo" dx="16" fmlaLink="ber_Med_disc!$O$13" fmlaRange="tblMedDiscOplVl" sel="0" val="0"/>
</file>

<file path=xl/ctrlProps/ctrlProp125.xml><?xml version="1.0" encoding="utf-8"?>
<formControlPr xmlns="http://schemas.microsoft.com/office/spreadsheetml/2009/9/main" objectType="Spin" dx="15" fmlaLink="ber_Med_disc!$N$13" max="30000" page="10" val="0"/>
</file>

<file path=xl/ctrlProps/ctrlProp126.xml><?xml version="1.0" encoding="utf-8"?>
<formControlPr xmlns="http://schemas.microsoft.com/office/spreadsheetml/2009/9/main" objectType="Spin" dx="15" fmlaLink="ber_Med_disc!$I$14" max="13" min="1" page="10"/>
</file>

<file path=xl/ctrlProps/ctrlProp127.xml><?xml version="1.0" encoding="utf-8"?>
<formControlPr xmlns="http://schemas.microsoft.com/office/spreadsheetml/2009/9/main" objectType="Spin" dx="15" fmlaLink="ber_Med_disc!$G$14" max="100" page="10" val="0"/>
</file>

<file path=xl/ctrlProps/ctrlProp128.xml><?xml version="1.0" encoding="utf-8"?>
<formControlPr xmlns="http://schemas.microsoft.com/office/spreadsheetml/2009/9/main" objectType="Drop" dropStyle="combo" dx="16" fmlaLink="ber_Med_disc!$O$14" fmlaRange="tblMedDiscOplVl" sel="0" val="0"/>
</file>

<file path=xl/ctrlProps/ctrlProp129.xml><?xml version="1.0" encoding="utf-8"?>
<formControlPr xmlns="http://schemas.microsoft.com/office/spreadsheetml/2009/9/main" objectType="Spin" dx="15" fmlaLink="ber_Med_disc!$N$14" max="30000" page="10" val="0"/>
</file>

<file path=xl/ctrlProps/ctrlProp130.xml><?xml version="1.0" encoding="utf-8"?>
<formControlPr xmlns="http://schemas.microsoft.com/office/spreadsheetml/2009/9/main" objectType="Spin" dx="15" fmlaLink="ber_Med_disc!$I$15" max="13" min="1" page="10"/>
</file>

<file path=xl/ctrlProps/ctrlProp131.xml><?xml version="1.0" encoding="utf-8"?>
<formControlPr xmlns="http://schemas.microsoft.com/office/spreadsheetml/2009/9/main" objectType="Spin" dx="15" fmlaLink="ber_Med_disc!$G$15" max="100" page="10" val="0"/>
</file>

<file path=xl/ctrlProps/ctrlProp132.xml><?xml version="1.0" encoding="utf-8"?>
<formControlPr xmlns="http://schemas.microsoft.com/office/spreadsheetml/2009/9/main" objectType="Drop" dropStyle="combo" dx="16" fmlaLink="ber_Med_disc!$O$15" fmlaRange="tblMedDiscOplVl" sel="0" val="0"/>
</file>

<file path=xl/ctrlProps/ctrlProp133.xml><?xml version="1.0" encoding="utf-8"?>
<formControlPr xmlns="http://schemas.microsoft.com/office/spreadsheetml/2009/9/main" objectType="Spin" dx="15" fmlaLink="ber_Med_disc!$N$15" max="30000" page="10" val="0"/>
</file>

<file path=xl/ctrlProps/ctrlProp134.xml><?xml version="1.0" encoding="utf-8"?>
<formControlPr xmlns="http://schemas.microsoft.com/office/spreadsheetml/2009/9/main" objectType="Spin" dx="15" fmlaLink="ber_Med_disc!$I$16" max="13" min="1" page="10"/>
</file>

<file path=xl/ctrlProps/ctrlProp135.xml><?xml version="1.0" encoding="utf-8"?>
<formControlPr xmlns="http://schemas.microsoft.com/office/spreadsheetml/2009/9/main" objectType="Spin" dx="15" fmlaLink="ber_Med_disc!$G$16" max="100" page="10" val="0"/>
</file>

<file path=xl/ctrlProps/ctrlProp136.xml><?xml version="1.0" encoding="utf-8"?>
<formControlPr xmlns="http://schemas.microsoft.com/office/spreadsheetml/2009/9/main" objectType="Drop" dropStyle="combo" dx="16" fmlaLink="ber_Med_disc!$O$16" fmlaRange="tblMedDiscOplVl" sel="0" val="0"/>
</file>

<file path=xl/ctrlProps/ctrlProp137.xml><?xml version="1.0" encoding="utf-8"?>
<formControlPr xmlns="http://schemas.microsoft.com/office/spreadsheetml/2009/9/main" objectType="Spin" dx="15" fmlaLink="ber_Med_disc!$N$16" max="30000" page="10" val="0"/>
</file>

<file path=xl/ctrlProps/ctrlProp138.xml><?xml version="1.0" encoding="utf-8"?>
<formControlPr xmlns="http://schemas.microsoft.com/office/spreadsheetml/2009/9/main" objectType="Spin" dx="15" fmlaLink="ber_Med_disc!$I$17" max="13" min="1" page="10"/>
</file>

<file path=xl/ctrlProps/ctrlProp139.xml><?xml version="1.0" encoding="utf-8"?>
<formControlPr xmlns="http://schemas.microsoft.com/office/spreadsheetml/2009/9/main" objectType="Spin" dx="15" fmlaLink="ber_Med_disc!$G$17" max="1000" page="10" val="0"/>
</file>

<file path=xl/ctrlProps/ctrlProp140.xml><?xml version="1.0" encoding="utf-8"?>
<formControlPr xmlns="http://schemas.microsoft.com/office/spreadsheetml/2009/9/main" objectType="Drop" dropStyle="combo" dx="16" fmlaLink="ber_Med_disc!$O$17" fmlaRange="tblMedDiscOplVl" sel="0" val="0"/>
</file>

<file path=xl/ctrlProps/ctrlProp141.xml><?xml version="1.0" encoding="utf-8"?>
<formControlPr xmlns="http://schemas.microsoft.com/office/spreadsheetml/2009/9/main" objectType="Spin" dx="15" fmlaLink="ber_Med_disc!$N$17" max="30000" page="10" val="0"/>
</file>

<file path=xl/ctrlProps/ctrlProp142.xml><?xml version="1.0" encoding="utf-8"?>
<formControlPr xmlns="http://schemas.microsoft.com/office/spreadsheetml/2009/9/main" objectType="Spin" dx="15" fmlaLink="ber_Med_disc!$I$18" max="13" min="1" page="10"/>
</file>

<file path=xl/ctrlProps/ctrlProp143.xml><?xml version="1.0" encoding="utf-8"?>
<formControlPr xmlns="http://schemas.microsoft.com/office/spreadsheetml/2009/9/main" objectType="Spin" dx="15" fmlaLink="ber_Med_disc!$G$18" max="1000" page="10" val="0"/>
</file>

<file path=xl/ctrlProps/ctrlProp144.xml><?xml version="1.0" encoding="utf-8"?>
<formControlPr xmlns="http://schemas.microsoft.com/office/spreadsheetml/2009/9/main" objectType="Drop" dropStyle="combo" dx="16" fmlaLink="ber_Med_disc!$O$18" fmlaRange="tblMedDiscOplVl" sel="0" val="0"/>
</file>

<file path=xl/ctrlProps/ctrlProp145.xml><?xml version="1.0" encoding="utf-8"?>
<formControlPr xmlns="http://schemas.microsoft.com/office/spreadsheetml/2009/9/main" objectType="Spin" dx="15" fmlaLink="ber_Med_disc!$N$18" max="30000" page="10" val="0"/>
</file>

<file path=xl/ctrlProps/ctrlProp146.xml><?xml version="1.0" encoding="utf-8"?>
<formControlPr xmlns="http://schemas.microsoft.com/office/spreadsheetml/2009/9/main" objectType="Spin" dx="15" fmlaLink="ber_Med_disc!$I$19" max="13" min="1" page="10"/>
</file>

<file path=xl/ctrlProps/ctrlProp147.xml><?xml version="1.0" encoding="utf-8"?>
<formControlPr xmlns="http://schemas.microsoft.com/office/spreadsheetml/2009/9/main" objectType="Spin" dx="15" fmlaLink="ber_Med_disc!$G$19" max="1000" page="10" val="0"/>
</file>

<file path=xl/ctrlProps/ctrlProp148.xml><?xml version="1.0" encoding="utf-8"?>
<formControlPr xmlns="http://schemas.microsoft.com/office/spreadsheetml/2009/9/main" objectType="Drop" dropStyle="combo" dx="16" fmlaLink="ber_Med_disc!$O$19" fmlaRange="tblMedDiscOplVl" sel="0" val="0"/>
</file>

<file path=xl/ctrlProps/ctrlProp149.xml><?xml version="1.0" encoding="utf-8"?>
<formControlPr xmlns="http://schemas.microsoft.com/office/spreadsheetml/2009/9/main" objectType="Spin" dx="15" fmlaLink="ber_Med_disc!$N$19" max="30000" page="10" val="0"/>
</file>

<file path=xl/ctrlProps/ctrlProp150.xml><?xml version="1.0" encoding="utf-8"?>
<formControlPr xmlns="http://schemas.microsoft.com/office/spreadsheetml/2009/9/main" objectType="Spin" dx="15" fmlaLink="ber_Med_disc!$I$20" max="13" min="1" page="10"/>
</file>

<file path=xl/ctrlProps/ctrlProp151.xml><?xml version="1.0" encoding="utf-8"?>
<formControlPr xmlns="http://schemas.microsoft.com/office/spreadsheetml/2009/9/main" objectType="Spin" dx="15" fmlaLink="ber_Med_disc!$G$20" max="1000" page="10" val="0"/>
</file>

<file path=xl/ctrlProps/ctrlProp152.xml><?xml version="1.0" encoding="utf-8"?>
<formControlPr xmlns="http://schemas.microsoft.com/office/spreadsheetml/2009/9/main" objectType="Drop" dropStyle="combo" dx="16" fmlaLink="ber_Med_disc!$O$20" fmlaRange="tblMedDiscOplVl" sel="0" val="0"/>
</file>

<file path=xl/ctrlProps/ctrlProp153.xml><?xml version="1.0" encoding="utf-8"?>
<formControlPr xmlns="http://schemas.microsoft.com/office/spreadsheetml/2009/9/main" objectType="Spin" dx="15" fmlaLink="ber_Med_disc!$N$20" max="30000" page="10" val="0"/>
</file>

<file path=xl/ctrlProps/ctrlProp154.xml><?xml version="1.0" encoding="utf-8"?>
<formControlPr xmlns="http://schemas.microsoft.com/office/spreadsheetml/2009/9/main" objectType="Spin" dx="15" fmlaLink="ber_Med_disc!$I$21" max="13" min="1" page="10"/>
</file>

<file path=xl/ctrlProps/ctrlProp155.xml><?xml version="1.0" encoding="utf-8"?>
<formControlPr xmlns="http://schemas.microsoft.com/office/spreadsheetml/2009/9/main" objectType="Spin" dx="15" fmlaLink="ber_Med_disc!$G$21" max="1000" page="10" val="0"/>
</file>

<file path=xl/ctrlProps/ctrlProp1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57.xml><?xml version="1.0" encoding="utf-8"?>
<formControlPr xmlns="http://schemas.microsoft.com/office/spreadsheetml/2009/9/main" objectType="Spin" dx="15" fmlaLink="ber_Med_disc!$N$21" max="30000" page="10" val="0"/>
</file>

<file path=xl/ctrlProps/ctrlProp158.xml><?xml version="1.0" encoding="utf-8"?>
<formControlPr xmlns="http://schemas.microsoft.com/office/spreadsheetml/2009/9/main" objectType="Spin" dx="15" fmlaLink="ber_Med_disc!$I$3" max="13" min="1" page="10"/>
</file>

<file path=xl/ctrlProps/ctrlProp159.xml><?xml version="1.0" encoding="utf-8"?>
<formControlPr xmlns="http://schemas.microsoft.com/office/spreadsheetml/2009/9/main" objectType="Spin" dx="15" fmlaLink="ber_Med_disc!$Q$2" inc="5" max="1440" page="10" val="0"/>
</file>

<file path=xl/ctrlProps/ctrlProp160.xml><?xml version="1.0" encoding="utf-8"?>
<formControlPr xmlns="http://schemas.microsoft.com/office/spreadsheetml/2009/9/main" objectType="Spin" dx="15" fmlaLink="ber_Med_disc!$Q$3" inc="5" max="1440" page="10" val="0"/>
</file>

<file path=xl/ctrlProps/ctrlProp161.xml><?xml version="1.0" encoding="utf-8"?>
<formControlPr xmlns="http://schemas.microsoft.com/office/spreadsheetml/2009/9/main" objectType="Spin" dx="15" fmlaLink="ber_Med_disc!$Q$4" inc="5" max="1440" page="10" val="0"/>
</file>

<file path=xl/ctrlProps/ctrlProp162.xml><?xml version="1.0" encoding="utf-8"?>
<formControlPr xmlns="http://schemas.microsoft.com/office/spreadsheetml/2009/9/main" objectType="Spin" dx="15" fmlaLink="ber_Med_disc!$Q$5" inc="5" max="1440" page="10" val="0"/>
</file>

<file path=xl/ctrlProps/ctrlProp163.xml><?xml version="1.0" encoding="utf-8"?>
<formControlPr xmlns="http://schemas.microsoft.com/office/spreadsheetml/2009/9/main" objectType="Spin" dx="15" fmlaLink="ber_Med_disc!$Q$6" inc="5" max="1440" page="10" val="0"/>
</file>

<file path=xl/ctrlProps/ctrlProp164.xml><?xml version="1.0" encoding="utf-8"?>
<formControlPr xmlns="http://schemas.microsoft.com/office/spreadsheetml/2009/9/main" objectType="Spin" dx="15" fmlaLink="ber_Med_disc!$Q$7" inc="5" max="1440" page="10" val="0"/>
</file>

<file path=xl/ctrlProps/ctrlProp165.xml><?xml version="1.0" encoding="utf-8"?>
<formControlPr xmlns="http://schemas.microsoft.com/office/spreadsheetml/2009/9/main" objectType="Spin" dx="15" fmlaLink="ber_Med_disc!$Q$8" inc="5" max="1440" page="10" val="0"/>
</file>

<file path=xl/ctrlProps/ctrlProp166.xml><?xml version="1.0" encoding="utf-8"?>
<formControlPr xmlns="http://schemas.microsoft.com/office/spreadsheetml/2009/9/main" objectType="Spin" dx="15" fmlaLink="ber_Med_disc!$Q$9" inc="5" max="1440" page="10" val="0"/>
</file>

<file path=xl/ctrlProps/ctrlProp167.xml><?xml version="1.0" encoding="utf-8"?>
<formControlPr xmlns="http://schemas.microsoft.com/office/spreadsheetml/2009/9/main" objectType="Spin" dx="15" fmlaLink="ber_Med_disc!$Q$10" inc="5" max="1440" page="10" val="0"/>
</file>

<file path=xl/ctrlProps/ctrlProp168.xml><?xml version="1.0" encoding="utf-8"?>
<formControlPr xmlns="http://schemas.microsoft.com/office/spreadsheetml/2009/9/main" objectType="Spin" dx="15" fmlaLink="ber_Med_disc!$Q$11" inc="5" max="1440" page="10" val="0"/>
</file>

<file path=xl/ctrlProps/ctrlProp169.xml><?xml version="1.0" encoding="utf-8"?>
<formControlPr xmlns="http://schemas.microsoft.com/office/spreadsheetml/2009/9/main" objectType="Spin" dx="15" fmlaLink="ber_Med_disc!$Q$12" inc="5" max="1440" page="10" val="0"/>
</file>

<file path=xl/ctrlProps/ctrlProp170.xml><?xml version="1.0" encoding="utf-8"?>
<formControlPr xmlns="http://schemas.microsoft.com/office/spreadsheetml/2009/9/main" objectType="Spin" dx="15" fmlaLink="ber_Med_disc!$Q$13" inc="5" max="1440" page="10" val="0"/>
</file>

<file path=xl/ctrlProps/ctrlProp171.xml><?xml version="1.0" encoding="utf-8"?>
<formControlPr xmlns="http://schemas.microsoft.com/office/spreadsheetml/2009/9/main" objectType="Spin" dx="15" fmlaLink="ber_Med_disc!$Q$14" inc="5" max="1440" page="10" val="0"/>
</file>

<file path=xl/ctrlProps/ctrlProp172.xml><?xml version="1.0" encoding="utf-8"?>
<formControlPr xmlns="http://schemas.microsoft.com/office/spreadsheetml/2009/9/main" objectType="Spin" dx="15" fmlaLink="ber_Med_disc!$Q$15" inc="5" max="1440" page="10" val="0"/>
</file>

<file path=xl/ctrlProps/ctrlProp173.xml><?xml version="1.0" encoding="utf-8"?>
<formControlPr xmlns="http://schemas.microsoft.com/office/spreadsheetml/2009/9/main" objectType="Spin" dx="15" fmlaLink="ber_Med_disc!$Q$16" inc="5" max="1440" page="10" val="0"/>
</file>

<file path=xl/ctrlProps/ctrlProp174.xml><?xml version="1.0" encoding="utf-8"?>
<formControlPr xmlns="http://schemas.microsoft.com/office/spreadsheetml/2009/9/main" objectType="Spin" dx="15" fmlaLink="ber_Med_disc!$Q$17" inc="5" max="1440" page="10" val="0"/>
</file>

<file path=xl/ctrlProps/ctrlProp175.xml><?xml version="1.0" encoding="utf-8"?>
<formControlPr xmlns="http://schemas.microsoft.com/office/spreadsheetml/2009/9/main" objectType="Spin" dx="15" fmlaLink="ber_Med_disc!$Q$18" inc="5" max="1440" page="10" val="0"/>
</file>

<file path=xl/ctrlProps/ctrlProp176.xml><?xml version="1.0" encoding="utf-8"?>
<formControlPr xmlns="http://schemas.microsoft.com/office/spreadsheetml/2009/9/main" objectType="Spin" dx="15" fmlaLink="ber_Med_disc!$Q$19" inc="5" max="1440" page="10" val="0"/>
</file>

<file path=xl/ctrlProps/ctrlProp177.xml><?xml version="1.0" encoding="utf-8"?>
<formControlPr xmlns="http://schemas.microsoft.com/office/spreadsheetml/2009/9/main" objectType="Spin" dx="15" fmlaLink="ber_Med_disc!$Q$20" inc="5" max="1440" page="10" val="0"/>
</file>

<file path=xl/ctrlProps/ctrlProp178.xml><?xml version="1.0" encoding="utf-8"?>
<formControlPr xmlns="http://schemas.microsoft.com/office/spreadsheetml/2009/9/main" objectType="Spin" dx="15" fmlaLink="ber_Med_disc!$Q$21" inc="5" max="1440" page="10" val="0"/>
</file>

<file path=xl/ctrlProps/ctrlProp179.xml><?xml version="1.0" encoding="utf-8"?>
<formControlPr xmlns="http://schemas.microsoft.com/office/spreadsheetml/2009/9/main" objectType="Drop" dropStyle="combo" dx="16" fmlaLink="ber_Med_disc!$O$4" fmlaRange="tblMedDiscOplVl" sel="0" val="0"/>
</file>

<file path=xl/ctrlProps/ctrlProp180.xml><?xml version="1.0" encoding="utf-8"?>
<formControlPr xmlns="http://schemas.microsoft.com/office/spreadsheetml/2009/9/main" objectType="Spin" dx="15" fmlaLink="dbBead!$H$2" max="200" min="25" page="10" val="80"/>
</file>

<file path=xl/ctrlProps/ctrlProp1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ber_Med_disc!$O$22" fmlaRange="tblMedDiscOplVl" sel="0" val="0"/>
</file>

<file path=xl/ctrlProps/ctrlProp191.xml><?xml version="1.0" encoding="utf-8"?>
<formControlPr xmlns="http://schemas.microsoft.com/office/spreadsheetml/2009/9/main" objectType="Spin" dx="15" fmlaLink="ber_Med_disc!$I$22" max="13" min="1" page="10"/>
</file>

<file path=xl/ctrlProps/ctrlProp192.xml><?xml version="1.0" encoding="utf-8"?>
<formControlPr xmlns="http://schemas.microsoft.com/office/spreadsheetml/2009/9/main" objectType="Spin" dx="15" fmlaLink="ber_Med_disc!$G$22" max="1000" page="10" val="0"/>
</file>

<file path=xl/ctrlProps/ctrlProp193.xml><?xml version="1.0" encoding="utf-8"?>
<formControlPr xmlns="http://schemas.microsoft.com/office/spreadsheetml/2009/9/main" objectType="Spin" dx="15" fmlaLink="ber_Med_disc!$N$22" max="30000" page="10" val="0"/>
</file>

<file path=xl/ctrlProps/ctrlProp194.xml><?xml version="1.0" encoding="utf-8"?>
<formControlPr xmlns="http://schemas.microsoft.com/office/spreadsheetml/2009/9/main" objectType="Spin" dx="15" fmlaLink="ber_Med_disc!$Q$22" inc="5" max="1440" page="10" val="0"/>
</file>

<file path=xl/ctrlProps/ctrlProp1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ber_Med_disc!$O$23" fmlaRange="tblMedDiscOplVl" sel="0" val="0"/>
</file>

<file path=xl/ctrlProps/ctrlProp205.xml><?xml version="1.0" encoding="utf-8"?>
<formControlPr xmlns="http://schemas.microsoft.com/office/spreadsheetml/2009/9/main" objectType="Spin" dx="15" fmlaLink="ber_Med_disc!$I$23" max="13" min="1" page="10"/>
</file>

<file path=xl/ctrlProps/ctrlProp206.xml><?xml version="1.0" encoding="utf-8"?>
<formControlPr xmlns="http://schemas.microsoft.com/office/spreadsheetml/2009/9/main" objectType="Spin" dx="15" fmlaLink="ber_Med_disc!$G$23" max="1000" page="10" val="0"/>
</file>

<file path=xl/ctrlProps/ctrlProp207.xml><?xml version="1.0" encoding="utf-8"?>
<formControlPr xmlns="http://schemas.microsoft.com/office/spreadsheetml/2009/9/main" objectType="Spin" dx="15" fmlaLink="ber_Med_disc!$N$23" max="30000" page="10" val="0"/>
</file>

<file path=xl/ctrlProps/ctrlProp208.xml><?xml version="1.0" encoding="utf-8"?>
<formControlPr xmlns="http://schemas.microsoft.com/office/spreadsheetml/2009/9/main" objectType="Spin" dx="15" fmlaLink="ber_Med_disc!$Q$23" inc="5" max="1440" page="10" val="0"/>
</file>

<file path=xl/ctrlProps/ctrlProp2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ber_Med_disc!$O$24" fmlaRange="tblMedDiscOplVl" sel="0" val="0"/>
</file>

<file path=xl/ctrlProps/ctrlProp219.xml><?xml version="1.0" encoding="utf-8"?>
<formControlPr xmlns="http://schemas.microsoft.com/office/spreadsheetml/2009/9/main" objectType="Spin" dx="15" fmlaLink="ber_Med_disc!$I$24" max="13" min="1" page="10"/>
</file>

<file path=xl/ctrlProps/ctrlProp220.xml><?xml version="1.0" encoding="utf-8"?>
<formControlPr xmlns="http://schemas.microsoft.com/office/spreadsheetml/2009/9/main" objectType="Spin" dx="15" fmlaLink="ber_Med_disc!$G$24" max="1000" page="10" val="0"/>
</file>

<file path=xl/ctrlProps/ctrlProp221.xml><?xml version="1.0" encoding="utf-8"?>
<formControlPr xmlns="http://schemas.microsoft.com/office/spreadsheetml/2009/9/main" objectType="Spin" dx="15" fmlaLink="ber_Med_disc!$N$24" max="30000" page="10" val="0"/>
</file>

<file path=xl/ctrlProps/ctrlProp222.xml><?xml version="1.0" encoding="utf-8"?>
<formControlPr xmlns="http://schemas.microsoft.com/office/spreadsheetml/2009/9/main" objectType="Spin" dx="15" fmlaLink="ber_Med_disc!$Q$24" inc="5" max="1440" page="10" val="0"/>
</file>

<file path=xl/ctrlProps/ctrlProp22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ber_Med_disc!$O$25" fmlaRange="tblMedDiscOplVl" sel="0" val="0"/>
</file>

<file path=xl/ctrlProps/ctrlProp233.xml><?xml version="1.0" encoding="utf-8"?>
<formControlPr xmlns="http://schemas.microsoft.com/office/spreadsheetml/2009/9/main" objectType="Spin" dx="15" fmlaLink="ber_Med_disc!$I$25" max="13" min="1" page="10"/>
</file>

<file path=xl/ctrlProps/ctrlProp234.xml><?xml version="1.0" encoding="utf-8"?>
<formControlPr xmlns="http://schemas.microsoft.com/office/spreadsheetml/2009/9/main" objectType="Spin" dx="15" fmlaLink="ber_Med_disc!$G$25" max="1000" page="10" val="0"/>
</file>

<file path=xl/ctrlProps/ctrlProp235.xml><?xml version="1.0" encoding="utf-8"?>
<formControlPr xmlns="http://schemas.microsoft.com/office/spreadsheetml/2009/9/main" objectType="Spin" dx="15" fmlaLink="ber_Med_disc!$N$25" max="30000" page="10" val="0"/>
</file>

<file path=xl/ctrlProps/ctrlProp236.xml><?xml version="1.0" encoding="utf-8"?>
<formControlPr xmlns="http://schemas.microsoft.com/office/spreadsheetml/2009/9/main" objectType="Spin" dx="15" fmlaLink="ber_Med_disc!$Q$25" inc="5" max="1440" page="10" val="0"/>
</file>

<file path=xl/ctrlProps/ctrlProp23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ber_Med_disc!$O$26" fmlaRange="tblMedDiscOplVl" sel="0" val="0"/>
</file>

<file path=xl/ctrlProps/ctrlProp247.xml><?xml version="1.0" encoding="utf-8"?>
<formControlPr xmlns="http://schemas.microsoft.com/office/spreadsheetml/2009/9/main" objectType="Spin" dx="15" fmlaLink="ber_Med_disc!$I$26" max="13" min="1" page="10"/>
</file>

<file path=xl/ctrlProps/ctrlProp248.xml><?xml version="1.0" encoding="utf-8"?>
<formControlPr xmlns="http://schemas.microsoft.com/office/spreadsheetml/2009/9/main" objectType="Spin" dx="15" fmlaLink="ber_Med_disc!$G$26" max="1000" page="10" val="0"/>
</file>

<file path=xl/ctrlProps/ctrlProp249.xml><?xml version="1.0" encoding="utf-8"?>
<formControlPr xmlns="http://schemas.microsoft.com/office/spreadsheetml/2009/9/main" objectType="Spin" dx="15" fmlaLink="ber_Med_disc!$N$26" max="30000" page="10" val="0"/>
</file>

<file path=xl/ctrlProps/ctrlProp250.xml><?xml version="1.0" encoding="utf-8"?>
<formControlPr xmlns="http://schemas.microsoft.com/office/spreadsheetml/2009/9/main" objectType="Spin" dx="15" fmlaLink="ber_Med_disc!$Q$26" inc="5" max="1440" page="10" val="0"/>
</file>

<file path=xl/ctrlProps/ctrlProp25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ber_Med_disc!$O$27" fmlaRange="tblMedDiscOplVl" sel="0" val="0"/>
</file>

<file path=xl/ctrlProps/ctrlProp261.xml><?xml version="1.0" encoding="utf-8"?>
<formControlPr xmlns="http://schemas.microsoft.com/office/spreadsheetml/2009/9/main" objectType="Spin" dx="15" fmlaLink="ber_Med_disc!$I$27" max="13" min="1" page="10"/>
</file>

<file path=xl/ctrlProps/ctrlProp262.xml><?xml version="1.0" encoding="utf-8"?>
<formControlPr xmlns="http://schemas.microsoft.com/office/spreadsheetml/2009/9/main" objectType="Spin" dx="15" fmlaLink="ber_Med_disc!$G$27" max="1000" page="10" val="0"/>
</file>

<file path=xl/ctrlProps/ctrlProp263.xml><?xml version="1.0" encoding="utf-8"?>
<formControlPr xmlns="http://schemas.microsoft.com/office/spreadsheetml/2009/9/main" objectType="Spin" dx="15" fmlaLink="ber_Med_disc!$N$27" max="30000" page="10" val="0"/>
</file>

<file path=xl/ctrlProps/ctrlProp264.xml><?xml version="1.0" encoding="utf-8"?>
<formControlPr xmlns="http://schemas.microsoft.com/office/spreadsheetml/2009/9/main" objectType="Spin" dx="15" fmlaLink="ber_Med_disc!$Q$27" inc="5" max="1440" page="10" val="0"/>
</file>

<file path=xl/ctrlProps/ctrlProp26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ber_Med_disc!$O$28" fmlaRange="tblMedDiscOplVl" sel="0" val="0"/>
</file>

<file path=xl/ctrlProps/ctrlProp275.xml><?xml version="1.0" encoding="utf-8"?>
<formControlPr xmlns="http://schemas.microsoft.com/office/spreadsheetml/2009/9/main" objectType="Spin" dx="15" fmlaLink="ber_Med_disc!$I$28" max="13" min="1" page="10"/>
</file>

<file path=xl/ctrlProps/ctrlProp276.xml><?xml version="1.0" encoding="utf-8"?>
<formControlPr xmlns="http://schemas.microsoft.com/office/spreadsheetml/2009/9/main" objectType="Spin" dx="15" fmlaLink="ber_Med_disc!$G$28" max="1000" page="10" val="0"/>
</file>

<file path=xl/ctrlProps/ctrlProp277.xml><?xml version="1.0" encoding="utf-8"?>
<formControlPr xmlns="http://schemas.microsoft.com/office/spreadsheetml/2009/9/main" objectType="Spin" dx="15" fmlaLink="ber_Med_disc!$N$28" max="30000" page="10" val="0"/>
</file>

<file path=xl/ctrlProps/ctrlProp278.xml><?xml version="1.0" encoding="utf-8"?>
<formControlPr xmlns="http://schemas.microsoft.com/office/spreadsheetml/2009/9/main" objectType="Spin" dx="15" fmlaLink="ber_Med_disc!$Q$28" inc="5" max="1440" page="10" val="0"/>
</file>

<file path=xl/ctrlProps/ctrlProp27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ber_Med_disc!$O$29" fmlaRange="tblMedDiscOplVl" sel="0" val="0"/>
</file>

<file path=xl/ctrlProps/ctrlProp289.xml><?xml version="1.0" encoding="utf-8"?>
<formControlPr xmlns="http://schemas.microsoft.com/office/spreadsheetml/2009/9/main" objectType="Spin" dx="15" fmlaLink="ber_Med_disc!$I$29" max="13" min="1" page="10"/>
</file>

<file path=xl/ctrlProps/ctrlProp290.xml><?xml version="1.0" encoding="utf-8"?>
<formControlPr xmlns="http://schemas.microsoft.com/office/spreadsheetml/2009/9/main" objectType="Spin" dx="15" fmlaLink="ber_Med_disc!$G$29" max="1000" page="10" val="0"/>
</file>

<file path=xl/ctrlProps/ctrlProp291.xml><?xml version="1.0" encoding="utf-8"?>
<formControlPr xmlns="http://schemas.microsoft.com/office/spreadsheetml/2009/9/main" objectType="Spin" dx="15" fmlaLink="ber_Med_disc!$N$29" max="30000" page="10" val="0"/>
</file>

<file path=xl/ctrlProps/ctrlProp292.xml><?xml version="1.0" encoding="utf-8"?>
<formControlPr xmlns="http://schemas.microsoft.com/office/spreadsheetml/2009/9/main" objectType="Spin" dx="15" fmlaLink="ber_Med_disc!$Q$29" inc="5" max="1440" page="10" val="0"/>
</file>

<file path=xl/ctrlProps/ctrlProp29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ber_Med_disc!$O$30" fmlaRange="tblMedDiscOplVl" sel="0" val="0"/>
</file>

<file path=xl/ctrlProps/ctrlProp303.xml><?xml version="1.0" encoding="utf-8"?>
<formControlPr xmlns="http://schemas.microsoft.com/office/spreadsheetml/2009/9/main" objectType="Spin" dx="15" fmlaLink="ber_Med_disc!$I$30" max="13" min="1" page="10"/>
</file>

<file path=xl/ctrlProps/ctrlProp304.xml><?xml version="1.0" encoding="utf-8"?>
<formControlPr xmlns="http://schemas.microsoft.com/office/spreadsheetml/2009/9/main" objectType="Spin" dx="15" fmlaLink="ber_Med_disc!$G$30" max="1000" page="10" val="0"/>
</file>

<file path=xl/ctrlProps/ctrlProp305.xml><?xml version="1.0" encoding="utf-8"?>
<formControlPr xmlns="http://schemas.microsoft.com/office/spreadsheetml/2009/9/main" objectType="Spin" dx="15" fmlaLink="ber_Med_disc!$N$30" max="30000" page="10" val="0"/>
</file>

<file path=xl/ctrlProps/ctrlProp306.xml><?xml version="1.0" encoding="utf-8"?>
<formControlPr xmlns="http://schemas.microsoft.com/office/spreadsheetml/2009/9/main" objectType="Spin" dx="15" fmlaLink="ber_Med_disc!$Q$30" inc="5" max="1440" page="10" val="0"/>
</file>

<file path=xl/ctrlProps/ctrlProp30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ber_Med_disc!$O$31" fmlaRange="tblMedDiscOplVl" sel="0" val="0"/>
</file>

<file path=xl/ctrlProps/ctrlProp317.xml><?xml version="1.0" encoding="utf-8"?>
<formControlPr xmlns="http://schemas.microsoft.com/office/spreadsheetml/2009/9/main" objectType="Spin" dx="15" fmlaLink="ber_Med_disc!$I$31" max="13" min="1" page="10"/>
</file>

<file path=xl/ctrlProps/ctrlProp318.xml><?xml version="1.0" encoding="utf-8"?>
<formControlPr xmlns="http://schemas.microsoft.com/office/spreadsheetml/2009/9/main" objectType="Spin" dx="15" fmlaLink="ber_Med_disc!$G$31" max="1000" page="10" val="0"/>
</file>

<file path=xl/ctrlProps/ctrlProp319.xml><?xml version="1.0" encoding="utf-8"?>
<formControlPr xmlns="http://schemas.microsoft.com/office/spreadsheetml/2009/9/main" objectType="Spin" dx="15" fmlaLink="ber_Med_disc!$N$31" max="30000" page="10" val="0"/>
</file>

<file path=xl/ctrlProps/ctrlProp320.xml><?xml version="1.0" encoding="utf-8"?>
<formControlPr xmlns="http://schemas.microsoft.com/office/spreadsheetml/2009/9/main" objectType="Spin" dx="15" fmlaLink="ber_Med_disc!$Q$31" inc="5" max="1440" page="10" val="0"/>
</file>

<file path=xl/ctrlProps/ctrlProp321.xml><?xml version="1.0" encoding="utf-8"?>
<formControlPr xmlns="http://schemas.microsoft.com/office/spreadsheetml/2009/9/main" objectType="Drop" dropStyle="combo" dx="16" fmlaLink="ber_Infusen!$B$2" fmlaRange="tblInfusen" val="25"/>
</file>

<file path=xl/ctrlProps/ctrlProp322.xml><?xml version="1.0" encoding="utf-8"?>
<formControlPr xmlns="http://schemas.microsoft.com/office/spreadsheetml/2009/9/main" objectType="Drop" dropStyle="combo" dx="16" fmlaLink="ber_Infusen!$B$3" fmlaRange="tblInfusen" val="25"/>
</file>

<file path=xl/ctrlProps/ctrlProp323.xml><?xml version="1.0" encoding="utf-8"?>
<formControlPr xmlns="http://schemas.microsoft.com/office/spreadsheetml/2009/9/main" objectType="Drop" dropStyle="combo" dx="16" fmlaLink="ber_Infusen!$B$4" fmlaRange="tblInfusen" val="0"/>
</file>

<file path=xl/ctrlProps/ctrlProp324.xml><?xml version="1.0" encoding="utf-8"?>
<formControlPr xmlns="http://schemas.microsoft.com/office/spreadsheetml/2009/9/main" objectType="Drop" dropStyle="combo" dx="16" fmlaLink="ber_Infusen!$B$5" fmlaRange="tblInfusen" val="25"/>
</file>

<file path=xl/ctrlProps/ctrlProp325.xml><?xml version="1.0" encoding="utf-8"?>
<formControlPr xmlns="http://schemas.microsoft.com/office/spreadsheetml/2009/9/main" objectType="Drop" dropStyle="combo" dx="16" fmlaLink="ber_Infusen!$B$6" fmlaRange="tblInfusen" val="25"/>
</file>

<file path=xl/ctrlProps/ctrlProp326.xml><?xml version="1.0" encoding="utf-8"?>
<formControlPr xmlns="http://schemas.microsoft.com/office/spreadsheetml/2009/9/main" objectType="Drop" dropStyle="combo" dx="16" fmlaLink="ber_Infusen!$B$7" fmlaRange="tblInfusen" val="0"/>
</file>

<file path=xl/ctrlProps/ctrlProp327.xml><?xml version="1.0" encoding="utf-8"?>
<formControlPr xmlns="http://schemas.microsoft.com/office/spreadsheetml/2009/9/main" objectType="Spin" dx="15" fmlaLink="dbBead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ber_Infusen!$G$1" max="200" min="30" page="10" val="30"/>
</file>

<file path=xl/ctrlProps/ctrlProp331.xml><?xml version="1.0" encoding="utf-8"?>
<formControlPr xmlns="http://schemas.microsoft.com/office/spreadsheetml/2009/9/main" objectType="Spin" dx="15" fmlaLink="ber_Infusen!$G$2" max="180" min="1" page="10"/>
</file>

<file path=xl/ctrlProps/ctrlProp332.xml><?xml version="1.0" encoding="utf-8"?>
<formControlPr xmlns="http://schemas.microsoft.com/office/spreadsheetml/2009/9/main" objectType="Spin" dx="15" fmlaLink="ber_Infusen!$G$3" max="180" min="1" page="10"/>
</file>

<file path=xl/ctrlProps/ctrlProp333.xml><?xml version="1.0" encoding="utf-8"?>
<formControlPr xmlns="http://schemas.microsoft.com/office/spreadsheetml/2009/9/main" objectType="Spin" dx="15" fmlaLink="ber_Infusen!$G$4" max="250" min="20" page="10" val="20"/>
</file>

<file path=xl/ctrlProps/ctrlProp334.xml><?xml version="1.0" encoding="utf-8"?>
<formControlPr xmlns="http://schemas.microsoft.com/office/spreadsheetml/2009/9/main" objectType="Spin" dx="15" fmlaLink="ber_Infusen!$G$5" max="200" min="2" page="10" val="2"/>
</file>

<file path=xl/ctrlProps/ctrlProp335.xml><?xml version="1.0" encoding="utf-8"?>
<formControlPr xmlns="http://schemas.microsoft.com/office/spreadsheetml/2009/9/main" objectType="Spin" dx="15" fmlaLink="ber_Infusen!$G$6" max="200" min="10" page="10" val="10"/>
</file>

<file path=xl/ctrlProps/ctrlProp336.xml><?xml version="1.0" encoding="utf-8"?>
<formControlPr xmlns="http://schemas.microsoft.com/office/spreadsheetml/2009/9/main" objectType="Spin" dx="15" fmlaLink="ber_PO!$J$2" max="24" min="1" page="10"/>
</file>

<file path=xl/ctrlProps/ctrlProp337.xml><?xml version="1.0" encoding="utf-8"?>
<formControlPr xmlns="http://schemas.microsoft.com/office/spreadsheetml/2009/9/main" objectType="Spin" dx="15" fmlaLink="ber_PO!$K$2" max="10000" min="1" page="10"/>
</file>

<file path=xl/ctrlProps/ctrlProp338.xml><?xml version="1.0" encoding="utf-8"?>
<formControlPr xmlns="http://schemas.microsoft.com/office/spreadsheetml/2009/9/main" objectType="Drop" dropStyle="combo" dx="16" fmlaLink="ber_PO!$N$2" fmlaRange="tblPerOs" val="0"/>
</file>

<file path=xl/ctrlProps/ctrlProp339.xml><?xml version="1.0" encoding="utf-8"?>
<formControlPr xmlns="http://schemas.microsoft.com/office/spreadsheetml/2009/9/main" objectType="Spin" dx="15" fmlaLink="ber_TPN!$D$3" max="300" page="10" val="0"/>
</file>

<file path=xl/ctrlProps/ctrlProp340.xml><?xml version="1.0" encoding="utf-8"?>
<formControlPr xmlns="http://schemas.microsoft.com/office/spreadsheetml/2009/9/main" objectType="Spin" dx="15" fmlaLink="ber_TPN!$E$7" max="5000" min="1" page="10"/>
</file>

<file path=xl/ctrlProps/ctrlProp341.xml><?xml version="1.0" encoding="utf-8"?>
<formControlPr xmlns="http://schemas.microsoft.com/office/spreadsheetml/2009/9/main" objectType="Spin" dx="15" fmlaLink="ber_TPN!$E$8" max="5000" min="1" page="10"/>
</file>

<file path=xl/ctrlProps/ctrlProp342.xml><?xml version="1.0" encoding="utf-8"?>
<formControlPr xmlns="http://schemas.microsoft.com/office/spreadsheetml/2009/9/main" objectType="Spin" dx="15" fmlaLink="ber_TPN!$E$9" max="5000" min="1" page="10"/>
</file>

<file path=xl/ctrlProps/ctrlProp343.xml><?xml version="1.0" encoding="utf-8"?>
<formControlPr xmlns="http://schemas.microsoft.com/office/spreadsheetml/2009/9/main" objectType="CheckBox" fmlaLink="ber_TPN!$C$7" lockText="1"/>
</file>

<file path=xl/ctrlProps/ctrlProp344.xml><?xml version="1.0" encoding="utf-8"?>
<formControlPr xmlns="http://schemas.microsoft.com/office/spreadsheetml/2009/9/main" objectType="CheckBox" fmlaLink="ber_TPN!$C$8" lockText="1"/>
</file>

<file path=xl/ctrlProps/ctrlProp345.xml><?xml version="1.0" encoding="utf-8"?>
<formControlPr xmlns="http://schemas.microsoft.com/office/spreadsheetml/2009/9/main" objectType="CheckBox" fmlaLink="ber_TPN!$C$9" lockText="1"/>
</file>

<file path=xl/ctrlProps/ctrlProp346.xml><?xml version="1.0" encoding="utf-8"?>
<formControlPr xmlns="http://schemas.microsoft.com/office/spreadsheetml/2009/9/main" objectType="Spin" dx="15" fmlaLink="ber_TPN!$D$12" max="200" page="10" val="0"/>
</file>

<file path=xl/ctrlProps/ctrlProp347.xml><?xml version="1.0" encoding="utf-8"?>
<formControlPr xmlns="http://schemas.microsoft.com/office/spreadsheetml/2009/9/main" objectType="CheckBox" fmlaLink="ber_TPN!$C$14" lockText="1"/>
</file>

<file path=xl/ctrlProps/ctrlProp348.xml><?xml version="1.0" encoding="utf-8"?>
<formControlPr xmlns="http://schemas.microsoft.com/office/spreadsheetml/2009/9/main" objectType="CheckBox" fmlaLink="ber_TPN!$C$15" lockText="1"/>
</file>

<file path=xl/ctrlProps/ctrlProp349.xml><?xml version="1.0" encoding="utf-8"?>
<formControlPr xmlns="http://schemas.microsoft.com/office/spreadsheetml/2009/9/main" objectType="Spin" dx="15" fmlaLink="ber_TPN!$E$14" max="55" min="1" page="10"/>
</file>

<file path=xl/ctrlProps/ctrlProp350.xml><?xml version="1.0" encoding="utf-8"?>
<formControlPr xmlns="http://schemas.microsoft.com/office/spreadsheetml/2009/9/main" objectType="Spin" dx="15" fmlaLink="ber_TPN!$E$15" max="55" min="1" page="10"/>
</file>

<file path=xl/ctrlProps/ctrlProp351.xml><?xml version="1.0" encoding="utf-8"?>
<formControlPr xmlns="http://schemas.microsoft.com/office/spreadsheetml/2009/9/main" objectType="Drop" dropStyle="combo" dx="16" fmlaLink="ber_PO!$O$2" fmlaRange="tblSonde" val="0"/>
</file>

<file path=xl/ctrlProps/ctrlProp352.xml><?xml version="1.0" encoding="utf-8"?>
<formControlPr xmlns="http://schemas.microsoft.com/office/spreadsheetml/2009/9/main" objectType="CheckBox" fmlaLink="ber_TPN!$C$10" lockText="1"/>
</file>

<file path=xl/ctrlProps/ctrlProp353.xml><?xml version="1.0" encoding="utf-8"?>
<formControlPr xmlns="http://schemas.microsoft.com/office/spreadsheetml/2009/9/main" objectType="CheckBox" fmlaLink="ber_TPN!$C$11" lockText="1"/>
</file>

<file path=xl/ctrlProps/ctrlProp354.xml><?xml version="1.0" encoding="utf-8"?>
<formControlPr xmlns="http://schemas.microsoft.com/office/spreadsheetml/2009/9/main" objectType="Spin" dx="15" fmlaLink="ber_TPN!$E$10" max="5000" min="1" page="10"/>
</file>

<file path=xl/ctrlProps/ctrlProp355.xml><?xml version="1.0" encoding="utf-8"?>
<formControlPr xmlns="http://schemas.microsoft.com/office/spreadsheetml/2009/9/main" objectType="Spin" dx="15" fmlaLink="ber_TPN!$E$11" max="200" min="1" page="10"/>
</file>

<file path=xl/ctrlProps/ctrlProp356.xml><?xml version="1.0" encoding="utf-8"?>
<formControlPr xmlns="http://schemas.microsoft.com/office/spreadsheetml/2009/9/main" objectType="Drop" dropStyle="combo" dx="16" fmlaLink="ber_TPN!$B$4" fmlaRange="tblTPN" val="0"/>
</file>

<file path=xl/ctrlProps/ctrlProp357.xml><?xml version="1.0" encoding="utf-8"?>
<formControlPr xmlns="http://schemas.microsoft.com/office/spreadsheetml/2009/9/main" objectType="Drop" dropStyle="combo" dx="16" fmlaLink="ber_TPN!$B$6" fmlaRange="tblSSTGlucose" val="0"/>
</file>

<file path=xl/ctrlProps/ctrlProp358.xml><?xml version="1.0" encoding="utf-8"?>
<formControlPr xmlns="http://schemas.microsoft.com/office/spreadsheetml/2009/9/main" objectType="Spin" dx="15" fmlaLink="ber_TPN!$E$4" max="4000" page="10" val="0"/>
</file>

<file path=xl/ctrlProps/ctrlProp359.xml><?xml version="1.0" encoding="utf-8"?>
<formControlPr xmlns="http://schemas.microsoft.com/office/spreadsheetml/2009/9/main" objectType="Spin" dx="15" fmlaLink="ber_PO!$J$3" max="12" min="1" page="10"/>
</file>

<file path=xl/ctrlProps/ctrlProp360.xml><?xml version="1.0" encoding="utf-8"?>
<formControlPr xmlns="http://schemas.microsoft.com/office/spreadsheetml/2009/9/main" objectType="Spin" dx="15" fmlaLink="ber_PO!$K$3" max="100" page="10" val="0"/>
</file>

<file path=xl/ctrlProps/ctrlProp361.xml><?xml version="1.0" encoding="utf-8"?>
<formControlPr xmlns="http://schemas.microsoft.com/office/spreadsheetml/2009/9/main" objectType="Drop" dropStyle="combo" dx="16" fmlaLink="ber_PO!$N$3" fmlaRange="tblPoeder" sel="0" val="5"/>
</file>

<file path=xl/ctrlProps/ctrlProp362.xml><?xml version="1.0" encoding="utf-8"?>
<formControlPr xmlns="http://schemas.microsoft.com/office/spreadsheetml/2009/9/main" objectType="Spin" dx="15" fmlaLink="ber_TPN!$E$5" max="15" page="10" val="0"/>
</file>

<file path=xl/ctrlProps/ctrlProp363.xml><?xml version="1.0" encoding="utf-8"?>
<formControlPr xmlns="http://schemas.microsoft.com/office/spreadsheetml/2009/9/main" objectType="Spin" dx="15" fmlaLink="ber_PO!$J$4" max="12" min="1" page="10"/>
</file>

<file path=xl/ctrlProps/ctrlProp364.xml><?xml version="1.0" encoding="utf-8"?>
<formControlPr xmlns="http://schemas.microsoft.com/office/spreadsheetml/2009/9/main" objectType="Spin" dx="15" fmlaLink="ber_PO!$K$4" max="100" page="10" val="0"/>
</file>

<file path=xl/ctrlProps/ctrlProp365.xml><?xml version="1.0" encoding="utf-8"?>
<formControlPr xmlns="http://schemas.microsoft.com/office/spreadsheetml/2009/9/main" objectType="Drop" dropStyle="combo" dx="16" fmlaLink="ber_PO!$N$4" fmlaRange="tblPoeder" sel="0" val="0"/>
</file>

<file path=xl/ctrlProps/ctrlProp366.xml><?xml version="1.0" encoding="utf-8"?>
<formControlPr xmlns="http://schemas.microsoft.com/office/spreadsheetml/2009/9/main" objectType="Spin" dx="15" fmlaLink="ber_PO!$J$5" max="12" min="1" page="10"/>
</file>

<file path=xl/ctrlProps/ctrlProp367.xml><?xml version="1.0" encoding="utf-8"?>
<formControlPr xmlns="http://schemas.microsoft.com/office/spreadsheetml/2009/9/main" objectType="Spin" dx="15" fmlaLink="ber_PO!$K$5" max="100" page="10" val="0"/>
</file>

<file path=xl/ctrlProps/ctrlProp368.xml><?xml version="1.0" encoding="utf-8"?>
<formControlPr xmlns="http://schemas.microsoft.com/office/spreadsheetml/2009/9/main" objectType="Drop" dropStyle="combo" dx="16" fmlaLink="ber_PO!$N$5" fmlaRange="tblPoeder" sel="0" val="0"/>
</file>

<file path=xl/ctrlProps/ctrlProp369.xml><?xml version="1.0" encoding="utf-8"?>
<formControlPr xmlns="http://schemas.microsoft.com/office/spreadsheetml/2009/9/main" objectType="Spin" dx="15" fmlaLink="ber_TPN!$D$19" max="200" page="10" val="0"/>
</file>

<file path=xl/ctrlProps/ctrlProp370.xml><?xml version="1.0" encoding="utf-8"?>
<formControlPr xmlns="http://schemas.microsoft.com/office/spreadsheetml/2009/9/main" objectType="Spin" dx="15" fmlaLink="ber_TPN!$E$21" max="1000" min="1" page="10"/>
</file>

<file path=xl/ctrlProps/ctrlProp371.xml><?xml version="1.0" encoding="utf-8"?>
<formControlPr xmlns="http://schemas.microsoft.com/office/spreadsheetml/2009/9/main" objectType="Spin" dx="15" fmlaLink="ber_TPN!$E$22" max="200" min="1" page="10"/>
</file>

<file path=xl/ctrlProps/ctrlProp372.xml><?xml version="1.0" encoding="utf-8"?>
<formControlPr xmlns="http://schemas.microsoft.com/office/spreadsheetml/2009/9/main" objectType="CheckBox" fmlaLink="ber_TPN!$C$21" lockText="1"/>
</file>

<file path=xl/ctrlProps/ctrlProp373.xml><?xml version="1.0" encoding="utf-8"?>
<formControlPr xmlns="http://schemas.microsoft.com/office/spreadsheetml/2009/9/main" objectType="CheckBox" fmlaLink="ber_TPN!$C$22" lockText="1"/>
</file>

<file path=xl/ctrlProps/ctrlProp374.xml><?xml version="1.0" encoding="utf-8"?>
<formControlPr xmlns="http://schemas.microsoft.com/office/spreadsheetml/2009/9/main" objectType="Drop" dropStyle="combo" dx="16" fmlaLink="ber_TPN!$B$20" fmlaRange="tblSSTGlucose" val="5"/>
</file>

<file path=xl/ctrlProps/ctrlProp375.xml><?xml version="1.0" encoding="utf-8"?>
<formControlPr xmlns="http://schemas.microsoft.com/office/spreadsheetml/2009/9/main" objectType="Spin" dx="15" fmlaLink="dbBead!$H$2" max="200" min="25" page="10" val="80"/>
</file>

<file path=xl/ctrlProps/ctrlProp376.xml><?xml version="1.0" encoding="utf-8"?>
<formControlPr xmlns="http://schemas.microsoft.com/office/spreadsheetml/2009/9/main" objectType="CheckBox" fmlaLink="ber_TPN!$C$15" lockText="1"/>
</file>

<file path=xl/ctrlProps/ctrlProp377.xml><?xml version="1.0" encoding="utf-8"?>
<formControlPr xmlns="http://schemas.microsoft.com/office/spreadsheetml/2009/9/main" objectType="CheckBox" fmlaLink="Ber_Lab!$C$4" lockText="1"/>
</file>

<file path=xl/ctrlProps/ctrlProp378.xml><?xml version="1.0" encoding="utf-8"?>
<formControlPr xmlns="http://schemas.microsoft.com/office/spreadsheetml/2009/9/main" objectType="CheckBox" fmlaLink="Ber_Lab!C5" lockText="1"/>
</file>

<file path=xl/ctrlProps/ctrlProp379.xml><?xml version="1.0" encoding="utf-8"?>
<formControlPr xmlns="http://schemas.microsoft.com/office/spreadsheetml/2009/9/main" objectType="CheckBox" fmlaLink="Ber_Lab!C7" lockText="1"/>
</file>

<file path=xl/ctrlProps/ctrlProp380.xml><?xml version="1.0" encoding="utf-8"?>
<formControlPr xmlns="http://schemas.microsoft.com/office/spreadsheetml/2009/9/main" objectType="CheckBox" fmlaLink="Ber_Lab!C8" lockText="1"/>
</file>

<file path=xl/ctrlProps/ctrlProp381.xml><?xml version="1.0" encoding="utf-8"?>
<formControlPr xmlns="http://schemas.microsoft.com/office/spreadsheetml/2009/9/main" objectType="CheckBox" fmlaLink="Ber_Lab!C13" lockText="1"/>
</file>

<file path=xl/ctrlProps/ctrlProp382.xml><?xml version="1.0" encoding="utf-8"?>
<formControlPr xmlns="http://schemas.microsoft.com/office/spreadsheetml/2009/9/main" objectType="CheckBox" fmlaLink="Ber_Lab!C12" lockText="1"/>
</file>

<file path=xl/ctrlProps/ctrlProp383.xml><?xml version="1.0" encoding="utf-8"?>
<formControlPr xmlns="http://schemas.microsoft.com/office/spreadsheetml/2009/9/main" objectType="CheckBox" fmlaLink="Ber_Lab!C30" lockText="1"/>
</file>

<file path=xl/ctrlProps/ctrlProp384.xml><?xml version="1.0" encoding="utf-8"?>
<formControlPr xmlns="http://schemas.microsoft.com/office/spreadsheetml/2009/9/main" objectType="CheckBox" fmlaLink="Ber_Lab!C15" lockText="1"/>
</file>

<file path=xl/ctrlProps/ctrlProp385.xml><?xml version="1.0" encoding="utf-8"?>
<formControlPr xmlns="http://schemas.microsoft.com/office/spreadsheetml/2009/9/main" objectType="CheckBox" fmlaLink="Ber_Lab!C18" lockText="1"/>
</file>

<file path=xl/ctrlProps/ctrlProp386.xml><?xml version="1.0" encoding="utf-8"?>
<formControlPr xmlns="http://schemas.microsoft.com/office/spreadsheetml/2009/9/main" objectType="CheckBox" fmlaLink="Ber_Lab!C19" lockText="1"/>
</file>

<file path=xl/ctrlProps/ctrlProp387.xml><?xml version="1.0" encoding="utf-8"?>
<formControlPr xmlns="http://schemas.microsoft.com/office/spreadsheetml/2009/9/main" objectType="CheckBox" fmlaLink="Ber_Lab!C20" lockText="1"/>
</file>

<file path=xl/ctrlProps/ctrlProp388.xml><?xml version="1.0" encoding="utf-8"?>
<formControlPr xmlns="http://schemas.microsoft.com/office/spreadsheetml/2009/9/main" objectType="CheckBox" fmlaLink="Ber_Lab!C11" lockText="1"/>
</file>

<file path=xl/ctrlProps/ctrlProp389.xml><?xml version="1.0" encoding="utf-8"?>
<formControlPr xmlns="http://schemas.microsoft.com/office/spreadsheetml/2009/9/main" objectType="CheckBox" fmlaLink="Ber_Lab!$C$28" lockText="1"/>
</file>

<file path=xl/ctrlProps/ctrlProp390.xml><?xml version="1.0" encoding="utf-8"?>
<formControlPr xmlns="http://schemas.microsoft.com/office/spreadsheetml/2009/9/main" objectType="CheckBox" fmlaLink="Ber_Lab!$G$4" lockText="1"/>
</file>

<file path=xl/ctrlProps/ctrlProp391.xml><?xml version="1.0" encoding="utf-8"?>
<formControlPr xmlns="http://schemas.microsoft.com/office/spreadsheetml/2009/9/main" objectType="CheckBox" fmlaLink="Ber_Lab!$G$5" lockText="1"/>
</file>

<file path=xl/ctrlProps/ctrlProp392.xml><?xml version="1.0" encoding="utf-8"?>
<formControlPr xmlns="http://schemas.microsoft.com/office/spreadsheetml/2009/9/main" objectType="CheckBox" fmlaLink="Ber_Lab!$G$7" lockText="1"/>
</file>

<file path=xl/ctrlProps/ctrlProp393.xml><?xml version="1.0" encoding="utf-8"?>
<formControlPr xmlns="http://schemas.microsoft.com/office/spreadsheetml/2009/9/main" objectType="CheckBox" fmlaLink="Ber_Lab!$G$8" lockText="1"/>
</file>

<file path=xl/ctrlProps/ctrlProp394.xml><?xml version="1.0" encoding="utf-8"?>
<formControlPr xmlns="http://schemas.microsoft.com/office/spreadsheetml/2009/9/main" objectType="CheckBox" fmlaLink="Ber_Lab!$G$13" lockText="1"/>
</file>

<file path=xl/ctrlProps/ctrlProp395.xml><?xml version="1.0" encoding="utf-8"?>
<formControlPr xmlns="http://schemas.microsoft.com/office/spreadsheetml/2009/9/main" objectType="CheckBox" fmlaLink="Ber_Lab!$G$12" lockText="1"/>
</file>

<file path=xl/ctrlProps/ctrlProp396.xml><?xml version="1.0" encoding="utf-8"?>
<formControlPr xmlns="http://schemas.microsoft.com/office/spreadsheetml/2009/9/main" objectType="CheckBox" fmlaLink="Ber_Lab!$G$30" lockText="1"/>
</file>

<file path=xl/ctrlProps/ctrlProp397.xml><?xml version="1.0" encoding="utf-8"?>
<formControlPr xmlns="http://schemas.microsoft.com/office/spreadsheetml/2009/9/main" objectType="CheckBox" fmlaLink="Ber_Lab!$G$15" lockText="1"/>
</file>

<file path=xl/ctrlProps/ctrlProp398.xml><?xml version="1.0" encoding="utf-8"?>
<formControlPr xmlns="http://schemas.microsoft.com/office/spreadsheetml/2009/9/main" objectType="CheckBox" fmlaLink="Ber_Lab!$G$18" lockText="1"/>
</file>

<file path=xl/ctrlProps/ctrlProp399.xml><?xml version="1.0" encoding="utf-8"?>
<formControlPr xmlns="http://schemas.microsoft.com/office/spreadsheetml/2009/9/main" objectType="CheckBox" fmlaLink="Ber_Lab!$G$19" lockText="1"/>
</file>

<file path=xl/ctrlProps/ctrlProp400.xml><?xml version="1.0" encoding="utf-8"?>
<formControlPr xmlns="http://schemas.microsoft.com/office/spreadsheetml/2009/9/main" objectType="CheckBox" fmlaLink="Ber_Lab!$G$20" lockText="1"/>
</file>

<file path=xl/ctrlProps/ctrlProp401.xml><?xml version="1.0" encoding="utf-8"?>
<formControlPr xmlns="http://schemas.microsoft.com/office/spreadsheetml/2009/9/main" objectType="CheckBox" fmlaLink="Ber_Lab!$G$11" lockText="1"/>
</file>

<file path=xl/ctrlProps/ctrlProp402.xml><?xml version="1.0" encoding="utf-8"?>
<formControlPr xmlns="http://schemas.microsoft.com/office/spreadsheetml/2009/9/main" objectType="CheckBox" fmlaLink="Ber_Lab!$G$28" lockText="1"/>
</file>

<file path=xl/ctrlProps/ctrlProp403.xml><?xml version="1.0" encoding="utf-8"?>
<formControlPr xmlns="http://schemas.microsoft.com/office/spreadsheetml/2009/9/main" objectType="CheckBox" fmlaLink="Ber_Lab!$I$4" lockText="1"/>
</file>

<file path=xl/ctrlProps/ctrlProp404.xml><?xml version="1.0" encoding="utf-8"?>
<formControlPr xmlns="http://schemas.microsoft.com/office/spreadsheetml/2009/9/main" objectType="CheckBox" fmlaLink="Ber_Lab!$I$5" lockText="1"/>
</file>

<file path=xl/ctrlProps/ctrlProp405.xml><?xml version="1.0" encoding="utf-8"?>
<formControlPr xmlns="http://schemas.microsoft.com/office/spreadsheetml/2009/9/main" objectType="CheckBox" fmlaLink="Ber_Lab!$I$7" lockText="1"/>
</file>

<file path=xl/ctrlProps/ctrlProp406.xml><?xml version="1.0" encoding="utf-8"?>
<formControlPr xmlns="http://schemas.microsoft.com/office/spreadsheetml/2009/9/main" objectType="CheckBox" fmlaLink="Ber_Lab!$I$8" lockText="1"/>
</file>

<file path=xl/ctrlProps/ctrlProp407.xml><?xml version="1.0" encoding="utf-8"?>
<formControlPr xmlns="http://schemas.microsoft.com/office/spreadsheetml/2009/9/main" objectType="CheckBox" fmlaLink="Ber_Lab!$I$13" lockText="1"/>
</file>

<file path=xl/ctrlProps/ctrlProp408.xml><?xml version="1.0" encoding="utf-8"?>
<formControlPr xmlns="http://schemas.microsoft.com/office/spreadsheetml/2009/9/main" objectType="CheckBox" fmlaLink="Ber_Lab!$I$12" lockText="1"/>
</file>

<file path=xl/ctrlProps/ctrlProp409.xml><?xml version="1.0" encoding="utf-8"?>
<formControlPr xmlns="http://schemas.microsoft.com/office/spreadsheetml/2009/9/main" objectType="CheckBox" fmlaLink="Ber_Lab!$I$30" lockText="1"/>
</file>

<file path=xl/ctrlProps/ctrlProp410.xml><?xml version="1.0" encoding="utf-8"?>
<formControlPr xmlns="http://schemas.microsoft.com/office/spreadsheetml/2009/9/main" objectType="CheckBox" fmlaLink="Ber_Lab!$I$15" lockText="1"/>
</file>

<file path=xl/ctrlProps/ctrlProp411.xml><?xml version="1.0" encoding="utf-8"?>
<formControlPr xmlns="http://schemas.microsoft.com/office/spreadsheetml/2009/9/main" objectType="CheckBox" fmlaLink="Ber_Lab!$I$18" lockText="1"/>
</file>

<file path=xl/ctrlProps/ctrlProp412.xml><?xml version="1.0" encoding="utf-8"?>
<formControlPr xmlns="http://schemas.microsoft.com/office/spreadsheetml/2009/9/main" objectType="CheckBox" fmlaLink="Ber_Lab!$I$19" lockText="1"/>
</file>

<file path=xl/ctrlProps/ctrlProp413.xml><?xml version="1.0" encoding="utf-8"?>
<formControlPr xmlns="http://schemas.microsoft.com/office/spreadsheetml/2009/9/main" objectType="CheckBox" fmlaLink="Ber_Lab!$I$20" lockText="1"/>
</file>

<file path=xl/ctrlProps/ctrlProp414.xml><?xml version="1.0" encoding="utf-8"?>
<formControlPr xmlns="http://schemas.microsoft.com/office/spreadsheetml/2009/9/main" objectType="CheckBox" fmlaLink="Ber_Lab!$I$11" lockText="1"/>
</file>

<file path=xl/ctrlProps/ctrlProp415.xml><?xml version="1.0" encoding="utf-8"?>
<formControlPr xmlns="http://schemas.microsoft.com/office/spreadsheetml/2009/9/main" objectType="CheckBox" fmlaLink="Ber_Lab!$I$28" lockText="1"/>
</file>

<file path=xl/ctrlProps/ctrlProp416.xml><?xml version="1.0" encoding="utf-8"?>
<formControlPr xmlns="http://schemas.microsoft.com/office/spreadsheetml/2009/9/main" objectType="CheckBox" fmlaLink="Ber_Lab!$L$4" lockText="1"/>
</file>

<file path=xl/ctrlProps/ctrlProp417.xml><?xml version="1.0" encoding="utf-8"?>
<formControlPr xmlns="http://schemas.microsoft.com/office/spreadsheetml/2009/9/main" objectType="CheckBox" fmlaLink="Ber_Lab!$L$5" lockText="1"/>
</file>

<file path=xl/ctrlProps/ctrlProp418.xml><?xml version="1.0" encoding="utf-8"?>
<formControlPr xmlns="http://schemas.microsoft.com/office/spreadsheetml/2009/9/main" objectType="CheckBox" fmlaLink="Ber_Lab!$L$7" lockText="1"/>
</file>

<file path=xl/ctrlProps/ctrlProp419.xml><?xml version="1.0" encoding="utf-8"?>
<formControlPr xmlns="http://schemas.microsoft.com/office/spreadsheetml/2009/9/main" objectType="CheckBox" fmlaLink="Ber_Lab!$L$8" lockText="1"/>
</file>

<file path=xl/ctrlProps/ctrlProp420.xml><?xml version="1.0" encoding="utf-8"?>
<formControlPr xmlns="http://schemas.microsoft.com/office/spreadsheetml/2009/9/main" objectType="CheckBox" fmlaLink="Ber_Lab!$L$13" lockText="1"/>
</file>

<file path=xl/ctrlProps/ctrlProp421.xml><?xml version="1.0" encoding="utf-8"?>
<formControlPr xmlns="http://schemas.microsoft.com/office/spreadsheetml/2009/9/main" objectType="CheckBox" fmlaLink="Ber_Lab!$L$12" lockText="1"/>
</file>

<file path=xl/ctrlProps/ctrlProp422.xml><?xml version="1.0" encoding="utf-8"?>
<formControlPr xmlns="http://schemas.microsoft.com/office/spreadsheetml/2009/9/main" objectType="CheckBox" fmlaLink="Ber_Lab!$L$30" lockText="1"/>
</file>

<file path=xl/ctrlProps/ctrlProp423.xml><?xml version="1.0" encoding="utf-8"?>
<formControlPr xmlns="http://schemas.microsoft.com/office/spreadsheetml/2009/9/main" objectType="CheckBox" fmlaLink="Ber_Lab!$L$15" lockText="1"/>
</file>

<file path=xl/ctrlProps/ctrlProp424.xml><?xml version="1.0" encoding="utf-8"?>
<formControlPr xmlns="http://schemas.microsoft.com/office/spreadsheetml/2009/9/main" objectType="CheckBox" fmlaLink="Ber_Lab!$L$18" lockText="1"/>
</file>

<file path=xl/ctrlProps/ctrlProp425.xml><?xml version="1.0" encoding="utf-8"?>
<formControlPr xmlns="http://schemas.microsoft.com/office/spreadsheetml/2009/9/main" objectType="CheckBox" fmlaLink="Ber_Lab!$L$19" lockText="1"/>
</file>

<file path=xl/ctrlProps/ctrlProp426.xml><?xml version="1.0" encoding="utf-8"?>
<formControlPr xmlns="http://schemas.microsoft.com/office/spreadsheetml/2009/9/main" objectType="CheckBox" fmlaLink="Ber_Lab!$L$20" lockText="1"/>
</file>

<file path=xl/ctrlProps/ctrlProp427.xml><?xml version="1.0" encoding="utf-8"?>
<formControlPr xmlns="http://schemas.microsoft.com/office/spreadsheetml/2009/9/main" objectType="CheckBox" fmlaLink="Ber_Lab!$L$11" lockText="1"/>
</file>

<file path=xl/ctrlProps/ctrlProp428.xml><?xml version="1.0" encoding="utf-8"?>
<formControlPr xmlns="http://schemas.microsoft.com/office/spreadsheetml/2009/9/main" objectType="CheckBox" fmlaLink="Ber_Lab!$L$28" lockText="1"/>
</file>

<file path=xl/ctrlProps/ctrlProp429.xml><?xml version="1.0" encoding="utf-8"?>
<formControlPr xmlns="http://schemas.microsoft.com/office/spreadsheetml/2009/9/main" objectType="CheckBox" fmlaLink="Ber_Lab!$C$27" lockText="1"/>
</file>

<file path=xl/ctrlProps/ctrlProp430.xml><?xml version="1.0" encoding="utf-8"?>
<formControlPr xmlns="http://schemas.microsoft.com/office/spreadsheetml/2009/9/main" objectType="CheckBox" fmlaLink="Ber_Lab!$G$27" lockText="1"/>
</file>

<file path=xl/ctrlProps/ctrlProp431.xml><?xml version="1.0" encoding="utf-8"?>
<formControlPr xmlns="http://schemas.microsoft.com/office/spreadsheetml/2009/9/main" objectType="CheckBox" fmlaLink="Ber_Lab!$I$27" lockText="1"/>
</file>

<file path=xl/ctrlProps/ctrlProp432.xml><?xml version="1.0" encoding="utf-8"?>
<formControlPr xmlns="http://schemas.microsoft.com/office/spreadsheetml/2009/9/main" objectType="CheckBox" fmlaLink="Ber_Lab!$L$27" lockText="1"/>
</file>

<file path=xl/ctrlProps/ctrlProp433.xml><?xml version="1.0" encoding="utf-8"?>
<formControlPr xmlns="http://schemas.microsoft.com/office/spreadsheetml/2009/9/main" objectType="CheckBox" fmlaLink="Ber_Lab!C6" lockText="1"/>
</file>

<file path=xl/ctrlProps/ctrlProp434.xml><?xml version="1.0" encoding="utf-8"?>
<formControlPr xmlns="http://schemas.microsoft.com/office/spreadsheetml/2009/9/main" objectType="CheckBox" fmlaLink="Ber_Lab!$G$6" lockText="1"/>
</file>

<file path=xl/ctrlProps/ctrlProp435.xml><?xml version="1.0" encoding="utf-8"?>
<formControlPr xmlns="http://schemas.microsoft.com/office/spreadsheetml/2009/9/main" objectType="CheckBox" fmlaLink="Ber_Lab!$I$6" lockText="1"/>
</file>

<file path=xl/ctrlProps/ctrlProp436.xml><?xml version="1.0" encoding="utf-8"?>
<formControlPr xmlns="http://schemas.microsoft.com/office/spreadsheetml/2009/9/main" objectType="CheckBox" fmlaLink="Ber_Lab!$L$6" lockText="1"/>
</file>

<file path=xl/ctrlProps/ctrlProp437.xml><?xml version="1.0" encoding="utf-8"?>
<formControlPr xmlns="http://schemas.microsoft.com/office/spreadsheetml/2009/9/main" objectType="CheckBox" fmlaLink="Ber_Lab!$C$16" lockText="1"/>
</file>

<file path=xl/ctrlProps/ctrlProp438.xml><?xml version="1.0" encoding="utf-8"?>
<formControlPr xmlns="http://schemas.microsoft.com/office/spreadsheetml/2009/9/main" objectType="CheckBox" fmlaLink="Ber_Lab!$G$16" lockText="1"/>
</file>

<file path=xl/ctrlProps/ctrlProp439.xml><?xml version="1.0" encoding="utf-8"?>
<formControlPr xmlns="http://schemas.microsoft.com/office/spreadsheetml/2009/9/main" objectType="CheckBox" fmlaLink="Ber_Lab!$I$16" lockText="1"/>
</file>

<file path=xl/ctrlProps/ctrlProp440.xml><?xml version="1.0" encoding="utf-8"?>
<formControlPr xmlns="http://schemas.microsoft.com/office/spreadsheetml/2009/9/main" objectType="CheckBox" fmlaLink="Ber_Lab!$L$16" lockText="1"/>
</file>

<file path=xl/ctrlProps/ctrlProp441.xml><?xml version="1.0" encoding="utf-8"?>
<formControlPr xmlns="http://schemas.microsoft.com/office/spreadsheetml/2009/9/main" objectType="CheckBox" checked="Checked" fmlaLink="Ber_Lab!$E$4" lockText="1"/>
</file>

<file path=xl/ctrlProps/ctrlProp442.xml><?xml version="1.0" encoding="utf-8"?>
<formControlPr xmlns="http://schemas.microsoft.com/office/spreadsheetml/2009/9/main" objectType="CheckBox" fmlaLink="Ber_Lab!$E$5" lockText="1"/>
</file>

<file path=xl/ctrlProps/ctrlProp443.xml><?xml version="1.0" encoding="utf-8"?>
<formControlPr xmlns="http://schemas.microsoft.com/office/spreadsheetml/2009/9/main" objectType="CheckBox" fmlaLink="Ber_Lab!$E$7" lockText="1"/>
</file>

<file path=xl/ctrlProps/ctrlProp444.xml><?xml version="1.0" encoding="utf-8"?>
<formControlPr xmlns="http://schemas.microsoft.com/office/spreadsheetml/2009/9/main" objectType="CheckBox" fmlaLink="Ber_Lab!$E$8" lockText="1"/>
</file>

<file path=xl/ctrlProps/ctrlProp445.xml><?xml version="1.0" encoding="utf-8"?>
<formControlPr xmlns="http://schemas.microsoft.com/office/spreadsheetml/2009/9/main" objectType="CheckBox" fmlaLink="Ber_Lab!$E$13" lockText="1"/>
</file>

<file path=xl/ctrlProps/ctrlProp446.xml><?xml version="1.0" encoding="utf-8"?>
<formControlPr xmlns="http://schemas.microsoft.com/office/spreadsheetml/2009/9/main" objectType="CheckBox" fmlaLink="Ber_Lab!$E$12" lockText="1"/>
</file>

<file path=xl/ctrlProps/ctrlProp447.xml><?xml version="1.0" encoding="utf-8"?>
<formControlPr xmlns="http://schemas.microsoft.com/office/spreadsheetml/2009/9/main" objectType="CheckBox" fmlaLink="Ber_Lab!$E$30" lockText="1"/>
</file>

<file path=xl/ctrlProps/ctrlProp448.xml><?xml version="1.0" encoding="utf-8"?>
<formControlPr xmlns="http://schemas.microsoft.com/office/spreadsheetml/2009/9/main" objectType="CheckBox" fmlaLink="Ber_Lab!$E$15" lockText="1"/>
</file>

<file path=xl/ctrlProps/ctrlProp449.xml><?xml version="1.0" encoding="utf-8"?>
<formControlPr xmlns="http://schemas.microsoft.com/office/spreadsheetml/2009/9/main" objectType="CheckBox" fmlaLink="Ber_Lab!$E$18" lockText="1"/>
</file>

<file path=xl/ctrlProps/ctrlProp450.xml><?xml version="1.0" encoding="utf-8"?>
<formControlPr xmlns="http://schemas.microsoft.com/office/spreadsheetml/2009/9/main" objectType="CheckBox" fmlaLink="Ber_Lab!$E$19" lockText="1"/>
</file>

<file path=xl/ctrlProps/ctrlProp451.xml><?xml version="1.0" encoding="utf-8"?>
<formControlPr xmlns="http://schemas.microsoft.com/office/spreadsheetml/2009/9/main" objectType="CheckBox" fmlaLink="Ber_Lab!$E$20" lockText="1"/>
</file>

<file path=xl/ctrlProps/ctrlProp452.xml><?xml version="1.0" encoding="utf-8"?>
<formControlPr xmlns="http://schemas.microsoft.com/office/spreadsheetml/2009/9/main" objectType="CheckBox" fmlaLink="Ber_Lab!$E$11" lockText="1"/>
</file>

<file path=xl/ctrlProps/ctrlProp453.xml><?xml version="1.0" encoding="utf-8"?>
<formControlPr xmlns="http://schemas.microsoft.com/office/spreadsheetml/2009/9/main" objectType="CheckBox" fmlaLink="Ber_Lab!$E$28" lockText="1"/>
</file>

<file path=xl/ctrlProps/ctrlProp454.xml><?xml version="1.0" encoding="utf-8"?>
<formControlPr xmlns="http://schemas.microsoft.com/office/spreadsheetml/2009/9/main" objectType="CheckBox" fmlaLink="Ber_Lab!$E$27" lockText="1"/>
</file>

<file path=xl/ctrlProps/ctrlProp455.xml><?xml version="1.0" encoding="utf-8"?>
<formControlPr xmlns="http://schemas.microsoft.com/office/spreadsheetml/2009/9/main" objectType="CheckBox" fmlaLink="Ber_Lab!$E$6" lockText="1"/>
</file>

<file path=xl/ctrlProps/ctrlProp456.xml><?xml version="1.0" encoding="utf-8"?>
<formControlPr xmlns="http://schemas.microsoft.com/office/spreadsheetml/2009/9/main" objectType="CheckBox" fmlaLink="Ber_Lab!$E$16" lockText="1"/>
</file>

<file path=xl/ctrlProps/ctrlProp457.xml><?xml version="1.0" encoding="utf-8"?>
<formControlPr xmlns="http://schemas.microsoft.com/office/spreadsheetml/2009/9/main" objectType="CheckBox" fmlaLink="Ber_Lab!$C$26" lockText="1"/>
</file>

<file path=xl/ctrlProps/ctrlProp458.xml><?xml version="1.0" encoding="utf-8"?>
<formControlPr xmlns="http://schemas.microsoft.com/office/spreadsheetml/2009/9/main" objectType="CheckBox" fmlaLink="Ber_Lab!$G$26" lockText="1"/>
</file>

<file path=xl/ctrlProps/ctrlProp459.xml><?xml version="1.0" encoding="utf-8"?>
<formControlPr xmlns="http://schemas.microsoft.com/office/spreadsheetml/2009/9/main" objectType="CheckBox" fmlaLink="Ber_Lab!$I$26" lockText="1"/>
</file>

<file path=xl/ctrlProps/ctrlProp460.xml><?xml version="1.0" encoding="utf-8"?>
<formControlPr xmlns="http://schemas.microsoft.com/office/spreadsheetml/2009/9/main" objectType="CheckBox" fmlaLink="Ber_Lab!$L$26" lockText="1"/>
</file>

<file path=xl/ctrlProps/ctrlProp461.xml><?xml version="1.0" encoding="utf-8"?>
<formControlPr xmlns="http://schemas.microsoft.com/office/spreadsheetml/2009/9/main" objectType="CheckBox" fmlaLink="Ber_Lab!$E$26" lockText="1"/>
</file>

<file path=xl/ctrlProps/ctrlProp462.xml><?xml version="1.0" encoding="utf-8"?>
<formControlPr xmlns="http://schemas.microsoft.com/office/spreadsheetml/2009/9/main" objectType="CheckBox" fmlaLink="Ber_Lab!$C$32" lockText="1"/>
</file>

<file path=xl/ctrlProps/ctrlProp463.xml><?xml version="1.0" encoding="utf-8"?>
<formControlPr xmlns="http://schemas.microsoft.com/office/spreadsheetml/2009/9/main" objectType="CheckBox" fmlaLink="Ber_Lab!$G$32" lockText="1"/>
</file>

<file path=xl/ctrlProps/ctrlProp464.xml><?xml version="1.0" encoding="utf-8"?>
<formControlPr xmlns="http://schemas.microsoft.com/office/spreadsheetml/2009/9/main" objectType="CheckBox" fmlaLink="Ber_Lab!$I$32" lockText="1"/>
</file>

<file path=xl/ctrlProps/ctrlProp465.xml><?xml version="1.0" encoding="utf-8"?>
<formControlPr xmlns="http://schemas.microsoft.com/office/spreadsheetml/2009/9/main" objectType="CheckBox" fmlaLink="Ber_Lab!$L$32" lockText="1"/>
</file>

<file path=xl/ctrlProps/ctrlProp466.xml><?xml version="1.0" encoding="utf-8"?>
<formControlPr xmlns="http://schemas.microsoft.com/office/spreadsheetml/2009/9/main" objectType="CheckBox" fmlaLink="Ber_Lab!$E$32" lockText="1"/>
</file>

<file path=xl/ctrlProps/ctrlProp467.xml><?xml version="1.0" encoding="utf-8"?>
<formControlPr xmlns="http://schemas.microsoft.com/office/spreadsheetml/2009/9/main" objectType="CheckBox" fmlaLink="Ber_Lab!$C$9" lockText="1"/>
</file>

<file path=xl/ctrlProps/ctrlProp468.xml><?xml version="1.0" encoding="utf-8"?>
<formControlPr xmlns="http://schemas.microsoft.com/office/spreadsheetml/2009/9/main" objectType="CheckBox" fmlaLink="Ber_Lab!$G$9" lockText="1"/>
</file>

<file path=xl/ctrlProps/ctrlProp469.xml><?xml version="1.0" encoding="utf-8"?>
<formControlPr xmlns="http://schemas.microsoft.com/office/spreadsheetml/2009/9/main" objectType="CheckBox" fmlaLink="Ber_Lab!$I$9" lockText="1"/>
</file>

<file path=xl/ctrlProps/ctrlProp470.xml><?xml version="1.0" encoding="utf-8"?>
<formControlPr xmlns="http://schemas.microsoft.com/office/spreadsheetml/2009/9/main" objectType="CheckBox" fmlaLink="Ber_Lab!$L$9" lockText="1"/>
</file>

<file path=xl/ctrlProps/ctrlProp471.xml><?xml version="1.0" encoding="utf-8"?>
<formControlPr xmlns="http://schemas.microsoft.com/office/spreadsheetml/2009/9/main" objectType="CheckBox" fmlaLink="Ber_Lab!$E$9" lockText="1"/>
</file>

<file path=xl/ctrlProps/ctrlProp472.xml><?xml version="1.0" encoding="utf-8"?>
<formControlPr xmlns="http://schemas.microsoft.com/office/spreadsheetml/2009/9/main" objectType="CheckBox" fmlaLink="Ber_Lab!$C$10" lockText="1"/>
</file>

<file path=xl/ctrlProps/ctrlProp473.xml><?xml version="1.0" encoding="utf-8"?>
<formControlPr xmlns="http://schemas.microsoft.com/office/spreadsheetml/2009/9/main" objectType="CheckBox" fmlaLink="Ber_Lab!$G$10" lockText="1"/>
</file>

<file path=xl/ctrlProps/ctrlProp474.xml><?xml version="1.0" encoding="utf-8"?>
<formControlPr xmlns="http://schemas.microsoft.com/office/spreadsheetml/2009/9/main" objectType="CheckBox" fmlaLink="Ber_Lab!$I$10" lockText="1"/>
</file>

<file path=xl/ctrlProps/ctrlProp475.xml><?xml version="1.0" encoding="utf-8"?>
<formControlPr xmlns="http://schemas.microsoft.com/office/spreadsheetml/2009/9/main" objectType="CheckBox" fmlaLink="Ber_Lab!$L$10" lockText="1"/>
</file>

<file path=xl/ctrlProps/ctrlProp476.xml><?xml version="1.0" encoding="utf-8"?>
<formControlPr xmlns="http://schemas.microsoft.com/office/spreadsheetml/2009/9/main" objectType="CheckBox" fmlaLink="Ber_Lab!$E$10" lockText="1"/>
</file>

<file path=xl/ctrlProps/ctrlProp477.xml><?xml version="1.0" encoding="utf-8"?>
<formControlPr xmlns="http://schemas.microsoft.com/office/spreadsheetml/2009/9/main" objectType="CheckBox" fmlaLink="Ber_Lab!$C$14" lockText="1"/>
</file>

<file path=xl/ctrlProps/ctrlProp478.xml><?xml version="1.0" encoding="utf-8"?>
<formControlPr xmlns="http://schemas.microsoft.com/office/spreadsheetml/2009/9/main" objectType="CheckBox" fmlaLink="Ber_Lab!$G$14" lockText="1"/>
</file>

<file path=xl/ctrlProps/ctrlProp479.xml><?xml version="1.0" encoding="utf-8"?>
<formControlPr xmlns="http://schemas.microsoft.com/office/spreadsheetml/2009/9/main" objectType="CheckBox" fmlaLink="Ber_Lab!$I$14" lockText="1"/>
</file>

<file path=xl/ctrlProps/ctrlProp480.xml><?xml version="1.0" encoding="utf-8"?>
<formControlPr xmlns="http://schemas.microsoft.com/office/spreadsheetml/2009/9/main" objectType="CheckBox" fmlaLink="Ber_Lab!$L$14" lockText="1"/>
</file>

<file path=xl/ctrlProps/ctrlProp481.xml><?xml version="1.0" encoding="utf-8"?>
<formControlPr xmlns="http://schemas.microsoft.com/office/spreadsheetml/2009/9/main" objectType="CheckBox" fmlaLink="Ber_Lab!$E$14" lockText="1"/>
</file>

<file path=xl/ctrlProps/ctrlProp482.xml><?xml version="1.0" encoding="utf-8"?>
<formControlPr xmlns="http://schemas.microsoft.com/office/spreadsheetml/2009/9/main" objectType="CheckBox" fmlaLink="Ber_Lab!$C$21" lockText="1"/>
</file>

<file path=xl/ctrlProps/ctrlProp483.xml><?xml version="1.0" encoding="utf-8"?>
<formControlPr xmlns="http://schemas.microsoft.com/office/spreadsheetml/2009/9/main" objectType="CheckBox" fmlaLink="Ber_Lab!$G$21" lockText="1"/>
</file>

<file path=xl/ctrlProps/ctrlProp484.xml><?xml version="1.0" encoding="utf-8"?>
<formControlPr xmlns="http://schemas.microsoft.com/office/spreadsheetml/2009/9/main" objectType="CheckBox" fmlaLink="Ber_Lab!$I$21" lockText="1"/>
</file>

<file path=xl/ctrlProps/ctrlProp485.xml><?xml version="1.0" encoding="utf-8"?>
<formControlPr xmlns="http://schemas.microsoft.com/office/spreadsheetml/2009/9/main" objectType="CheckBox" fmlaLink="Ber_Lab!$L$21" lockText="1"/>
</file>

<file path=xl/ctrlProps/ctrlProp486.xml><?xml version="1.0" encoding="utf-8"?>
<formControlPr xmlns="http://schemas.microsoft.com/office/spreadsheetml/2009/9/main" objectType="CheckBox" fmlaLink="Ber_Lab!$E$21" lockText="1"/>
</file>

<file path=xl/ctrlProps/ctrlProp487.xml><?xml version="1.0" encoding="utf-8"?>
<formControlPr xmlns="http://schemas.microsoft.com/office/spreadsheetml/2009/9/main" objectType="CheckBox" fmlaLink="Ber_Lab!$C$22" lockText="1"/>
</file>

<file path=xl/ctrlProps/ctrlProp488.xml><?xml version="1.0" encoding="utf-8"?>
<formControlPr xmlns="http://schemas.microsoft.com/office/spreadsheetml/2009/9/main" objectType="CheckBox" fmlaLink="Ber_Lab!$G$22" lockText="1"/>
</file>

<file path=xl/ctrlProps/ctrlProp489.xml><?xml version="1.0" encoding="utf-8"?>
<formControlPr xmlns="http://schemas.microsoft.com/office/spreadsheetml/2009/9/main" objectType="CheckBox" fmlaLink="Ber_Lab!$I$22" lockText="1"/>
</file>

<file path=xl/ctrlProps/ctrlProp490.xml><?xml version="1.0" encoding="utf-8"?>
<formControlPr xmlns="http://schemas.microsoft.com/office/spreadsheetml/2009/9/main" objectType="CheckBox" fmlaLink="Ber_Lab!$L$22" lockText="1"/>
</file>

<file path=xl/ctrlProps/ctrlProp491.xml><?xml version="1.0" encoding="utf-8"?>
<formControlPr xmlns="http://schemas.microsoft.com/office/spreadsheetml/2009/9/main" objectType="CheckBox" fmlaLink="Ber_Lab!$E$22" lockText="1"/>
</file>

<file path=xl/ctrlProps/ctrlProp492.xml><?xml version="1.0" encoding="utf-8"?>
<formControlPr xmlns="http://schemas.microsoft.com/office/spreadsheetml/2009/9/main" objectType="CheckBox" fmlaLink="Ber_Lab!$C$23" lockText="1"/>
</file>

<file path=xl/ctrlProps/ctrlProp493.xml><?xml version="1.0" encoding="utf-8"?>
<formControlPr xmlns="http://schemas.microsoft.com/office/spreadsheetml/2009/9/main" objectType="CheckBox" fmlaLink="Ber_Lab!$G$23" lockText="1"/>
</file>

<file path=xl/ctrlProps/ctrlProp494.xml><?xml version="1.0" encoding="utf-8"?>
<formControlPr xmlns="http://schemas.microsoft.com/office/spreadsheetml/2009/9/main" objectType="CheckBox" fmlaLink="Ber_Lab!$I$23" lockText="1"/>
</file>

<file path=xl/ctrlProps/ctrlProp495.xml><?xml version="1.0" encoding="utf-8"?>
<formControlPr xmlns="http://schemas.microsoft.com/office/spreadsheetml/2009/9/main" objectType="CheckBox" fmlaLink="Ber_Lab!$L$23" lockText="1"/>
</file>

<file path=xl/ctrlProps/ctrlProp496.xml><?xml version="1.0" encoding="utf-8"?>
<formControlPr xmlns="http://schemas.microsoft.com/office/spreadsheetml/2009/9/main" objectType="CheckBox" fmlaLink="Ber_Lab!$E$23" lockText="1"/>
</file>

<file path=xl/ctrlProps/ctrlProp497.xml><?xml version="1.0" encoding="utf-8"?>
<formControlPr xmlns="http://schemas.microsoft.com/office/spreadsheetml/2009/9/main" objectType="CheckBox" fmlaLink="Ber_Lab!$C$24" lockText="1"/>
</file>

<file path=xl/ctrlProps/ctrlProp498.xml><?xml version="1.0" encoding="utf-8"?>
<formControlPr xmlns="http://schemas.microsoft.com/office/spreadsheetml/2009/9/main" objectType="CheckBox" fmlaLink="Ber_Lab!$G$24" lockText="1"/>
</file>

<file path=xl/ctrlProps/ctrlProp499.xml><?xml version="1.0" encoding="utf-8"?>
<formControlPr xmlns="http://schemas.microsoft.com/office/spreadsheetml/2009/9/main" objectType="CheckBox" fmlaLink="Ber_Lab!$I$24" lockText="1"/>
</file>

<file path=xl/ctrlProps/ctrlProp500.xml><?xml version="1.0" encoding="utf-8"?>
<formControlPr xmlns="http://schemas.microsoft.com/office/spreadsheetml/2009/9/main" objectType="CheckBox" fmlaLink="Ber_Lab!$L$24" lockText="1"/>
</file>

<file path=xl/ctrlProps/ctrlProp501.xml><?xml version="1.0" encoding="utf-8"?>
<formControlPr xmlns="http://schemas.microsoft.com/office/spreadsheetml/2009/9/main" objectType="CheckBox" fmlaLink="Ber_Lab!$E$24" lockText="1"/>
</file>

<file path=xl/ctrlProps/ctrlProp502.xml><?xml version="1.0" encoding="utf-8"?>
<formControlPr xmlns="http://schemas.microsoft.com/office/spreadsheetml/2009/9/main" objectType="CheckBox" fmlaLink="Ber_Lab!$C$25" lockText="1"/>
</file>

<file path=xl/ctrlProps/ctrlProp503.xml><?xml version="1.0" encoding="utf-8"?>
<formControlPr xmlns="http://schemas.microsoft.com/office/spreadsheetml/2009/9/main" objectType="CheckBox" fmlaLink="Ber_Lab!$G$25" lockText="1"/>
</file>

<file path=xl/ctrlProps/ctrlProp504.xml><?xml version="1.0" encoding="utf-8"?>
<formControlPr xmlns="http://schemas.microsoft.com/office/spreadsheetml/2009/9/main" objectType="CheckBox" fmlaLink="Ber_Lab!$I$25" lockText="1"/>
</file>

<file path=xl/ctrlProps/ctrlProp505.xml><?xml version="1.0" encoding="utf-8"?>
<formControlPr xmlns="http://schemas.microsoft.com/office/spreadsheetml/2009/9/main" objectType="CheckBox" fmlaLink="Ber_Lab!$L$25" lockText="1"/>
</file>

<file path=xl/ctrlProps/ctrlProp506.xml><?xml version="1.0" encoding="utf-8"?>
<formControlPr xmlns="http://schemas.microsoft.com/office/spreadsheetml/2009/9/main" objectType="CheckBox" fmlaLink="Ber_Lab!$E$25" lockText="1"/>
</file>

<file path=xl/ctrlProps/ctrlProp507.xml><?xml version="1.0" encoding="utf-8"?>
<formControlPr xmlns="http://schemas.microsoft.com/office/spreadsheetml/2009/9/main" objectType="CheckBox" fmlaLink="Ber_Lab!$C$29" lockText="1"/>
</file>

<file path=xl/ctrlProps/ctrlProp508.xml><?xml version="1.0" encoding="utf-8"?>
<formControlPr xmlns="http://schemas.microsoft.com/office/spreadsheetml/2009/9/main" objectType="CheckBox" fmlaLink="Ber_Lab!$G$29" lockText="1"/>
</file>

<file path=xl/ctrlProps/ctrlProp509.xml><?xml version="1.0" encoding="utf-8"?>
<formControlPr xmlns="http://schemas.microsoft.com/office/spreadsheetml/2009/9/main" objectType="CheckBox" fmlaLink="Ber_Lab!$I$29" lockText="1"/>
</file>

<file path=xl/ctrlProps/ctrlProp510.xml><?xml version="1.0" encoding="utf-8"?>
<formControlPr xmlns="http://schemas.microsoft.com/office/spreadsheetml/2009/9/main" objectType="CheckBox" fmlaLink="Ber_Lab!$L$29" lockText="1"/>
</file>

<file path=xl/ctrlProps/ctrlProp511.xml><?xml version="1.0" encoding="utf-8"?>
<formControlPr xmlns="http://schemas.microsoft.com/office/spreadsheetml/2009/9/main" objectType="CheckBox" fmlaLink="Ber_Lab!$E$29" lockText="1"/>
</file>

<file path=xl/ctrlProps/ctrlProp512.xml><?xml version="1.0" encoding="utf-8"?>
<formControlPr xmlns="http://schemas.microsoft.com/office/spreadsheetml/2009/9/main" objectType="CheckBox" fmlaLink="Ber_Lab!$C$17" lockText="1"/>
</file>

<file path=xl/ctrlProps/ctrlProp513.xml><?xml version="1.0" encoding="utf-8"?>
<formControlPr xmlns="http://schemas.microsoft.com/office/spreadsheetml/2009/9/main" objectType="CheckBox" fmlaLink="Ber_Lab!$G$17" lockText="1"/>
</file>

<file path=xl/ctrlProps/ctrlProp514.xml><?xml version="1.0" encoding="utf-8"?>
<formControlPr xmlns="http://schemas.microsoft.com/office/spreadsheetml/2009/9/main" objectType="CheckBox" fmlaLink="Ber_Lab!$I$17" lockText="1"/>
</file>

<file path=xl/ctrlProps/ctrlProp515.xml><?xml version="1.0" encoding="utf-8"?>
<formControlPr xmlns="http://schemas.microsoft.com/office/spreadsheetml/2009/9/main" objectType="CheckBox" fmlaLink="Ber_Lab!$L$17" lockText="1"/>
</file>

<file path=xl/ctrlProps/ctrlProp516.xml><?xml version="1.0" encoding="utf-8"?>
<formControlPr xmlns="http://schemas.microsoft.com/office/spreadsheetml/2009/9/main" objectType="CheckBox" fmlaLink="Ber_Lab!$E$17" lockText="1"/>
</file>

<file path=xl/ctrlProps/ctrlProp517.xml><?xml version="1.0" encoding="utf-8"?>
<formControlPr xmlns="http://schemas.microsoft.com/office/spreadsheetml/2009/9/main" objectType="CheckBox" fmlaLink="Ber_Lab!$C$31" lockText="1"/>
</file>

<file path=xl/ctrlProps/ctrlProp518.xml><?xml version="1.0" encoding="utf-8"?>
<formControlPr xmlns="http://schemas.microsoft.com/office/spreadsheetml/2009/9/main" objectType="CheckBox" fmlaLink="Ber_Lab!$G$31" lockText="1"/>
</file>

<file path=xl/ctrlProps/ctrlProp519.xml><?xml version="1.0" encoding="utf-8"?>
<formControlPr xmlns="http://schemas.microsoft.com/office/spreadsheetml/2009/9/main" objectType="CheckBox" fmlaLink="Ber_Lab!$I$31" lockText="1"/>
</file>

<file path=xl/ctrlProps/ctrlProp520.xml><?xml version="1.0" encoding="utf-8"?>
<formControlPr xmlns="http://schemas.microsoft.com/office/spreadsheetml/2009/9/main" objectType="CheckBox" fmlaLink="Ber_Lab!$L$31" lockText="1"/>
</file>

<file path=xl/ctrlProps/ctrlProp521.xml><?xml version="1.0" encoding="utf-8"?>
<formControlPr xmlns="http://schemas.microsoft.com/office/spreadsheetml/2009/9/main" objectType="CheckBox" fmlaLink="Ber_Lab!$E$31" lockText="1"/>
</file>

<file path=xl/ctrlProps/ctrlProp522.xml><?xml version="1.0" encoding="utf-8"?>
<formControlPr xmlns="http://schemas.microsoft.com/office/spreadsheetml/2009/9/main" objectType="CheckBox" fmlaLink="Ber_Lab!C35" lockText="1"/>
</file>

<file path=xl/ctrlProps/ctrlProp523.xml><?xml version="1.0" encoding="utf-8"?>
<formControlPr xmlns="http://schemas.microsoft.com/office/spreadsheetml/2009/9/main" objectType="CheckBox" fmlaLink="Ber_Lab!$C$33" lockText="1"/>
</file>

<file path=xl/ctrlProps/ctrlProp524.xml><?xml version="1.0" encoding="utf-8"?>
<formControlPr xmlns="http://schemas.microsoft.com/office/spreadsheetml/2009/9/main" objectType="CheckBox" fmlaLink="Ber_Lab!$G$33" lockText="1"/>
</file>

<file path=xl/ctrlProps/ctrlProp525.xml><?xml version="1.0" encoding="utf-8"?>
<formControlPr xmlns="http://schemas.microsoft.com/office/spreadsheetml/2009/9/main" objectType="CheckBox" fmlaLink="Ber_Lab!$I$33" lockText="1"/>
</file>

<file path=xl/ctrlProps/ctrlProp526.xml><?xml version="1.0" encoding="utf-8"?>
<formControlPr xmlns="http://schemas.microsoft.com/office/spreadsheetml/2009/9/main" objectType="CheckBox" fmlaLink="Ber_Lab!$L$33" lockText="1"/>
</file>

<file path=xl/ctrlProps/ctrlProp527.xml><?xml version="1.0" encoding="utf-8"?>
<formControlPr xmlns="http://schemas.microsoft.com/office/spreadsheetml/2009/9/main" objectType="CheckBox" fmlaLink="Ber_Lab!$E$33" lockText="1"/>
</file>

<file path=xl/ctrlProps/ctrlProp528.xml><?xml version="1.0" encoding="utf-8"?>
<formControlPr xmlns="http://schemas.microsoft.com/office/spreadsheetml/2009/9/main" objectType="CheckBox" fmlaLink="Ber_Lab!$C$34" lockText="1"/>
</file>

<file path=xl/ctrlProps/ctrlProp529.xml><?xml version="1.0" encoding="utf-8"?>
<formControlPr xmlns="http://schemas.microsoft.com/office/spreadsheetml/2009/9/main" objectType="CheckBox" fmlaLink="Ber_Lab!$G$34" lockText="1"/>
</file>

<file path=xl/ctrlProps/ctrlProp530.xml><?xml version="1.0" encoding="utf-8"?>
<formControlPr xmlns="http://schemas.microsoft.com/office/spreadsheetml/2009/9/main" objectType="CheckBox" fmlaLink="Ber_Lab!$I$34" lockText="1"/>
</file>

<file path=xl/ctrlProps/ctrlProp531.xml><?xml version="1.0" encoding="utf-8"?>
<formControlPr xmlns="http://schemas.microsoft.com/office/spreadsheetml/2009/9/main" objectType="CheckBox" fmlaLink="Ber_Lab!L34" lockText="1"/>
</file>

<file path=xl/ctrlProps/ctrlProp532.xml><?xml version="1.0" encoding="utf-8"?>
<formControlPr xmlns="http://schemas.microsoft.com/office/spreadsheetml/2009/9/main" objectType="CheckBox" fmlaLink="Ber_Lab!$E$34" lockText="1"/>
</file>

<file path=xl/ctrlProps/ctrlProp533.xml><?xml version="1.0" encoding="utf-8"?>
<formControlPr xmlns="http://schemas.microsoft.com/office/spreadsheetml/2009/9/main" objectType="Spin" dx="15" fmlaLink="dbBead!$H$2" max="200" min="25" page="10" val="80"/>
</file>

<file path=xl/ctrlProps/ctrlProp534.xml><?xml version="1.0" encoding="utf-8"?>
<formControlPr xmlns="http://schemas.microsoft.com/office/spreadsheetml/2009/9/main" objectType="Spin" dx="15" fmlaLink="dbBead!$H$2" max="200" min="25" page="10" val="80"/>
</file>

<file path=xl/ctrlProps/ctrlProp535.xml><?xml version="1.0" encoding="utf-8"?>
<formControlPr xmlns="http://schemas.microsoft.com/office/spreadsheetml/2009/9/main" objectType="CheckBox" fmlaLink="ber_AanvullendeAfsprakenPed!$F$7" lockText="1"/>
</file>

<file path=xl/ctrlProps/ctrlProp536.xml><?xml version="1.0" encoding="utf-8"?>
<formControlPr xmlns="http://schemas.microsoft.com/office/spreadsheetml/2009/9/main" objectType="CheckBox" fmlaLink="ber_AanvullendeAfsprakenPed!$F$8" lockText="1"/>
</file>

<file path=xl/ctrlProps/ctrlProp537.xml><?xml version="1.0" encoding="utf-8"?>
<formControlPr xmlns="http://schemas.microsoft.com/office/spreadsheetml/2009/9/main" objectType="Spin" dx="15" fmlaLink="ber_AanvullendeAfsprakenPed!$B$12" max="24" page="10" val="0"/>
</file>

<file path=xl/ctrlProps/ctrlProp538.xml><?xml version="1.0" encoding="utf-8"?>
<formControlPr xmlns="http://schemas.microsoft.com/office/spreadsheetml/2009/9/main" objectType="CheckBox" fmlaLink="ber_AanvullendeAfsprakenPed!$B$22" lockText="1"/>
</file>

<file path=xl/ctrlProps/ctrlProp539.xml><?xml version="1.0" encoding="utf-8"?>
<formControlPr xmlns="http://schemas.microsoft.com/office/spreadsheetml/2009/9/main" objectType="CheckBox" fmlaLink="ber_AanvullendeAfsprakenPed!$B$23" lockText="1"/>
</file>

<file path=xl/ctrlProps/ctrlProp540.xml><?xml version="1.0" encoding="utf-8"?>
<formControlPr xmlns="http://schemas.microsoft.com/office/spreadsheetml/2009/9/main" objectType="CheckBox" fmlaLink="ber_AanvullendeAfsprakenPed!$B$27" lockText="1"/>
</file>

<file path=xl/ctrlProps/ctrlProp541.xml><?xml version="1.0" encoding="utf-8"?>
<formControlPr xmlns="http://schemas.microsoft.com/office/spreadsheetml/2009/9/main" objectType="Drop" dropStyle="combo" dx="16" fmlaLink="ber_AanvullendeAfsprakenPed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ber_AanvullendeAfsprakenPed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ber_AanvullendeAfsprakenPed!$B$30" lockText="1"/>
</file>

<file path=xl/ctrlProps/ctrlProp544.xml><?xml version="1.0" encoding="utf-8"?>
<formControlPr xmlns="http://schemas.microsoft.com/office/spreadsheetml/2009/9/main" objectType="Drop" dropStyle="combo" dx="16" fmlaLink="ber_AanvullendeAfsprakenPed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ber_AanvullendeAfsprakenPed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ber_AanvullendeAfsprakenPed!$B$7" lockText="1"/>
</file>

<file path=xl/ctrlProps/ctrlProp547.xml><?xml version="1.0" encoding="utf-8"?>
<formControlPr xmlns="http://schemas.microsoft.com/office/spreadsheetml/2009/9/main" objectType="CheckBox" fmlaLink="ber_AanvullendeAfsprakenPed!$B$8" lockText="1"/>
</file>

<file path=xl/ctrlProps/ctrlProp548.xml><?xml version="1.0" encoding="utf-8"?>
<formControlPr xmlns="http://schemas.microsoft.com/office/spreadsheetml/2009/9/main" objectType="CheckBox" fmlaLink="ber_AanvullendeAfsprakenPed!$B$21" lockText="1"/>
</file>

<file path=xl/ctrlProps/ctrlProp549.xml><?xml version="1.0" encoding="utf-8"?>
<formControlPr xmlns="http://schemas.microsoft.com/office/spreadsheetml/2009/9/main" objectType="CheckBox" fmlaLink="ber_AanvullendeAfsprakenPed!$B$11" lockText="1"/>
</file>

<file path=xl/ctrlProps/ctrlProp550.xml><?xml version="1.0" encoding="utf-8"?>
<formControlPr xmlns="http://schemas.microsoft.com/office/spreadsheetml/2009/9/main" objectType="CheckBox" fmlaLink="ber_AanvullendeAfsprakenPed!$B$15" lockText="1"/>
</file>

<file path=xl/ctrlProps/ctrlProp551.xml><?xml version="1.0" encoding="utf-8"?>
<formControlPr xmlns="http://schemas.microsoft.com/office/spreadsheetml/2009/9/main" objectType="CheckBox" fmlaLink="ber_AanvullendeAfsprakenPed!$B$16" lockText="1"/>
</file>

<file path=xl/ctrlProps/ctrlProp552.xml><?xml version="1.0" encoding="utf-8"?>
<formControlPr xmlns="http://schemas.microsoft.com/office/spreadsheetml/2009/9/main" objectType="CheckBox" fmlaLink="ber_AanvullendeAfsprakenPed!$B$17" lockText="1"/>
</file>

<file path=xl/ctrlProps/ctrlProp553.xml><?xml version="1.0" encoding="utf-8"?>
<formControlPr xmlns="http://schemas.microsoft.com/office/spreadsheetml/2009/9/main" objectType="CheckBox" fmlaLink="ber_AanvullendeAfsprakenPed!$D$11" lockText="1"/>
</file>

<file path=xl/ctrlProps/ctrlProp554.xml><?xml version="1.0" encoding="utf-8"?>
<formControlPr xmlns="http://schemas.microsoft.com/office/spreadsheetml/2009/9/main" objectType="CheckBox" fmlaLink="ber_AanvullendeAfsprakenPed!$D$12" lockText="1"/>
</file>

<file path=xl/ctrlProps/ctrlProp555.xml><?xml version="1.0" encoding="utf-8"?>
<formControlPr xmlns="http://schemas.microsoft.com/office/spreadsheetml/2009/9/main" objectType="CheckBox" fmlaLink="ber_AanvullendeAfsprakenPed!$D$13" lockText="1"/>
</file>

<file path=xl/ctrlProps/ctrlProp556.xml><?xml version="1.0" encoding="utf-8"?>
<formControlPr xmlns="http://schemas.microsoft.com/office/spreadsheetml/2009/9/main" objectType="CheckBox" fmlaLink="ber_AanvullendeAfsprakenPed!$D$14" lockText="1"/>
</file>

<file path=xl/ctrlProps/ctrlProp557.xml><?xml version="1.0" encoding="utf-8"?>
<formControlPr xmlns="http://schemas.microsoft.com/office/spreadsheetml/2009/9/main" objectType="CheckBox" fmlaLink="ber_AanvullendeAfsprakenPed!$B$20" lockText="1"/>
</file>

<file path=xl/ctrlProps/ctrlProp558.xml><?xml version="1.0" encoding="utf-8"?>
<formControlPr xmlns="http://schemas.microsoft.com/office/spreadsheetml/2009/9/main" objectType="CheckBox" fmlaLink="ber_AanvullendeAfsprakenPed!$B$9" lockText="1"/>
</file>

<file path=xl/ctrlProps/ctrlProp559.xml><?xml version="1.0" encoding="utf-8"?>
<formControlPr xmlns="http://schemas.microsoft.com/office/spreadsheetml/2009/9/main" objectType="Spin" dx="15" fmlaLink="ber_AanvullendeAfsprakenPed!$C$7" max="10" page="10" val="0"/>
</file>

<file path=xl/ctrlProps/ctrlProp560.xml><?xml version="1.0" encoding="utf-8"?>
<formControlPr xmlns="http://schemas.microsoft.com/office/spreadsheetml/2009/9/main" objectType="Spin" dx="15" fmlaLink="ber_AanvullendeAfsprakenPed!$C$8" max="10" page="10" val="0"/>
</file>

<file path=xl/ctrlProps/ctrlProp561.xml><?xml version="1.0" encoding="utf-8"?>
<formControlPr xmlns="http://schemas.microsoft.com/office/spreadsheetml/2009/9/main" objectType="Spin" dx="15" fmlaLink="ber_AanvullendeAfsprakenPed!$C$9" max="10" page="10" val="0"/>
</file>

<file path=xl/ctrlProps/ctrlProp562.xml><?xml version="1.0" encoding="utf-8"?>
<formControlPr xmlns="http://schemas.microsoft.com/office/spreadsheetml/2009/9/main" objectType="Drop" dropStyle="combo" dx="16" fmlaLink="ber_AanvullendeAfsprakenPed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ber_AanvullendeAfsprakenPed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ber_AanvullendeAfsprakenPed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ber_AanvullendeAfsprakenPed!$C$8" max="10" page="10" val="0"/>
</file>

<file path=xl/ctrlProps/ctrlProp566.xml><?xml version="1.0" encoding="utf-8"?>
<formControlPr xmlns="http://schemas.microsoft.com/office/spreadsheetml/2009/9/main" objectType="Spin" dx="15" fmlaLink="ber_AanvullendeAfsprakenPed!$C$9" max="10" page="10" val="0"/>
</file>

<file path=xl/ctrlProps/ctrlProp567.xml><?xml version="1.0" encoding="utf-8"?>
<formControlPr xmlns="http://schemas.microsoft.com/office/spreadsheetml/2009/9/main" objectType="Drop" dropStyle="combo" dx="16" fmlaLink="ber_AanvullendeAfsprakenPed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ber_AanvullendeAfsprakenPed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ber_AanvullendeAfsprakenPed!$B$33" lockText="1"/>
</file>

<file path=xl/ctrlProps/ctrlProp570.xml><?xml version="1.0" encoding="utf-8"?>
<formControlPr xmlns="http://schemas.microsoft.com/office/spreadsheetml/2009/9/main" objectType="Drop" dropStyle="combo" dx="16" fmlaLink="ber_AanvullendeAfsprakenPed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ber_AanvullendeAfsprakenPed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ber_AanvullendeAfsprakenPed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ber_AanvullendeAfsprakenPed!$B$36" lockText="1"/>
</file>

<file path=xl/ctrlProps/ctrlProp574.xml><?xml version="1.0" encoding="utf-8"?>
<formControlPr xmlns="http://schemas.microsoft.com/office/spreadsheetml/2009/9/main" objectType="CheckBox" fmlaLink="ber_AanvullendeAfsprakenPed!$B$38" lockText="1"/>
</file>

<file path=xl/ctrlProps/ctrlProp575.xml><?xml version="1.0" encoding="utf-8"?>
<formControlPr xmlns="http://schemas.microsoft.com/office/spreadsheetml/2009/9/main" objectType="CheckBox" fmlaLink="ber_AanvullendeAfsprakenPed!$B$37" lockText="1"/>
</file>

<file path=xl/ctrlProps/ctrlProp576.xml><?xml version="1.0" encoding="utf-8"?>
<formControlPr xmlns="http://schemas.microsoft.com/office/spreadsheetml/2009/9/main" objectType="CheckBox" fmlaLink="ber_AanvullendeAfsprakenPed!$D$36" lockText="1"/>
</file>

<file path=xl/ctrlProps/ctrlProp577.xml><?xml version="1.0" encoding="utf-8"?>
<formControlPr xmlns="http://schemas.microsoft.com/office/spreadsheetml/2009/9/main" objectType="CheckBox" fmlaLink="ber_AanvullendeAfsprakenPed!$D$37" lockText="1"/>
</file>

<file path=xl/ctrlProps/ctrlProp578.xml><?xml version="1.0" encoding="utf-8"?>
<formControlPr xmlns="http://schemas.microsoft.com/office/spreadsheetml/2009/9/main" objectType="CheckBox" fmlaLink="ber_AanvullendeAfsprakenPed!$D$38" lockText="1"/>
</file>

<file path=xl/ctrlProps/ctrlProp579.xml><?xml version="1.0" encoding="utf-8"?>
<formControlPr xmlns="http://schemas.microsoft.com/office/spreadsheetml/2009/9/main" objectType="Drop" dropStyle="combo" dx="16" fmlaLink="ber_AanvullendeAfsprakenPed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ber_AanvullendeAfsprakenPed!$D$40" max="100" page="10" val="0"/>
</file>

<file path=xl/ctrlProps/ctrlProp581.xml><?xml version="1.0" encoding="utf-8"?>
<formControlPr xmlns="http://schemas.microsoft.com/office/spreadsheetml/2009/9/main" objectType="CheckBox" fmlaLink="ber_AanvullendeAfsprakenPed!$B$39" lockText="1"/>
</file>

<file path=xl/ctrlProps/ctrlProp582.xml><?xml version="1.0" encoding="utf-8"?>
<formControlPr xmlns="http://schemas.microsoft.com/office/spreadsheetml/2009/9/main" objectType="CheckBox" fmlaLink="ber_AanvullendeAfsprakenPed!$F$9" lockText="1"/>
</file>

<file path=xl/ctrlProps/ctrlProp583.xml><?xml version="1.0" encoding="utf-8"?>
<formControlPr xmlns="http://schemas.microsoft.com/office/spreadsheetml/2009/9/main" objectType="CheckBox" fmlaLink="ber_AanvullendeAfsprakenPed!$F$10" lockText="1"/>
</file>

<file path=xl/ctrlProps/ctrlProp584.xml><?xml version="1.0" encoding="utf-8"?>
<formControlPr xmlns="http://schemas.microsoft.com/office/spreadsheetml/2009/9/main" objectType="CheckBox" fmlaLink="ber_AanvullendeAfsprakenPed!$F$12" lockText="1"/>
</file>

<file path=xl/ctrlProps/ctrlProp585.xml><?xml version="1.0" encoding="utf-8"?>
<formControlPr xmlns="http://schemas.microsoft.com/office/spreadsheetml/2009/9/main" objectType="CheckBox" fmlaLink="ber_AanvullendeAfsprakenPed!$F$13" lockText="1"/>
</file>

<file path=xl/ctrlProps/ctrlProp586.xml><?xml version="1.0" encoding="utf-8"?>
<formControlPr xmlns="http://schemas.microsoft.com/office/spreadsheetml/2009/9/main" objectType="CheckBox" fmlaLink="ber_AanvullendeAfsprakenPed!$F$14" lockText="1"/>
</file>

<file path=xl/ctrlProps/ctrlProp587.xml><?xml version="1.0" encoding="utf-8"?>
<formControlPr xmlns="http://schemas.microsoft.com/office/spreadsheetml/2009/9/main" objectType="CheckBox" fmlaLink="ber_AanvullendeAfsprakenPed!$F$15" lockText="1"/>
</file>

<file path=xl/ctrlProps/ctrlProp588.xml><?xml version="1.0" encoding="utf-8"?>
<formControlPr xmlns="http://schemas.microsoft.com/office/spreadsheetml/2009/9/main" objectType="CheckBox" fmlaLink="ber_AanvullendeAfsprakenPed!$B$24" lockText="1"/>
</file>

<file path=xl/ctrlProps/ctrlProp589.xml><?xml version="1.0" encoding="utf-8"?>
<formControlPr xmlns="http://schemas.microsoft.com/office/spreadsheetml/2009/9/main" objectType="CheckBox" fmlaLink="ber_AanvullendeAfsprakenPed!$B$25" lockText="1"/>
</file>

<file path=xl/ctrlProps/ctrlProp590.xml><?xml version="1.0" encoding="utf-8"?>
<formControlPr xmlns="http://schemas.microsoft.com/office/spreadsheetml/2009/9/main" objectType="Spin" dx="15" fmlaLink="ber_AanvullendeAfsprakenPed!$C$8" max="10" page="10" val="0"/>
</file>

<file path=xl/ctrlProps/ctrlProp591.xml><?xml version="1.0" encoding="utf-8"?>
<formControlPr xmlns="http://schemas.microsoft.com/office/spreadsheetml/2009/9/main" objectType="Spin" dx="15" fmlaLink="ber_AanvullendeAfsprakenPed!$C$9" max="10" page="10" val="0"/>
</file>

<file path=xl/ctrlProps/ctrlProp592.xml><?xml version="1.0" encoding="utf-8"?>
<formControlPr xmlns="http://schemas.microsoft.com/office/spreadsheetml/2009/9/main" objectType="CheckBox" fmlaLink="ber_AanvullendeAfsprakenPed!$F$16" lockText="1"/>
</file>

<file path=xl/ctrlProps/ctrlProp593.xml><?xml version="1.0" encoding="utf-8"?>
<formControlPr xmlns="http://schemas.microsoft.com/office/spreadsheetml/2009/9/main" objectType="Spin" dx="15" fmlaLink="ber_AanvullendeAfsprakenPed!$G$16" max="24" page="10" val="0"/>
</file>

<file path=xl/ctrlProps/ctrlProp594.xml><?xml version="1.0" encoding="utf-8"?>
<formControlPr xmlns="http://schemas.microsoft.com/office/spreadsheetml/2009/9/main" objectType="Spin" dx="15" fmlaLink="ber_AanvullendeAfsprakenPed!$G$18" max="24" page="10" val="0"/>
</file>

<file path=xl/ctrlProps/ctrlProp595.xml><?xml version="1.0" encoding="utf-8"?>
<formControlPr xmlns="http://schemas.microsoft.com/office/spreadsheetml/2009/9/main" objectType="CheckBox" fmlaLink="ber_AanvullendeAfsprakenPed!$F$18" lockText="1"/>
</file>

<file path=xl/ctrlProps/ctrlProp596.xml><?xml version="1.0" encoding="utf-8"?>
<formControlPr xmlns="http://schemas.microsoft.com/office/spreadsheetml/2009/9/main" objectType="CheckBox" fmlaLink="ber_AanvullendeAfsprakenPed!$B$42" lockText="1"/>
</file>

<file path=xl/ctrlProps/ctrlProp597.xml><?xml version="1.0" encoding="utf-8"?>
<formControlPr xmlns="http://schemas.microsoft.com/office/spreadsheetml/2009/9/main" objectType="CheckBox" fmlaLink="ber_AanvullendeAfsprakenPed!$B$43" lockText="1"/>
</file>

<file path=xl/ctrlProps/ctrlProp598.xml><?xml version="1.0" encoding="utf-8"?>
<formControlPr xmlns="http://schemas.microsoft.com/office/spreadsheetml/2009/9/main" objectType="CheckBox" fmlaLink="ber_AanvullendeAfsprakenPed!$B$44" lockText="1"/>
</file>

<file path=xl/ctrlProps/ctrlProp599.xml><?xml version="1.0" encoding="utf-8"?>
<formControlPr xmlns="http://schemas.microsoft.com/office/spreadsheetml/2009/9/main" objectType="Spin" dx="15" fmlaLink="ber_AanvullendeAfsprakenPed!$C$42" max="24" page="10" val="0"/>
</file>

<file path=xl/ctrlProps/ctrlProp600.xml><?xml version="1.0" encoding="utf-8"?>
<formControlPr xmlns="http://schemas.microsoft.com/office/spreadsheetml/2009/9/main" objectType="Spin" dx="15" fmlaLink="ber_AanvullendeAfsprakenPed!$C$43" max="24" page="10" val="0"/>
</file>

<file path=xl/ctrlProps/ctrlProp601.xml><?xml version="1.0" encoding="utf-8"?>
<formControlPr xmlns="http://schemas.microsoft.com/office/spreadsheetml/2009/9/main" objectType="Drop" dropStyle="combo" dx="16" fmlaLink="Berekeningen!$B$20" fmlaRange="Medicamenten" val="0"/>
</file>

<file path=xl/ctrlProps/ctrlProp602.xml><?xml version="1.0" encoding="utf-8"?>
<formControlPr xmlns="http://schemas.microsoft.com/office/spreadsheetml/2009/9/main" objectType="Drop" dropStyle="combo" dx="16" fmlaLink="Berekeningen!$B$21" fmlaRange="Medicamenten" val="0"/>
</file>

<file path=xl/ctrlProps/ctrlProp603.xml><?xml version="1.0" encoding="utf-8"?>
<formControlPr xmlns="http://schemas.microsoft.com/office/spreadsheetml/2009/9/main" objectType="Drop" dropStyle="combo" dx="16" fmlaLink="Berekeningen!$B$22" fmlaRange="Medicamenten" val="0"/>
</file>

<file path=xl/ctrlProps/ctrlProp604.xml><?xml version="1.0" encoding="utf-8"?>
<formControlPr xmlns="http://schemas.microsoft.com/office/spreadsheetml/2009/9/main" objectType="Drop" dropStyle="combo" dx="16" fmlaLink="Berekeningen!$B$23" fmlaRange="Medicamenten" val="0"/>
</file>

<file path=xl/ctrlProps/ctrlProp605.xml><?xml version="1.0" encoding="utf-8"?>
<formControlPr xmlns="http://schemas.microsoft.com/office/spreadsheetml/2009/9/main" objectType="Drop" dropStyle="combo" dx="16" fmlaLink="Berekeningen!$B$24" fmlaRange="Medicamenten" val="0"/>
</file>

<file path=xl/ctrlProps/ctrlProp606.xml><?xml version="1.0" encoding="utf-8"?>
<formControlPr xmlns="http://schemas.microsoft.com/office/spreadsheetml/2009/9/main" objectType="Drop" dropStyle="combo" dx="16" fmlaLink="Berekeningen!$B$25" fmlaRange="Medicamenten" val="0"/>
</file>

<file path=xl/ctrlProps/ctrlProp607.xml><?xml version="1.0" encoding="utf-8"?>
<formControlPr xmlns="http://schemas.microsoft.com/office/spreadsheetml/2009/9/main" objectType="Drop" dropStyle="combo" dx="16" fmlaLink="Berekeningen!$B$26" fmlaRange="Medicamenten" val="0"/>
</file>

<file path=xl/ctrlProps/ctrlProp608.xml><?xml version="1.0" encoding="utf-8"?>
<formControlPr xmlns="http://schemas.microsoft.com/office/spreadsheetml/2009/9/main" objectType="Spin" dx="15" fmlaLink="Berekeningen!$B$18" inc="5" max="10" page="10" val="0"/>
</file>

<file path=xl/ctrlProps/ctrlProp609.xml><?xml version="1.0" encoding="utf-8"?>
<formControlPr xmlns="http://schemas.microsoft.com/office/spreadsheetml/2009/9/main" objectType="Spin" dx="15" fmlaLink="Berekeningen!$F$20" max="30000" page="10" val="0"/>
</file>

<file path=xl/ctrlProps/ctrlProp610.xml><?xml version="1.0" encoding="utf-8"?>
<formControlPr xmlns="http://schemas.microsoft.com/office/spreadsheetml/2009/9/main" objectType="Spin" dx="15" fmlaLink="Berekeningen!$F$21" max="30000" page="10" val="0"/>
</file>

<file path=xl/ctrlProps/ctrlProp611.xml><?xml version="1.0" encoding="utf-8"?>
<formControlPr xmlns="http://schemas.microsoft.com/office/spreadsheetml/2009/9/main" objectType="Spin" dx="15" fmlaLink="Berekeningen!$F$22" max="30000" page="10" val="0"/>
</file>

<file path=xl/ctrlProps/ctrlProp612.xml><?xml version="1.0" encoding="utf-8"?>
<formControlPr xmlns="http://schemas.microsoft.com/office/spreadsheetml/2009/9/main" objectType="Spin" dx="15" fmlaLink="Berekeningen!$F$23" max="30000" page="10" val="0"/>
</file>

<file path=xl/ctrlProps/ctrlProp613.xml><?xml version="1.0" encoding="utf-8"?>
<formControlPr xmlns="http://schemas.microsoft.com/office/spreadsheetml/2009/9/main" objectType="Spin" dx="15" fmlaLink="Berekeningen!$F$24" max="30000" page="10" val="0"/>
</file>

<file path=xl/ctrlProps/ctrlProp614.xml><?xml version="1.0" encoding="utf-8"?>
<formControlPr xmlns="http://schemas.microsoft.com/office/spreadsheetml/2009/9/main" objectType="Spin" dx="15" fmlaLink="Berekeningen!$F$25" max="30000" page="10" val="0"/>
</file>

<file path=xl/ctrlProps/ctrlProp615.xml><?xml version="1.0" encoding="utf-8"?>
<formControlPr xmlns="http://schemas.microsoft.com/office/spreadsheetml/2009/9/main" objectType="Spin" dx="15" fmlaLink="Berekeningen!$F$26" max="30000" page="10" val="0"/>
</file>

<file path=xl/ctrlProps/ctrlProp616.xml><?xml version="1.0" encoding="utf-8"?>
<formControlPr xmlns="http://schemas.microsoft.com/office/spreadsheetml/2009/9/main" objectType="Radio" checked="Checked" firstButton="1" fmlaLink="Berekeningen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Berekeningen!$D$10" max="24" page="10" val="0"/>
</file>

<file path=xl/ctrlProps/ctrlProp619.xml><?xml version="1.0" encoding="utf-8"?>
<formControlPr xmlns="http://schemas.microsoft.com/office/spreadsheetml/2009/9/main" objectType="Spin" dx="15" fmlaLink="Berekeningen!$D$11" inc="5" max="30000" page="10" val="0"/>
</file>

<file path=xl/ctrlProps/ctrlProp620.xml><?xml version="1.0" encoding="utf-8"?>
<formControlPr xmlns="http://schemas.microsoft.com/office/spreadsheetml/2009/9/main" objectType="Spin" dx="15" fmlaLink="Berekeningen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Berekeningen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Berekeningen!$D$37" inc="10" max="30000" page="10" val="5000"/>
</file>

<file path=xl/ctrlProps/ctrlProp625.xml><?xml version="1.0" encoding="utf-8"?>
<formControlPr xmlns="http://schemas.microsoft.com/office/spreadsheetml/2009/9/main" objectType="Spin" dx="15" fmlaLink="Berekeningen!$D$38" inc="10" max="30000" page="10" val="5000"/>
</file>

<file path=xl/ctrlProps/ctrlProp626.xml><?xml version="1.0" encoding="utf-8"?>
<formControlPr xmlns="http://schemas.microsoft.com/office/spreadsheetml/2009/9/main" objectType="Spin" dx="15" fmlaLink="Berekeningen!$D$39" inc="10" max="30000" page="10" val="5000"/>
</file>

<file path=xl/ctrlProps/ctrlProp627.xml><?xml version="1.0" encoding="utf-8"?>
<formControlPr xmlns="http://schemas.microsoft.com/office/spreadsheetml/2009/9/main" objectType="Spin" dx="15" fmlaLink="Berekeningen!$D$40" max="30000" page="10" val="5000"/>
</file>

<file path=xl/ctrlProps/ctrlProp628.xml><?xml version="1.0" encoding="utf-8"?>
<formControlPr xmlns="http://schemas.microsoft.com/office/spreadsheetml/2009/9/main" objectType="Spin" dx="15" fmlaLink="Berekeningen!$D$41" max="30000" page="10" val="5000"/>
</file>

<file path=xl/ctrlProps/ctrlProp629.xml><?xml version="1.0" encoding="utf-8"?>
<formControlPr xmlns="http://schemas.microsoft.com/office/spreadsheetml/2009/9/main" objectType="Spin" dx="15" fmlaLink="Berekeningen!$D$42" max="30000" page="10" val="5000"/>
</file>

<file path=xl/ctrlProps/ctrlProp630.xml><?xml version="1.0" encoding="utf-8"?>
<formControlPr xmlns="http://schemas.microsoft.com/office/spreadsheetml/2009/9/main" objectType="Spin" dx="15" fmlaLink="Berekeningen!$D$43" max="30000" page="10" val="5000"/>
</file>

<file path=xl/ctrlProps/ctrlProp631.xml><?xml version="1.0" encoding="utf-8"?>
<formControlPr xmlns="http://schemas.microsoft.com/office/spreadsheetml/2009/9/main" objectType="Spin" dx="15" fmlaLink="Berekeningen!$D$37" max="30000" page="10" val="5000"/>
</file>

<file path=xl/ctrlProps/ctrlProp632.xml><?xml version="1.0" encoding="utf-8"?>
<formControlPr xmlns="http://schemas.microsoft.com/office/spreadsheetml/2009/9/main" objectType="Spin" dx="15" fmlaLink="Berekeningen!$D$38" max="30000" page="10" val="5000"/>
</file>

<file path=xl/ctrlProps/ctrlProp633.xml><?xml version="1.0" encoding="utf-8"?>
<formControlPr xmlns="http://schemas.microsoft.com/office/spreadsheetml/2009/9/main" objectType="Spin" dx="15" fmlaLink="Berekeningen!$D$44" max="30000" page="10" val="5000"/>
</file>

<file path=xl/ctrlProps/ctrlProp634.xml><?xml version="1.0" encoding="utf-8"?>
<formControlPr xmlns="http://schemas.microsoft.com/office/spreadsheetml/2009/9/main" objectType="Radio" firstButton="1" fmlaLink="Berekeningen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Berekeningen!$E$20" fmlaRange="Opl" val="8"/>
</file>

<file path=xl/ctrlProps/ctrlProp637.xml><?xml version="1.0" encoding="utf-8"?>
<formControlPr xmlns="http://schemas.microsoft.com/office/spreadsheetml/2009/9/main" objectType="Drop" dropStyle="combo" dx="16" fmlaLink="Berekeningen!$E$21" fmlaRange="Opl" val="0"/>
</file>

<file path=xl/ctrlProps/ctrlProp638.xml><?xml version="1.0" encoding="utf-8"?>
<formControlPr xmlns="http://schemas.microsoft.com/office/spreadsheetml/2009/9/main" objectType="Drop" dropStyle="combo" dx="16" fmlaLink="Berekeningen!$E$22" fmlaRange="Opl" val="0"/>
</file>

<file path=xl/ctrlProps/ctrlProp639.xml><?xml version="1.0" encoding="utf-8"?>
<formControlPr xmlns="http://schemas.microsoft.com/office/spreadsheetml/2009/9/main" objectType="Drop" dropStyle="combo" dx="16" fmlaLink="Berekeningen!$E$23" fmlaRange="Opl" val="0"/>
</file>

<file path=xl/ctrlProps/ctrlProp640.xml><?xml version="1.0" encoding="utf-8"?>
<formControlPr xmlns="http://schemas.microsoft.com/office/spreadsheetml/2009/9/main" objectType="Drop" dropStyle="combo" dx="16" fmlaLink="Berekeningen!$E$24" fmlaRange="Opl" val="0"/>
</file>

<file path=xl/ctrlProps/ctrlProp641.xml><?xml version="1.0" encoding="utf-8"?>
<formControlPr xmlns="http://schemas.microsoft.com/office/spreadsheetml/2009/9/main" objectType="Drop" dropStyle="combo" dx="16" fmlaLink="Berekeningen!$E$25" fmlaRange="Opl" val="0"/>
</file>

<file path=xl/ctrlProps/ctrlProp642.xml><?xml version="1.0" encoding="utf-8"?>
<formControlPr xmlns="http://schemas.microsoft.com/office/spreadsheetml/2009/9/main" objectType="Spin" dx="15" fmlaLink="Berekeningen!$D$20" max="30000" page="10" val="0"/>
</file>

<file path=xl/ctrlProps/ctrlProp643.xml><?xml version="1.0" encoding="utf-8"?>
<formControlPr xmlns="http://schemas.microsoft.com/office/spreadsheetml/2009/9/main" objectType="Spin" dx="15" fmlaLink="Berekeningen!$D$21" max="30000" page="10" val="0"/>
</file>

<file path=xl/ctrlProps/ctrlProp644.xml><?xml version="1.0" encoding="utf-8"?>
<formControlPr xmlns="http://schemas.microsoft.com/office/spreadsheetml/2009/9/main" objectType="Spin" dx="15" fmlaLink="Berekeningen!$D$22" max="30000" page="10" val="0"/>
</file>

<file path=xl/ctrlProps/ctrlProp645.xml><?xml version="1.0" encoding="utf-8"?>
<formControlPr xmlns="http://schemas.microsoft.com/office/spreadsheetml/2009/9/main" objectType="Spin" dx="15" fmlaLink="Berekeningen!$D$23" max="30000" page="10" val="0"/>
</file>

<file path=xl/ctrlProps/ctrlProp646.xml><?xml version="1.0" encoding="utf-8"?>
<formControlPr xmlns="http://schemas.microsoft.com/office/spreadsheetml/2009/9/main" objectType="Spin" dx="15" fmlaLink="Berekeningen!$D$24" max="30000" page="10" val="0"/>
</file>

<file path=xl/ctrlProps/ctrlProp647.xml><?xml version="1.0" encoding="utf-8"?>
<formControlPr xmlns="http://schemas.microsoft.com/office/spreadsheetml/2009/9/main" objectType="Spin" dx="15" fmlaLink="Berekeningen!$D$25" max="30000" page="10" val="0"/>
</file>

<file path=xl/ctrlProps/ctrlProp648.xml><?xml version="1.0" encoding="utf-8"?>
<formControlPr xmlns="http://schemas.microsoft.com/office/spreadsheetml/2009/9/main" objectType="Spin" dx="15" fmlaLink="Berekeningen!$D$26" max="30000" page="10" val="0"/>
</file>

<file path=xl/ctrlProps/ctrlProp649.xml><?xml version="1.0" encoding="utf-8"?>
<formControlPr xmlns="http://schemas.microsoft.com/office/spreadsheetml/2009/9/main" objectType="Spin" dx="15" fmlaLink="Berekeningen!$C$20" inc="10" max="30000" page="10" val="0"/>
</file>

<file path=xl/ctrlProps/ctrlProp650.xml><?xml version="1.0" encoding="utf-8"?>
<formControlPr xmlns="http://schemas.microsoft.com/office/spreadsheetml/2009/9/main" objectType="Spin" dx="15" fmlaLink="Berekeningen!$C$21" inc="10" max="30000" page="10" val="0"/>
</file>

<file path=xl/ctrlProps/ctrlProp651.xml><?xml version="1.0" encoding="utf-8"?>
<formControlPr xmlns="http://schemas.microsoft.com/office/spreadsheetml/2009/9/main" objectType="Spin" dx="15" fmlaLink="Berekeningen!$C$22" inc="10" max="30000" page="10" val="0"/>
</file>

<file path=xl/ctrlProps/ctrlProp652.xml><?xml version="1.0" encoding="utf-8"?>
<formControlPr xmlns="http://schemas.microsoft.com/office/spreadsheetml/2009/9/main" objectType="Spin" dx="15" fmlaLink="Berekeningen!$C$23" inc="10" max="30000" page="10" val="0"/>
</file>

<file path=xl/ctrlProps/ctrlProp653.xml><?xml version="1.0" encoding="utf-8"?>
<formControlPr xmlns="http://schemas.microsoft.com/office/spreadsheetml/2009/9/main" objectType="Spin" dx="15" fmlaLink="Berekeningen!$C$24" inc="10" max="30000" page="10" val="0"/>
</file>

<file path=xl/ctrlProps/ctrlProp654.xml><?xml version="1.0" encoding="utf-8"?>
<formControlPr xmlns="http://schemas.microsoft.com/office/spreadsheetml/2009/9/main" objectType="Spin" dx="15" fmlaLink="Berekeningen!$C$25" inc="10" max="30000" page="10" val="0"/>
</file>

<file path=xl/ctrlProps/ctrlProp655.xml><?xml version="1.0" encoding="utf-8"?>
<formControlPr xmlns="http://schemas.microsoft.com/office/spreadsheetml/2009/9/main" objectType="Spin" dx="15" fmlaLink="Berekeningen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Berekeningen!$K$18" lockText="1"/>
</file>

<file path=xl/ctrlProps/ctrlProp659.xml><?xml version="1.0" encoding="utf-8"?>
<formControlPr xmlns="http://schemas.microsoft.com/office/spreadsheetml/2009/9/main" objectType="CheckBox" fmlaLink="Berekeningen!$K$20" lockText="1"/>
</file>

<file path=xl/ctrlProps/ctrlProp660.xml><?xml version="1.0" encoding="utf-8"?>
<formControlPr xmlns="http://schemas.microsoft.com/office/spreadsheetml/2009/9/main" objectType="CheckBox" fmlaLink="Berekeningen!$K$21" lockText="1"/>
</file>

<file path=xl/ctrlProps/ctrlProp661.xml><?xml version="1.0" encoding="utf-8"?>
<formControlPr xmlns="http://schemas.microsoft.com/office/spreadsheetml/2009/9/main" objectType="CheckBox" fmlaLink="Berekeningen!$K$22" lockText="1"/>
</file>

<file path=xl/ctrlProps/ctrlProp662.xml><?xml version="1.0" encoding="utf-8"?>
<formControlPr xmlns="http://schemas.microsoft.com/office/spreadsheetml/2009/9/main" objectType="CheckBox" fmlaLink="Berekeningen!$K$23" lockText="1"/>
</file>

<file path=xl/ctrlProps/ctrlProp663.xml><?xml version="1.0" encoding="utf-8"?>
<formControlPr xmlns="http://schemas.microsoft.com/office/spreadsheetml/2009/9/main" objectType="CheckBox" fmlaLink="Berekeningen!$K$24" lockText="1"/>
</file>

<file path=xl/ctrlProps/ctrlProp664.xml><?xml version="1.0" encoding="utf-8"?>
<formControlPr xmlns="http://schemas.microsoft.com/office/spreadsheetml/2009/9/main" objectType="CheckBox" fmlaLink="Berekeningen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Berekeningen!$B$27" fmlaRange="Medicamenten" val="0"/>
</file>

<file path=xl/ctrlProps/ctrlProp667.xml><?xml version="1.0" encoding="utf-8"?>
<formControlPr xmlns="http://schemas.microsoft.com/office/spreadsheetml/2009/9/main" objectType="Spin" dx="15" fmlaLink="Berekeningen!$F$27" max="30000" page="10" val="0"/>
</file>

<file path=xl/ctrlProps/ctrlProp668.xml><?xml version="1.0" encoding="utf-8"?>
<formControlPr xmlns="http://schemas.microsoft.com/office/spreadsheetml/2009/9/main" objectType="Drop" dropStyle="combo" dx="16" fmlaLink="Berekeningen!$E$26" fmlaRange="Opl" val="0"/>
</file>

<file path=xl/ctrlProps/ctrlProp669.xml><?xml version="1.0" encoding="utf-8"?>
<formControlPr xmlns="http://schemas.microsoft.com/office/spreadsheetml/2009/9/main" objectType="Spin" dx="15" fmlaLink="Berekeningen!$D$27" max="30000" page="10" val="0"/>
</file>

<file path=xl/ctrlProps/ctrlProp670.xml><?xml version="1.0" encoding="utf-8"?>
<formControlPr xmlns="http://schemas.microsoft.com/office/spreadsheetml/2009/9/main" objectType="Spin" dx="15" fmlaLink="Berekeningen!$C$27" inc="10" max="30000" page="10" val="0"/>
</file>

<file path=xl/ctrlProps/ctrlProp671.xml><?xml version="1.0" encoding="utf-8"?>
<formControlPr xmlns="http://schemas.microsoft.com/office/spreadsheetml/2009/9/main" objectType="CheckBox" fmlaLink="Berekeningen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Berekeningen!$F$28" max="30000" page="10" val="0"/>
</file>

<file path=xl/ctrlProps/ctrlProp674.xml><?xml version="1.0" encoding="utf-8"?>
<formControlPr xmlns="http://schemas.microsoft.com/office/spreadsheetml/2009/9/main" objectType="Drop" dropStyle="combo" dx="16" fmlaLink="Berekeningen!$E$27" fmlaRange="Opl" val="0"/>
</file>

<file path=xl/ctrlProps/ctrlProp675.xml><?xml version="1.0" encoding="utf-8"?>
<formControlPr xmlns="http://schemas.microsoft.com/office/spreadsheetml/2009/9/main" objectType="Drop" dropStyle="combo" dx="16" fmlaLink="Berekeningen!$E$28" fmlaRange="Opl" val="0"/>
</file>

<file path=xl/ctrlProps/ctrlProp676.xml><?xml version="1.0" encoding="utf-8"?>
<formControlPr xmlns="http://schemas.microsoft.com/office/spreadsheetml/2009/9/main" objectType="CheckBox" fmlaLink="Berekeningen!$K$27" lockText="1"/>
</file>

<file path=xl/ctrlProps/ctrlProp677.xml><?xml version="1.0" encoding="utf-8"?>
<formControlPr xmlns="http://schemas.microsoft.com/office/spreadsheetml/2009/9/main" objectType="CheckBox" fmlaLink="Berekeningen!$K$28" lockText="1"/>
</file>

<file path=xl/ctrlProps/ctrlProp678.xml><?xml version="1.0" encoding="utf-8"?>
<formControlPr xmlns="http://schemas.microsoft.com/office/spreadsheetml/2009/9/main" objectType="Spin" dx="15" fmlaLink="Berekeningen!$D$35" max="30000" page="10" val="5000"/>
</file>

<file path=xl/ctrlProps/ctrlProp679.xml><?xml version="1.0" encoding="utf-8"?>
<formControlPr xmlns="http://schemas.microsoft.com/office/spreadsheetml/2009/9/main" objectType="Drop" dropStyle="combo" dx="16" fmlaLink="Berekeningen!$D$45" fmlaRange="Lijsten!$A$4:$A$13" sel="2" val="0"/>
</file>

<file path=xl/ctrlProps/ctrlProp680.xml><?xml version="1.0" encoding="utf-8"?>
<formControlPr xmlns="http://schemas.microsoft.com/office/spreadsheetml/2009/9/main" objectType="Spin" dx="15" fmlaLink="Berekeningen!$D$4" max="43" min="24" page="10" val="30"/>
</file>

<file path=xl/ctrlProps/ctrlProp681.xml><?xml version="1.0" encoding="utf-8"?>
<formControlPr xmlns="http://schemas.microsoft.com/office/spreadsheetml/2009/9/main" objectType="Spin" dx="15" fmlaLink="Berekeningen!$D$5" max="6" page="10" val="0"/>
</file>

<file path=xl/ctrlProps/ctrlProp682.xml><?xml version="1.0" encoding="utf-8"?>
<formControlPr xmlns="http://schemas.microsoft.com/office/spreadsheetml/2009/9/main" objectType="Drop" dropStyle="combo" dx="16" fmlaLink="Berekeningen!$B$54" fmlaRange="_VoedingToevoegingenMoedermelk" val="0"/>
</file>

<file path=xl/ctrlProps/ctrlProp683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684.xml><?xml version="1.0" encoding="utf-8"?>
<formControlPr xmlns="http://schemas.microsoft.com/office/spreadsheetml/2009/9/main" objectType="Drop" dropStyle="combo" dx="16" fmlaLink="Berekeningen!$D$14" fmlaRange="Pos" val="0"/>
</file>

<file path=xl/ctrlProps/ctrlProp685.xml><?xml version="1.0" encoding="utf-8"?>
<formControlPr xmlns="http://schemas.microsoft.com/office/spreadsheetml/2009/9/main" objectType="Spin" dx="15" fmlaLink="Berekeningen!$D$12" max="24" page="10" val="0"/>
</file>

<file path=xl/ctrlProps/ctrlProp686.xml><?xml version="1.0" encoding="utf-8"?>
<formControlPr xmlns="http://schemas.microsoft.com/office/spreadsheetml/2009/9/main" objectType="Spin" dx="15" fmlaLink="Berekeningen!$D$13" inc="5" max="30000" page="10" val="0"/>
</file>

<file path=xl/ctrlProps/ctrlProp687.xml><?xml version="1.0" encoding="utf-8"?>
<formControlPr xmlns="http://schemas.microsoft.com/office/spreadsheetml/2009/9/main" objectType="Drop" dropStyle="combo" dx="16" fmlaLink="Berekeningen!$B$55" fmlaRange="_VoedingToevoegingenMoedermelk" val="0"/>
</file>

<file path=xl/ctrlProps/ctrlProp688.xml><?xml version="1.0" encoding="utf-8"?>
<formControlPr xmlns="http://schemas.microsoft.com/office/spreadsheetml/2009/9/main" objectType="Drop" dropStyle="combo" dx="16" fmlaLink="Berekeningen!$B$56" fmlaRange="_VoedingToevoegingenMoedermelk" val="0"/>
</file>

<file path=xl/ctrlProps/ctrlProp689.xml><?xml version="1.0" encoding="utf-8"?>
<formControlPr xmlns="http://schemas.microsoft.com/office/spreadsheetml/2009/9/main" objectType="Drop" dropStyle="combo" dx="16" fmlaLink="Berekeningen!$B$28" fmlaRange="Medicamenten" val="0"/>
</file>

<file path=xl/ctrlProps/ctrlProp690.xml><?xml version="1.0" encoding="utf-8"?>
<formControlPr xmlns="http://schemas.microsoft.com/office/spreadsheetml/2009/9/main" objectType="Spin" dx="15" fmlaLink="Berekeningen!$D$28" max="30000" page="10" val="0"/>
</file>

<file path=xl/ctrlProps/ctrlProp691.xml><?xml version="1.0" encoding="utf-8"?>
<formControlPr xmlns="http://schemas.microsoft.com/office/spreadsheetml/2009/9/main" objectType="Spin" dx="15" fmlaLink="Berekeningen!$C$28" inc="10" max="30000" page="10" val="0"/>
</file>

<file path=xl/ctrlProps/ctrlProp692.xml><?xml version="1.0" encoding="utf-8"?>
<formControlPr xmlns="http://schemas.microsoft.com/office/spreadsheetml/2009/9/main" objectType="Drop" dropStyle="combo" dx="16" fmlaLink="Berekeningen!$E$28" fmlaRange="Opl" val="0"/>
</file>

<file path=xl/ctrlProps/ctrlProp693.xml><?xml version="1.0" encoding="utf-8"?>
<formControlPr xmlns="http://schemas.microsoft.com/office/spreadsheetml/2009/9/main" objectType="Drop" dropStyle="combo" dx="16" fmlaLink="Berekeningen!$E$29" fmlaRange="Opl" sel="0" val="8"/>
</file>

<file path=xl/ctrlProps/ctrlProp694.xml><?xml version="1.0" encoding="utf-8"?>
<formControlPr xmlns="http://schemas.microsoft.com/office/spreadsheetml/2009/9/main" objectType="Spin" dx="15" fmlaLink="Berekeningen!$F$29" max="30000" page="10" val="0"/>
</file>

<file path=xl/ctrlProps/ctrlProp695.xml><?xml version="1.0" encoding="utf-8"?>
<formControlPr xmlns="http://schemas.microsoft.com/office/spreadsheetml/2009/9/main" objectType="CheckBox" fmlaLink="Berekeningen!$K$29" lockText="1"/>
</file>

<file path=xl/ctrlProps/ctrlProp696.xml><?xml version="1.0" encoding="utf-8"?>
<formControlPr xmlns="http://schemas.microsoft.com/office/spreadsheetml/2009/9/main" objectType="Drop" dropStyle="combo" dx="16" fmlaLink="Berekeningen!$E$30" fmlaRange="Opl" sel="0" val="0"/>
</file>

<file path=xl/ctrlProps/ctrlProp697.xml><?xml version="1.0" encoding="utf-8"?>
<formControlPr xmlns="http://schemas.microsoft.com/office/spreadsheetml/2009/9/main" objectType="Spin" dx="15" fmlaLink="Berekeningen!$F$30" max="30000" page="10" val="0"/>
</file>

<file path=xl/ctrlProps/ctrlProp698.xml><?xml version="1.0" encoding="utf-8"?>
<formControlPr xmlns="http://schemas.microsoft.com/office/spreadsheetml/2009/9/main" objectType="CheckBox" fmlaLink="Berekeningen!$K$30" lockText="1"/>
</file>

<file path=xl/ctrlProps/ctrlProp699.xml><?xml version="1.0" encoding="utf-8"?>
<formControlPr xmlns="http://schemas.microsoft.com/office/spreadsheetml/2009/9/main" objectType="CheckBox" fmlaLink="Berekeningen!$K$30" lockText="1"/>
</file>

<file path=xl/ctrlProps/ctrlProp700.xml><?xml version="1.0" encoding="utf-8"?>
<formControlPr xmlns="http://schemas.microsoft.com/office/spreadsheetml/2009/9/main" objectType="Drop" dropStyle="combo" dx="16" fmlaLink="Berekeningen!$E$31" fmlaRange="Opl" sel="0" val="0"/>
</file>

<file path=xl/ctrlProps/ctrlProp701.xml><?xml version="1.0" encoding="utf-8"?>
<formControlPr xmlns="http://schemas.microsoft.com/office/spreadsheetml/2009/9/main" objectType="Spin" dx="15" fmlaLink="Berekeningen!$F$31" max="30000" page="10" val="0"/>
</file>

<file path=xl/ctrlProps/ctrlProp702.xml><?xml version="1.0" encoding="utf-8"?>
<formControlPr xmlns="http://schemas.microsoft.com/office/spreadsheetml/2009/9/main" objectType="CheckBox" fmlaLink="Berekeningen!$K$31" lockText="1"/>
</file>

<file path=xl/ctrlProps/ctrlProp703.xml><?xml version="1.0" encoding="utf-8"?>
<formControlPr xmlns="http://schemas.microsoft.com/office/spreadsheetml/2009/9/main" objectType="Drop" dropStyle="combo" dx="16" fmlaLink="Berekeningen!$B$59" fmlaRange="_VoedingToevoegingenKunstvoeding" val="0"/>
</file>

<file path=xl/ctrlProps/ctrlProp704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705.xml><?xml version="1.0" encoding="utf-8"?>
<formControlPr xmlns="http://schemas.microsoft.com/office/spreadsheetml/2009/9/main" objectType="Drop" dropStyle="combo" dx="16" fmlaLink="Berekeningen!$B$60" fmlaRange="_VoedingToevoegingenKunstvoeding" val="0"/>
</file>

<file path=xl/ctrlProps/ctrlProp706.xml><?xml version="1.0" encoding="utf-8"?>
<formControlPr xmlns="http://schemas.microsoft.com/office/spreadsheetml/2009/9/main" objectType="Drop" dropStyle="combo" dx="16" fmlaLink="Berekeningen!$B$61" fmlaRange="_VoedingToevoegingenKunstvoeding" val="0"/>
</file>

<file path=xl/ctrlProps/ctrlProp707.xml><?xml version="1.0" encoding="utf-8"?>
<formControlPr xmlns="http://schemas.microsoft.com/office/spreadsheetml/2009/9/main" objectType="Drop" dropStyle="combo" dx="16" fmlaLink="Berekeningen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Berekeningen!$K$59" fmlaRange="_VoedingToevoegingenWaarden" val="0"/>
</file>

<file path=xl/ctrlProps/ctrlProp709.xml><?xml version="1.0" encoding="utf-8"?>
<formControlPr xmlns="http://schemas.microsoft.com/office/spreadsheetml/2009/9/main" objectType="Drop" dropStyle="combo" dx="16" fmlaLink="Berekeningen!$K$60" fmlaRange="_VoedingToevoegingenWaarden" val="0"/>
</file>

<file path=xl/ctrlProps/ctrlProp710.xml><?xml version="1.0" encoding="utf-8"?>
<formControlPr xmlns="http://schemas.microsoft.com/office/spreadsheetml/2009/9/main" objectType="Drop" dropStyle="combo" dx="16" fmlaLink="Berekeningen!$K$61" fmlaRange="_VoedingToevoegingenWaarden" val="0"/>
</file>

<file path=xl/ctrlProps/ctrlProp711.xml><?xml version="1.0" encoding="utf-8"?>
<formControlPr xmlns="http://schemas.microsoft.com/office/spreadsheetml/2009/9/main" objectType="Drop" dropStyle="combo" dx="16" fmlaLink="Berekeningen!$B$53" fmlaRange="_VoedingToevoegingenMoedermelk" val="0"/>
</file>

<file path=xl/ctrlProps/ctrlProp712.xml><?xml version="1.0" encoding="utf-8"?>
<formControlPr xmlns="http://schemas.microsoft.com/office/spreadsheetml/2009/9/main" objectType="Drop" dropStyle="combo" dx="16" fmlaLink="Berekeningen!$B$58" fmlaRange="_VoedingToevoegingenKunstvoeding" val="0"/>
</file>

<file path=xl/ctrlProps/ctrlProp713.xml><?xml version="1.0" encoding="utf-8"?>
<formControlPr xmlns="http://schemas.microsoft.com/office/spreadsheetml/2009/9/main" objectType="Drop" dropStyle="combo" dx="16" fmlaLink="Berekeningen!$K$58" fmlaRange="_VoedingToevoegingenWaarden" val="0"/>
</file>

<file path=xl/ctrlProps/ctrlProp714.xml><?xml version="1.0" encoding="utf-8"?>
<formControlPr xmlns="http://schemas.microsoft.com/office/spreadsheetml/2009/9/main" objectType="Drop" dropStyle="combo" dx="16" fmlaLink="Berekeningen!$K$52" fmlaRange="_VoedingBMFWaarden" val="0"/>
</file>

<file path=xl/ctrlProps/ctrlProp715.xml><?xml version="1.0" encoding="utf-8"?>
<formControlPr xmlns="http://schemas.microsoft.com/office/spreadsheetml/2009/9/main" objectType="Drop" dropStyle="combo" dx="16" fmlaLink="Berekeningen!$K$54" fmlaRange="_VoedingToevoegingenWaarden" val="0"/>
</file>

<file path=xl/ctrlProps/ctrlProp716.xml><?xml version="1.0" encoding="utf-8"?>
<formControlPr xmlns="http://schemas.microsoft.com/office/spreadsheetml/2009/9/main" objectType="Drop" dropStyle="combo" dx="16" fmlaLink="Berekeningen!$K$55" fmlaRange="_VoedingToevoegingenWaarden" val="0"/>
</file>

<file path=xl/ctrlProps/ctrlProp717.xml><?xml version="1.0" encoding="utf-8"?>
<formControlPr xmlns="http://schemas.microsoft.com/office/spreadsheetml/2009/9/main" objectType="Drop" dropStyle="combo" dx="16" fmlaLink="Berekeningen!$K$56" fmlaRange="_VoedingToevoegingenWaarden" val="0"/>
</file>

<file path=xl/ctrlProps/ctrlProp718.xml><?xml version="1.0" encoding="utf-8"?>
<formControlPr xmlns="http://schemas.microsoft.com/office/spreadsheetml/2009/9/main" objectType="Drop" dropStyle="combo" dx="16" fmlaLink="Berekeningen!$K$53" fmlaRange="_VoedingToevoegingenWaarden" val="0"/>
</file>

<file path=xl/ctrlProps/ctrlProp719.xml><?xml version="1.0" encoding="utf-8"?>
<formControlPr xmlns="http://schemas.microsoft.com/office/spreadsheetml/2009/9/main" objectType="CheckBox" fmlaLink="Berekeningen!$B$17" lockText="1" noThreeD="1"/>
</file>

<file path=xl/ctrlProps/ctrlProp720.xml><?xml version="1.0" encoding="utf-8"?>
<formControlPr xmlns="http://schemas.microsoft.com/office/spreadsheetml/2009/9/main" objectType="Spin" dx="15" fmlaLink="Berekeningen!$F$21" max="30000" page="10" val="0"/>
</file>

<file path=xl/ctrlProps/ctrlProp721.xml><?xml version="1.0" encoding="utf-8"?>
<formControlPr xmlns="http://schemas.microsoft.com/office/spreadsheetml/2009/9/main" objectType="Spin" dx="15" fmlaLink="Berekeningen!$F$22" max="30000" page="10" val="0"/>
</file>

<file path=xl/ctrlProps/ctrlProp722.xml><?xml version="1.0" encoding="utf-8"?>
<formControlPr xmlns="http://schemas.microsoft.com/office/spreadsheetml/2009/9/main" objectType="Spin" dx="15" fmlaLink="Berekeningen!$F$23" max="30000" page="10" val="0"/>
</file>

<file path=xl/ctrlProps/ctrlProp723.xml><?xml version="1.0" encoding="utf-8"?>
<formControlPr xmlns="http://schemas.microsoft.com/office/spreadsheetml/2009/9/main" objectType="Spin" dx="15" fmlaLink="Berekeningen!$F$24" max="30000" page="10" val="0"/>
</file>

<file path=xl/ctrlProps/ctrlProp724.xml><?xml version="1.0" encoding="utf-8"?>
<formControlPr xmlns="http://schemas.microsoft.com/office/spreadsheetml/2009/9/main" objectType="Spin" dx="15" fmlaLink="Berekeningen!$F$25" max="30000" page="10" val="0"/>
</file>

<file path=xl/ctrlProps/ctrlProp725.xml><?xml version="1.0" encoding="utf-8"?>
<formControlPr xmlns="http://schemas.microsoft.com/office/spreadsheetml/2009/9/main" objectType="Spin" dx="15" fmlaLink="Berekeningen!$F$26" max="30000" page="10" val="0"/>
</file>

<file path=xl/ctrlProps/ctrlProp726.xml><?xml version="1.0" encoding="utf-8"?>
<formControlPr xmlns="http://schemas.microsoft.com/office/spreadsheetml/2009/9/main" objectType="Spin" dx="15" fmlaLink="Berekeningen!$F$27" max="30000" page="10" val="0"/>
</file>

<file path=xl/ctrlProps/ctrlProp727.xml><?xml version="1.0" encoding="utf-8"?>
<formControlPr xmlns="http://schemas.microsoft.com/office/spreadsheetml/2009/9/main" objectType="Spin" dx="15" fmlaLink="Berekeningen!$F$28" max="30000" page="10" val="0"/>
</file>

<file path=xl/ctrlProps/ctrlProp728.xml><?xml version="1.0" encoding="utf-8"?>
<formControlPr xmlns="http://schemas.microsoft.com/office/spreadsheetml/2009/9/main" objectType="Drop" dropStyle="combo" dx="16" fmlaLink="Berekeningen!$F$35" fmlaRange="lijstIntralipidSmof" val="0"/>
</file>

<file path=xl/ctrlProps/ctrlProp729.xml><?xml version="1.0" encoding="utf-8"?>
<formControlPr xmlns="http://schemas.microsoft.com/office/spreadsheetml/2009/9/main" objectType="Drop" dropStyle="combo" dx="16" fmlaLink="Berekeningen1700!$B$20" fmlaRange="Medicamenten" val="0"/>
</file>

<file path=xl/ctrlProps/ctrlProp730.xml><?xml version="1.0" encoding="utf-8"?>
<formControlPr xmlns="http://schemas.microsoft.com/office/spreadsheetml/2009/9/main" objectType="Drop" dropStyle="combo" dx="16" fmlaLink="Berekeningen1700!$B$21" fmlaRange="Medicamenten" val="0"/>
</file>

<file path=xl/ctrlProps/ctrlProp731.xml><?xml version="1.0" encoding="utf-8"?>
<formControlPr xmlns="http://schemas.microsoft.com/office/spreadsheetml/2009/9/main" objectType="Drop" dropStyle="combo" dx="16" fmlaLink="Berekeningen1700!$B$22" fmlaRange="Medicamenten" val="0"/>
</file>

<file path=xl/ctrlProps/ctrlProp732.xml><?xml version="1.0" encoding="utf-8"?>
<formControlPr xmlns="http://schemas.microsoft.com/office/spreadsheetml/2009/9/main" objectType="Drop" dropStyle="combo" dx="16" fmlaLink="Berekeningen1700!$B$23" fmlaRange="Medicamenten" val="0"/>
</file>

<file path=xl/ctrlProps/ctrlProp733.xml><?xml version="1.0" encoding="utf-8"?>
<formControlPr xmlns="http://schemas.microsoft.com/office/spreadsheetml/2009/9/main" objectType="Drop" dropStyle="combo" dx="16" fmlaLink="Berekeningen1700!$B$24" fmlaRange="Medicamenten" val="0"/>
</file>

<file path=xl/ctrlProps/ctrlProp734.xml><?xml version="1.0" encoding="utf-8"?>
<formControlPr xmlns="http://schemas.microsoft.com/office/spreadsheetml/2009/9/main" objectType="Drop" dropStyle="combo" dx="16" fmlaLink="Berekeningen1700!$B$25" fmlaRange="Medicamenten" val="0"/>
</file>

<file path=xl/ctrlProps/ctrlProp735.xml><?xml version="1.0" encoding="utf-8"?>
<formControlPr xmlns="http://schemas.microsoft.com/office/spreadsheetml/2009/9/main" objectType="Drop" dropStyle="combo" dx="16" fmlaLink="Berekeningen1700!$B$26" fmlaRange="Medicamenten" val="0"/>
</file>

<file path=xl/ctrlProps/ctrlProp736.xml><?xml version="1.0" encoding="utf-8"?>
<formControlPr xmlns="http://schemas.microsoft.com/office/spreadsheetml/2009/9/main" objectType="Spin" dx="15" fmlaLink="Berekeningen1700!$B$18" inc="5" max="10" page="10" val="0"/>
</file>

<file path=xl/ctrlProps/ctrlProp737.xml><?xml version="1.0" encoding="utf-8"?>
<formControlPr xmlns="http://schemas.microsoft.com/office/spreadsheetml/2009/9/main" objectType="Spin" dx="15" fmlaLink="Berekeningen1700!$F$20" max="30000" page="10" val="0"/>
</file>

<file path=xl/ctrlProps/ctrlProp738.xml><?xml version="1.0" encoding="utf-8"?>
<formControlPr xmlns="http://schemas.microsoft.com/office/spreadsheetml/2009/9/main" objectType="Spin" dx="15" fmlaLink="Berekeningen1700!$F$21" max="30000" page="10" val="0"/>
</file>

<file path=xl/ctrlProps/ctrlProp739.xml><?xml version="1.0" encoding="utf-8"?>
<formControlPr xmlns="http://schemas.microsoft.com/office/spreadsheetml/2009/9/main" objectType="Spin" dx="15" fmlaLink="Berekeningen1700!$F$22" max="30000" page="10" val="0"/>
</file>

<file path=xl/ctrlProps/ctrlProp740.xml><?xml version="1.0" encoding="utf-8"?>
<formControlPr xmlns="http://schemas.microsoft.com/office/spreadsheetml/2009/9/main" objectType="Spin" dx="15" fmlaLink="Berekeningen1700!$F$23" max="30000" page="10" val="0"/>
</file>

<file path=xl/ctrlProps/ctrlProp741.xml><?xml version="1.0" encoding="utf-8"?>
<formControlPr xmlns="http://schemas.microsoft.com/office/spreadsheetml/2009/9/main" objectType="Spin" dx="15" fmlaLink="Berekeningen1700!$F$24" max="30000" page="10" val="0"/>
</file>

<file path=xl/ctrlProps/ctrlProp742.xml><?xml version="1.0" encoding="utf-8"?>
<formControlPr xmlns="http://schemas.microsoft.com/office/spreadsheetml/2009/9/main" objectType="Spin" dx="15" fmlaLink="Berekeningen1700!$F$25" max="30000" page="10" val="0"/>
</file>

<file path=xl/ctrlProps/ctrlProp743.xml><?xml version="1.0" encoding="utf-8"?>
<formControlPr xmlns="http://schemas.microsoft.com/office/spreadsheetml/2009/9/main" objectType="Spin" dx="15" fmlaLink="Berekeningen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Berekeningen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Berekeningen1700!$D$10" max="24" page="10" val="0"/>
</file>

<file path=xl/ctrlProps/ctrlProp747.xml><?xml version="1.0" encoding="utf-8"?>
<formControlPr xmlns="http://schemas.microsoft.com/office/spreadsheetml/2009/9/main" objectType="Spin" dx="15" fmlaLink="Berekeningen1700!$D$11" inc="5" max="30000" page="10" val="0"/>
</file>

<file path=xl/ctrlProps/ctrlProp748.xml><?xml version="1.0" encoding="utf-8"?>
<formControlPr xmlns="http://schemas.microsoft.com/office/spreadsheetml/2009/9/main" objectType="Spin" dx="15" fmlaLink="Berekeningen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Berekeningen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Berekeningen1700!$D$37" inc="10" max="30000" page="10" val="5000"/>
</file>

<file path=xl/ctrlProps/ctrlProp753.xml><?xml version="1.0" encoding="utf-8"?>
<formControlPr xmlns="http://schemas.microsoft.com/office/spreadsheetml/2009/9/main" objectType="Spin" dx="15" fmlaLink="Berekeningen1700!$D$38" inc="10" max="30000" page="10" val="5000"/>
</file>

<file path=xl/ctrlProps/ctrlProp754.xml><?xml version="1.0" encoding="utf-8"?>
<formControlPr xmlns="http://schemas.microsoft.com/office/spreadsheetml/2009/9/main" objectType="Spin" dx="15" fmlaLink="Berekeningen1700!$D$39" inc="10" max="30000" page="10" val="5000"/>
</file>

<file path=xl/ctrlProps/ctrlProp755.xml><?xml version="1.0" encoding="utf-8"?>
<formControlPr xmlns="http://schemas.microsoft.com/office/spreadsheetml/2009/9/main" objectType="Spin" dx="15" fmlaLink="Berekeningen1700!$D$40" max="30000" page="10" val="5000"/>
</file>

<file path=xl/ctrlProps/ctrlProp756.xml><?xml version="1.0" encoding="utf-8"?>
<formControlPr xmlns="http://schemas.microsoft.com/office/spreadsheetml/2009/9/main" objectType="Spin" dx="15" fmlaLink="Berekeningen1700!$D$41" max="30000" page="10" val="5000"/>
</file>

<file path=xl/ctrlProps/ctrlProp757.xml><?xml version="1.0" encoding="utf-8"?>
<formControlPr xmlns="http://schemas.microsoft.com/office/spreadsheetml/2009/9/main" objectType="Spin" dx="15" fmlaLink="Berekeningen1700!$D$42" max="30000" page="10" val="5000"/>
</file>

<file path=xl/ctrlProps/ctrlProp758.xml><?xml version="1.0" encoding="utf-8"?>
<formControlPr xmlns="http://schemas.microsoft.com/office/spreadsheetml/2009/9/main" objectType="Spin" dx="15" fmlaLink="Berekeningen1700!$D$43" max="30000" page="10" val="5000"/>
</file>

<file path=xl/ctrlProps/ctrlProp759.xml><?xml version="1.0" encoding="utf-8"?>
<formControlPr xmlns="http://schemas.microsoft.com/office/spreadsheetml/2009/9/main" objectType="Spin" dx="15" fmlaLink="Berekeningen1700!$D$37" max="30000" page="10" val="5000"/>
</file>

<file path=xl/ctrlProps/ctrlProp760.xml><?xml version="1.0" encoding="utf-8"?>
<formControlPr xmlns="http://schemas.microsoft.com/office/spreadsheetml/2009/9/main" objectType="Spin" dx="15" fmlaLink="Berekeningen1700!$D$38" max="30000" page="10" val="5000"/>
</file>

<file path=xl/ctrlProps/ctrlProp761.xml><?xml version="1.0" encoding="utf-8"?>
<formControlPr xmlns="http://schemas.microsoft.com/office/spreadsheetml/2009/9/main" objectType="Spin" dx="15" fmlaLink="Berekeningen1700!$D$44" max="30000" page="10" val="5000"/>
</file>

<file path=xl/ctrlProps/ctrlProp762.xml><?xml version="1.0" encoding="utf-8"?>
<formControlPr xmlns="http://schemas.microsoft.com/office/spreadsheetml/2009/9/main" objectType="Radio" firstButton="1" fmlaLink="Berekeningen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Berekeningen1700!$E$20" fmlaRange="Opl" val="2"/>
</file>

<file path=xl/ctrlProps/ctrlProp765.xml><?xml version="1.0" encoding="utf-8"?>
<formControlPr xmlns="http://schemas.microsoft.com/office/spreadsheetml/2009/9/main" objectType="Drop" dropStyle="combo" dx="16" fmlaLink="Berekeningen1700!$E$21" fmlaRange="Opl" val="0"/>
</file>

<file path=xl/ctrlProps/ctrlProp766.xml><?xml version="1.0" encoding="utf-8"?>
<formControlPr xmlns="http://schemas.microsoft.com/office/spreadsheetml/2009/9/main" objectType="Drop" dropStyle="combo" dx="16" fmlaLink="Berekeningen1700!$E$22" fmlaRange="Opl" val="0"/>
</file>

<file path=xl/ctrlProps/ctrlProp767.xml><?xml version="1.0" encoding="utf-8"?>
<formControlPr xmlns="http://schemas.microsoft.com/office/spreadsheetml/2009/9/main" objectType="Drop" dropStyle="combo" dx="16" fmlaLink="Berekeningen1700!$E$23" fmlaRange="Opl" val="0"/>
</file>

<file path=xl/ctrlProps/ctrlProp768.xml><?xml version="1.0" encoding="utf-8"?>
<formControlPr xmlns="http://schemas.microsoft.com/office/spreadsheetml/2009/9/main" objectType="Drop" dropStyle="combo" dx="16" fmlaLink="Berekeningen1700!$E$24" fmlaRange="Opl" val="0"/>
</file>

<file path=xl/ctrlProps/ctrlProp769.xml><?xml version="1.0" encoding="utf-8"?>
<formControlPr xmlns="http://schemas.microsoft.com/office/spreadsheetml/2009/9/main" objectType="Drop" dropStyle="combo" dx="16" fmlaLink="Berekeningen1700!$E$25" fmlaRange="Opl" val="0"/>
</file>

<file path=xl/ctrlProps/ctrlProp770.xml><?xml version="1.0" encoding="utf-8"?>
<formControlPr xmlns="http://schemas.microsoft.com/office/spreadsheetml/2009/9/main" objectType="Spin" dx="15" fmlaLink="Berekeningen1700!$D$20" max="30000" page="10" val="0"/>
</file>

<file path=xl/ctrlProps/ctrlProp771.xml><?xml version="1.0" encoding="utf-8"?>
<formControlPr xmlns="http://schemas.microsoft.com/office/spreadsheetml/2009/9/main" objectType="Spin" dx="15" fmlaLink="Berekeningen1700!$D$21" max="30000" page="10" val="0"/>
</file>

<file path=xl/ctrlProps/ctrlProp772.xml><?xml version="1.0" encoding="utf-8"?>
<formControlPr xmlns="http://schemas.microsoft.com/office/spreadsheetml/2009/9/main" objectType="Spin" dx="15" fmlaLink="Berekeningen1700!$D$22" max="30000" page="10" val="0"/>
</file>

<file path=xl/ctrlProps/ctrlProp773.xml><?xml version="1.0" encoding="utf-8"?>
<formControlPr xmlns="http://schemas.microsoft.com/office/spreadsheetml/2009/9/main" objectType="Spin" dx="15" fmlaLink="Berekeningen1700!$D$23" max="30000" page="10" val="0"/>
</file>

<file path=xl/ctrlProps/ctrlProp774.xml><?xml version="1.0" encoding="utf-8"?>
<formControlPr xmlns="http://schemas.microsoft.com/office/spreadsheetml/2009/9/main" objectType="Spin" dx="15" fmlaLink="Berekeningen1700!$D$24" max="30000" page="10" val="0"/>
</file>

<file path=xl/ctrlProps/ctrlProp775.xml><?xml version="1.0" encoding="utf-8"?>
<formControlPr xmlns="http://schemas.microsoft.com/office/spreadsheetml/2009/9/main" objectType="Spin" dx="15" fmlaLink="Berekeningen1700!$D$25" max="30000" page="10" val="0"/>
</file>

<file path=xl/ctrlProps/ctrlProp776.xml><?xml version="1.0" encoding="utf-8"?>
<formControlPr xmlns="http://schemas.microsoft.com/office/spreadsheetml/2009/9/main" objectType="Spin" dx="15" fmlaLink="Berekeningen1700!$D$26" max="30000" page="10" val="0"/>
</file>

<file path=xl/ctrlProps/ctrlProp777.xml><?xml version="1.0" encoding="utf-8"?>
<formControlPr xmlns="http://schemas.microsoft.com/office/spreadsheetml/2009/9/main" objectType="Spin" dx="15" fmlaLink="Berekeningen1700!$C$20" inc="10" max="30000" page="10" val="0"/>
</file>

<file path=xl/ctrlProps/ctrlProp778.xml><?xml version="1.0" encoding="utf-8"?>
<formControlPr xmlns="http://schemas.microsoft.com/office/spreadsheetml/2009/9/main" objectType="Spin" dx="15" fmlaLink="Berekeningen1700!$C$21" inc="10" max="30000" page="10" val="0"/>
</file>

<file path=xl/ctrlProps/ctrlProp779.xml><?xml version="1.0" encoding="utf-8"?>
<formControlPr xmlns="http://schemas.microsoft.com/office/spreadsheetml/2009/9/main" objectType="Spin" dx="15" fmlaLink="Berekeningen1700!$C$22" inc="10" max="30000" page="10" val="0"/>
</file>

<file path=xl/ctrlProps/ctrlProp780.xml><?xml version="1.0" encoding="utf-8"?>
<formControlPr xmlns="http://schemas.microsoft.com/office/spreadsheetml/2009/9/main" objectType="Spin" dx="15" fmlaLink="Berekeningen1700!$C$23" inc="10" max="30000" page="10" val="0"/>
</file>

<file path=xl/ctrlProps/ctrlProp781.xml><?xml version="1.0" encoding="utf-8"?>
<formControlPr xmlns="http://schemas.microsoft.com/office/spreadsheetml/2009/9/main" objectType="Spin" dx="15" fmlaLink="Berekeningen1700!$C$24" inc="10" max="30000" page="10" val="0"/>
</file>

<file path=xl/ctrlProps/ctrlProp782.xml><?xml version="1.0" encoding="utf-8"?>
<formControlPr xmlns="http://schemas.microsoft.com/office/spreadsheetml/2009/9/main" objectType="Spin" dx="15" fmlaLink="Berekeningen1700!$C$25" inc="10" max="30000" page="10" val="0"/>
</file>

<file path=xl/ctrlProps/ctrlProp783.xml><?xml version="1.0" encoding="utf-8"?>
<formControlPr xmlns="http://schemas.microsoft.com/office/spreadsheetml/2009/9/main" objectType="Spin" dx="15" fmlaLink="Berekeningen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Berekeningen1700!$K$18" lockText="1"/>
</file>

<file path=xl/ctrlProps/ctrlProp787.xml><?xml version="1.0" encoding="utf-8"?>
<formControlPr xmlns="http://schemas.microsoft.com/office/spreadsheetml/2009/9/main" objectType="CheckBox" fmlaLink="Berekeningen1700!$K$20" lockText="1"/>
</file>

<file path=xl/ctrlProps/ctrlProp788.xml><?xml version="1.0" encoding="utf-8"?>
<formControlPr xmlns="http://schemas.microsoft.com/office/spreadsheetml/2009/9/main" objectType="CheckBox" fmlaLink="Berekeningen1700!$K$21" lockText="1"/>
</file>

<file path=xl/ctrlProps/ctrlProp789.xml><?xml version="1.0" encoding="utf-8"?>
<formControlPr xmlns="http://schemas.microsoft.com/office/spreadsheetml/2009/9/main" objectType="CheckBox" fmlaLink="Berekeningen1700!$K$22" lockText="1"/>
</file>

<file path=xl/ctrlProps/ctrlProp790.xml><?xml version="1.0" encoding="utf-8"?>
<formControlPr xmlns="http://schemas.microsoft.com/office/spreadsheetml/2009/9/main" objectType="CheckBox" fmlaLink="Berekeningen1700!$K$23" lockText="1"/>
</file>

<file path=xl/ctrlProps/ctrlProp791.xml><?xml version="1.0" encoding="utf-8"?>
<formControlPr xmlns="http://schemas.microsoft.com/office/spreadsheetml/2009/9/main" objectType="CheckBox" fmlaLink="Berekeningen1700!$K$24" lockText="1"/>
</file>

<file path=xl/ctrlProps/ctrlProp792.xml><?xml version="1.0" encoding="utf-8"?>
<formControlPr xmlns="http://schemas.microsoft.com/office/spreadsheetml/2009/9/main" objectType="CheckBox" fmlaLink="Berekeningen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Berekeningen1700!$B$27" fmlaRange="Medicamenten" val="2"/>
</file>

<file path=xl/ctrlProps/ctrlProp795.xml><?xml version="1.0" encoding="utf-8"?>
<formControlPr xmlns="http://schemas.microsoft.com/office/spreadsheetml/2009/9/main" objectType="Spin" dx="15" fmlaLink="Berekeningen1700!$F$27" max="30000" page="10" val="0"/>
</file>

<file path=xl/ctrlProps/ctrlProp796.xml><?xml version="1.0" encoding="utf-8"?>
<formControlPr xmlns="http://schemas.microsoft.com/office/spreadsheetml/2009/9/main" objectType="Drop" dropStyle="combo" dx="16" fmlaLink="Berekeningen1700!$E$26" fmlaRange="Opl" val="0"/>
</file>

<file path=xl/ctrlProps/ctrlProp797.xml><?xml version="1.0" encoding="utf-8"?>
<formControlPr xmlns="http://schemas.microsoft.com/office/spreadsheetml/2009/9/main" objectType="Spin" dx="15" fmlaLink="Berekeningen1700!$D$27" max="30000" page="10" val="0"/>
</file>

<file path=xl/ctrlProps/ctrlProp798.xml><?xml version="1.0" encoding="utf-8"?>
<formControlPr xmlns="http://schemas.microsoft.com/office/spreadsheetml/2009/9/main" objectType="Spin" dx="15" fmlaLink="Berekeningen1700!$C$27" inc="10" max="30000" page="10" val="0"/>
</file>

<file path=xl/ctrlProps/ctrlProp799.xml><?xml version="1.0" encoding="utf-8"?>
<formControlPr xmlns="http://schemas.microsoft.com/office/spreadsheetml/2009/9/main" objectType="CheckBox" fmlaLink="Berekeningen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Berekeningen1700!$F$28" max="30000" page="10" val="0"/>
</file>

<file path=xl/ctrlProps/ctrlProp802.xml><?xml version="1.0" encoding="utf-8"?>
<formControlPr xmlns="http://schemas.microsoft.com/office/spreadsheetml/2009/9/main" objectType="Drop" dropStyle="combo" dx="16" fmlaLink="Berekeningen1700!$E$27" fmlaRange="Opl" val="0"/>
</file>

<file path=xl/ctrlProps/ctrlProp803.xml><?xml version="1.0" encoding="utf-8"?>
<formControlPr xmlns="http://schemas.microsoft.com/office/spreadsheetml/2009/9/main" objectType="Drop" dropStyle="combo" dx="16" fmlaLink="Berekeningen1700!$E$28" fmlaRange="Opl" val="0"/>
</file>

<file path=xl/ctrlProps/ctrlProp804.xml><?xml version="1.0" encoding="utf-8"?>
<formControlPr xmlns="http://schemas.microsoft.com/office/spreadsheetml/2009/9/main" objectType="CheckBox" fmlaLink="Berekeningen1700!$K$27" lockText="1"/>
</file>

<file path=xl/ctrlProps/ctrlProp805.xml><?xml version="1.0" encoding="utf-8"?>
<formControlPr xmlns="http://schemas.microsoft.com/office/spreadsheetml/2009/9/main" objectType="CheckBox" fmlaLink="Berekeningen1700!$K$28" lockText="1"/>
</file>

<file path=xl/ctrlProps/ctrlProp806.xml><?xml version="1.0" encoding="utf-8"?>
<formControlPr xmlns="http://schemas.microsoft.com/office/spreadsheetml/2009/9/main" objectType="Spin" dx="15" fmlaLink="Berekeningen1700!$D$35" max="30000" page="10" val="5000"/>
</file>

<file path=xl/ctrlProps/ctrlProp807.xml><?xml version="1.0" encoding="utf-8"?>
<formControlPr xmlns="http://schemas.microsoft.com/office/spreadsheetml/2009/9/main" objectType="Drop" dropStyle="combo" dx="16" fmlaLink="Berekeningen1700!$D$45" fmlaRange="Lijsten!$A$4:$A$13" sel="2" val="0"/>
</file>

<file path=xl/ctrlProps/ctrlProp808.xml><?xml version="1.0" encoding="utf-8"?>
<formControlPr xmlns="http://schemas.microsoft.com/office/spreadsheetml/2009/9/main" objectType="Spin" dx="15" fmlaLink="Berekeningen!$D$4" max="43" min="24" page="10" val="30"/>
</file>

<file path=xl/ctrlProps/ctrlProp809.xml><?xml version="1.0" encoding="utf-8"?>
<formControlPr xmlns="http://schemas.microsoft.com/office/spreadsheetml/2009/9/main" objectType="Spin" dx="15" fmlaLink="Berekeningen!$D$5" max="6" page="10" val="0"/>
</file>

<file path=xl/ctrlProps/ctrlProp810.xml><?xml version="1.0" encoding="utf-8"?>
<formControlPr xmlns="http://schemas.microsoft.com/office/spreadsheetml/2009/9/main" objectType="Drop" dropStyle="combo" dx="16" fmlaLink="Berekeningen1700!$B$54" fmlaRange="_VoedingToevoegingenMoedermelk" val="0"/>
</file>

<file path=xl/ctrlProps/ctrlProp811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12.xml><?xml version="1.0" encoding="utf-8"?>
<formControlPr xmlns="http://schemas.microsoft.com/office/spreadsheetml/2009/9/main" objectType="Drop" dropStyle="combo" dx="16" fmlaLink="Berekeningen1700!$D$14" fmlaRange="Pos" val="0"/>
</file>

<file path=xl/ctrlProps/ctrlProp813.xml><?xml version="1.0" encoding="utf-8"?>
<formControlPr xmlns="http://schemas.microsoft.com/office/spreadsheetml/2009/9/main" objectType="Spin" dx="15" fmlaLink="Berekeningen1700!$D$12" max="24" page="10" val="0"/>
</file>

<file path=xl/ctrlProps/ctrlProp814.xml><?xml version="1.0" encoding="utf-8"?>
<formControlPr xmlns="http://schemas.microsoft.com/office/spreadsheetml/2009/9/main" objectType="Spin" dx="15" fmlaLink="Berekeningen1700!$D$13" inc="5" max="30000" page="10" val="0"/>
</file>

<file path=xl/ctrlProps/ctrlProp815.xml><?xml version="1.0" encoding="utf-8"?>
<formControlPr xmlns="http://schemas.microsoft.com/office/spreadsheetml/2009/9/main" objectType="Drop" dropStyle="combo" dx="16" fmlaLink="Berekeningen1700!$B$55" fmlaRange="_VoedingToevoegingenMoedermelk" val="0"/>
</file>

<file path=xl/ctrlProps/ctrlProp816.xml><?xml version="1.0" encoding="utf-8"?>
<formControlPr xmlns="http://schemas.microsoft.com/office/spreadsheetml/2009/9/main" objectType="Drop" dropStyle="combo" dx="16" fmlaLink="Berekeningen1700!$B$56" fmlaRange="_VoedingToevoegingenMoedermelk" val="0"/>
</file>

<file path=xl/ctrlProps/ctrlProp817.xml><?xml version="1.0" encoding="utf-8"?>
<formControlPr xmlns="http://schemas.microsoft.com/office/spreadsheetml/2009/9/main" objectType="Drop" dropStyle="combo" dx="16" fmlaLink="Berekeningen1700!$B$28" fmlaRange="Medicamenten" val="2"/>
</file>

<file path=xl/ctrlProps/ctrlProp818.xml><?xml version="1.0" encoding="utf-8"?>
<formControlPr xmlns="http://schemas.microsoft.com/office/spreadsheetml/2009/9/main" objectType="Spin" dx="15" fmlaLink="Berekeningen1700!$D$28" max="30000" page="10" val="0"/>
</file>

<file path=xl/ctrlProps/ctrlProp819.xml><?xml version="1.0" encoding="utf-8"?>
<formControlPr xmlns="http://schemas.microsoft.com/office/spreadsheetml/2009/9/main" objectType="Spin" dx="15" fmlaLink="Berekeningen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Berekeningen1700!$E$28" fmlaRange="Opl" val="2"/>
</file>

<file path=xl/ctrlProps/ctrlProp821.xml><?xml version="1.0" encoding="utf-8"?>
<formControlPr xmlns="http://schemas.microsoft.com/office/spreadsheetml/2009/9/main" objectType="Drop" dropStyle="combo" dx="16" fmlaLink="Berekeningen1700!$E$29" fmlaRange="Opl" val="0"/>
</file>

<file path=xl/ctrlProps/ctrlProp822.xml><?xml version="1.0" encoding="utf-8"?>
<formControlPr xmlns="http://schemas.microsoft.com/office/spreadsheetml/2009/9/main" objectType="Spin" dx="15" fmlaLink="Berekeningen1700!$F$29" max="30000" page="10" val="0"/>
</file>

<file path=xl/ctrlProps/ctrlProp823.xml><?xml version="1.0" encoding="utf-8"?>
<formControlPr xmlns="http://schemas.microsoft.com/office/spreadsheetml/2009/9/main" objectType="CheckBox" fmlaLink="Berekeningen1700!$K$29" lockText="1"/>
</file>

<file path=xl/ctrlProps/ctrlProp824.xml><?xml version="1.0" encoding="utf-8"?>
<formControlPr xmlns="http://schemas.microsoft.com/office/spreadsheetml/2009/9/main" objectType="Drop" dropStyle="combo" dx="16" fmlaLink="Berekeningen1700!$E$30" fmlaRange="Opl" val="0"/>
</file>

<file path=xl/ctrlProps/ctrlProp825.xml><?xml version="1.0" encoding="utf-8"?>
<formControlPr xmlns="http://schemas.microsoft.com/office/spreadsheetml/2009/9/main" objectType="Spin" dx="15" fmlaLink="Berekeningen1700!$F$30" max="30000" page="10" val="0"/>
</file>

<file path=xl/ctrlProps/ctrlProp826.xml><?xml version="1.0" encoding="utf-8"?>
<formControlPr xmlns="http://schemas.microsoft.com/office/spreadsheetml/2009/9/main" objectType="CheckBox" fmlaLink="Berekeningen1700!$K$30" lockText="1"/>
</file>

<file path=xl/ctrlProps/ctrlProp827.xml><?xml version="1.0" encoding="utf-8"?>
<formControlPr xmlns="http://schemas.microsoft.com/office/spreadsheetml/2009/9/main" objectType="CheckBox" fmlaLink="Berekeningen1700!$K$30" lockText="1"/>
</file>

<file path=xl/ctrlProps/ctrlProp828.xml><?xml version="1.0" encoding="utf-8"?>
<formControlPr xmlns="http://schemas.microsoft.com/office/spreadsheetml/2009/9/main" objectType="Drop" dropStyle="combo" dx="16" fmlaLink="Berekeningen1700!$E$31" fmlaRange="Opl" val="0"/>
</file>

<file path=xl/ctrlProps/ctrlProp829.xml><?xml version="1.0" encoding="utf-8"?>
<formControlPr xmlns="http://schemas.microsoft.com/office/spreadsheetml/2009/9/main" objectType="Spin" dx="15" fmlaLink="Berekeningen1700!$F$31" max="30000" page="10" val="0"/>
</file>

<file path=xl/ctrlProps/ctrlProp830.xml><?xml version="1.0" encoding="utf-8"?>
<formControlPr xmlns="http://schemas.microsoft.com/office/spreadsheetml/2009/9/main" objectType="CheckBox" fmlaLink="Berekeningen1700!$K$31" lockText="1"/>
</file>

<file path=xl/ctrlProps/ctrlProp831.xml><?xml version="1.0" encoding="utf-8"?>
<formControlPr xmlns="http://schemas.microsoft.com/office/spreadsheetml/2009/9/main" objectType="Drop" dropStyle="combo" dx="16" fmlaLink="Berekeningen1700!$B$59" fmlaRange="_VoedingToevoegingenKunstvoeding" val="0"/>
</file>

<file path=xl/ctrlProps/ctrlProp832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33.xml><?xml version="1.0" encoding="utf-8"?>
<formControlPr xmlns="http://schemas.microsoft.com/office/spreadsheetml/2009/9/main" objectType="Drop" dropStyle="combo" dx="16" fmlaLink="Berekeningen1700!$B$60" fmlaRange="_VoedingToevoegingenKunstvoeding" val="0"/>
</file>

<file path=xl/ctrlProps/ctrlProp834.xml><?xml version="1.0" encoding="utf-8"?>
<formControlPr xmlns="http://schemas.microsoft.com/office/spreadsheetml/2009/9/main" objectType="Drop" dropStyle="combo" dx="16" fmlaLink="Berekeningen1700!$B$61" fmlaRange="_VoedingToevoegingenKunstvoeding" val="0"/>
</file>

<file path=xl/ctrlProps/ctrlProp835.xml><?xml version="1.0" encoding="utf-8"?>
<formControlPr xmlns="http://schemas.microsoft.com/office/spreadsheetml/2009/9/main" objectType="Drop" dropStyle="combo" dx="16" fmlaLink="Berekeningen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Berekeningen1700!$K$59" fmlaRange="_VoedingToevoegingenWaarden" val="3"/>
</file>

<file path=xl/ctrlProps/ctrlProp837.xml><?xml version="1.0" encoding="utf-8"?>
<formControlPr xmlns="http://schemas.microsoft.com/office/spreadsheetml/2009/9/main" objectType="Drop" dropStyle="combo" dx="16" fmlaLink="Berekeningen1700!$K$60" fmlaRange="_VoedingToevoegingenWaarden" val="0"/>
</file>

<file path=xl/ctrlProps/ctrlProp838.xml><?xml version="1.0" encoding="utf-8"?>
<formControlPr xmlns="http://schemas.microsoft.com/office/spreadsheetml/2009/9/main" objectType="Drop" dropStyle="combo" dx="16" fmlaLink="Berekeningen1700!$K$61" fmlaRange="_VoedingToevoegingenWaarden" val="0"/>
</file>

<file path=xl/ctrlProps/ctrlProp839.xml><?xml version="1.0" encoding="utf-8"?>
<formControlPr xmlns="http://schemas.microsoft.com/office/spreadsheetml/2009/9/main" objectType="Drop" dropStyle="combo" dx="16" fmlaLink="Berekeningen1700!$B$53" fmlaRange="_VoedingToevoegingenMoedermelk" val="0"/>
</file>

<file path=xl/ctrlProps/ctrlProp840.xml><?xml version="1.0" encoding="utf-8"?>
<formControlPr xmlns="http://schemas.microsoft.com/office/spreadsheetml/2009/9/main" objectType="Drop" dropStyle="combo" dx="16" fmlaLink="Berekeningen1700!$B$58" fmlaRange="_VoedingToevoegingenKunstvoeding" val="0"/>
</file>

<file path=xl/ctrlProps/ctrlProp841.xml><?xml version="1.0" encoding="utf-8"?>
<formControlPr xmlns="http://schemas.microsoft.com/office/spreadsheetml/2009/9/main" objectType="Drop" dropStyle="combo" dx="16" fmlaLink="Berekeningen1700!$K$58" fmlaRange="_VoedingToevoegingenWaarden" val="0"/>
</file>

<file path=xl/ctrlProps/ctrlProp842.xml><?xml version="1.0" encoding="utf-8"?>
<formControlPr xmlns="http://schemas.microsoft.com/office/spreadsheetml/2009/9/main" objectType="Drop" dropStyle="combo" dx="16" fmlaLink="Berekeningen1700!$K$52" fmlaRange="_VoedingBMFWaarden" val="0"/>
</file>

<file path=xl/ctrlProps/ctrlProp843.xml><?xml version="1.0" encoding="utf-8"?>
<formControlPr xmlns="http://schemas.microsoft.com/office/spreadsheetml/2009/9/main" objectType="Drop" dropStyle="combo" dx="16" fmlaLink="Berekeningen1700!$K$54" fmlaRange="_VoedingToevoegingenWaarden" val="0"/>
</file>

<file path=xl/ctrlProps/ctrlProp844.xml><?xml version="1.0" encoding="utf-8"?>
<formControlPr xmlns="http://schemas.microsoft.com/office/spreadsheetml/2009/9/main" objectType="Drop" dropStyle="combo" dx="16" fmlaLink="Berekeningen1700!$K$55" fmlaRange="_VoedingToevoegingenWaarden" val="0"/>
</file>

<file path=xl/ctrlProps/ctrlProp845.xml><?xml version="1.0" encoding="utf-8"?>
<formControlPr xmlns="http://schemas.microsoft.com/office/spreadsheetml/2009/9/main" objectType="Drop" dropStyle="combo" dx="16" fmlaLink="Berekeningen1700!$K$56" fmlaRange="_VoedingToevoegingenWaarden" val="0"/>
</file>

<file path=xl/ctrlProps/ctrlProp846.xml><?xml version="1.0" encoding="utf-8"?>
<formControlPr xmlns="http://schemas.microsoft.com/office/spreadsheetml/2009/9/main" objectType="Drop" dropStyle="combo" dx="16" fmlaLink="Berekeningen1700!$K$53" fmlaRange="_VoedingToevoegingenWaarden" val="0"/>
</file>

<file path=xl/ctrlProps/ctrlProp847.xml><?xml version="1.0" encoding="utf-8"?>
<formControlPr xmlns="http://schemas.microsoft.com/office/spreadsheetml/2009/9/main" objectType="CheckBox" fmlaLink="Berekeningen1700!$B$17" lockText="1" noThreeD="1"/>
</file>

<file path=xl/ctrlProps/ctrlProp848.xml><?xml version="1.0" encoding="utf-8"?>
<formControlPr xmlns="http://schemas.microsoft.com/office/spreadsheetml/2009/9/main" objectType="Spin" dx="15" fmlaLink="Berekeningen1700!$F$21" max="30000" page="10" val="0"/>
</file>

<file path=xl/ctrlProps/ctrlProp849.xml><?xml version="1.0" encoding="utf-8"?>
<formControlPr xmlns="http://schemas.microsoft.com/office/spreadsheetml/2009/9/main" objectType="Spin" dx="15" fmlaLink="Berekeningen1700!$F$21" max="30000" page="10" val="0"/>
</file>

<file path=xl/ctrlProps/ctrlProp850.xml><?xml version="1.0" encoding="utf-8"?>
<formControlPr xmlns="http://schemas.microsoft.com/office/spreadsheetml/2009/9/main" objectType="Spin" dx="15" fmlaLink="Berekeningen1700!$F$22" max="30000" page="10" val="0"/>
</file>

<file path=xl/ctrlProps/ctrlProp851.xml><?xml version="1.0" encoding="utf-8"?>
<formControlPr xmlns="http://schemas.microsoft.com/office/spreadsheetml/2009/9/main" objectType="Spin" dx="15" fmlaLink="Berekeningen1700!$F$21" max="30000" page="10" val="0"/>
</file>

<file path=xl/ctrlProps/ctrlProp852.xml><?xml version="1.0" encoding="utf-8"?>
<formControlPr xmlns="http://schemas.microsoft.com/office/spreadsheetml/2009/9/main" objectType="Spin" dx="15" fmlaLink="Berekeningen1700!$F$23" max="30000" page="10" val="0"/>
</file>

<file path=xl/ctrlProps/ctrlProp853.xml><?xml version="1.0" encoding="utf-8"?>
<formControlPr xmlns="http://schemas.microsoft.com/office/spreadsheetml/2009/9/main" objectType="Spin" dx="15" fmlaLink="Berekeningen1700!$F$21" max="30000" page="10" val="0"/>
</file>

<file path=xl/ctrlProps/ctrlProp854.xml><?xml version="1.0" encoding="utf-8"?>
<formControlPr xmlns="http://schemas.microsoft.com/office/spreadsheetml/2009/9/main" objectType="Spin" dx="15" fmlaLink="Berekeningen1700!$F$24" max="30000" page="10" val="0"/>
</file>

<file path=xl/ctrlProps/ctrlProp855.xml><?xml version="1.0" encoding="utf-8"?>
<formControlPr xmlns="http://schemas.microsoft.com/office/spreadsheetml/2009/9/main" objectType="Spin" dx="15" fmlaLink="Berekeningen1700!$F$21" max="30000" page="10" val="0"/>
</file>

<file path=xl/ctrlProps/ctrlProp856.xml><?xml version="1.0" encoding="utf-8"?>
<formControlPr xmlns="http://schemas.microsoft.com/office/spreadsheetml/2009/9/main" objectType="Spin" dx="15" fmlaLink="Berekeningen1700!$F$25" max="30000" page="10" val="0"/>
</file>

<file path=xl/ctrlProps/ctrlProp857.xml><?xml version="1.0" encoding="utf-8"?>
<formControlPr xmlns="http://schemas.microsoft.com/office/spreadsheetml/2009/9/main" objectType="Spin" dx="15" fmlaLink="Berekeningen1700!$F$21" max="30000" page="10" val="0"/>
</file>

<file path=xl/ctrlProps/ctrlProp858.xml><?xml version="1.0" encoding="utf-8"?>
<formControlPr xmlns="http://schemas.microsoft.com/office/spreadsheetml/2009/9/main" objectType="Spin" dx="15" fmlaLink="Berekeningen1700!$F$26" max="30000" page="10" val="0"/>
</file>

<file path=xl/ctrlProps/ctrlProp859.xml><?xml version="1.0" encoding="utf-8"?>
<formControlPr xmlns="http://schemas.microsoft.com/office/spreadsheetml/2009/9/main" objectType="Spin" dx="15" fmlaLink="Berekeningen1700!$F$21" max="30000" page="10" val="0"/>
</file>

<file path=xl/ctrlProps/ctrlProp860.xml><?xml version="1.0" encoding="utf-8"?>
<formControlPr xmlns="http://schemas.microsoft.com/office/spreadsheetml/2009/9/main" objectType="Spin" dx="15" fmlaLink="Berekeningen1700!$F$27" max="30000" page="10" val="0"/>
</file>

<file path=xl/ctrlProps/ctrlProp861.xml><?xml version="1.0" encoding="utf-8"?>
<formControlPr xmlns="http://schemas.microsoft.com/office/spreadsheetml/2009/9/main" objectType="Spin" dx="15" fmlaLink="Berekeningen1700!$F$21" max="30000" page="10" val="0"/>
</file>

<file path=xl/ctrlProps/ctrlProp862.xml><?xml version="1.0" encoding="utf-8"?>
<formControlPr xmlns="http://schemas.microsoft.com/office/spreadsheetml/2009/9/main" objectType="Spin" dx="15" fmlaLink="Berekeningen1700!$F$28" max="30000" page="10" val="0"/>
</file>

<file path=xl/ctrlProps/ctrlProp863.xml><?xml version="1.0" encoding="utf-8"?>
<formControlPr xmlns="http://schemas.microsoft.com/office/spreadsheetml/2009/9/main" objectType="Spin" dx="15" fmlaLink="Berekeningen1700!$F$21" max="30000" page="10" val="0"/>
</file>

<file path=xl/ctrlProps/ctrlProp864.xml><?xml version="1.0" encoding="utf-8"?>
<formControlPr xmlns="http://schemas.microsoft.com/office/spreadsheetml/2009/9/main" objectType="Spin" dx="15" fmlaLink="Berekeningen1700!$F$22" max="30000" page="10" val="0"/>
</file>

<file path=xl/ctrlProps/ctrlProp865.xml><?xml version="1.0" encoding="utf-8"?>
<formControlPr xmlns="http://schemas.microsoft.com/office/spreadsheetml/2009/9/main" objectType="Spin" dx="15" fmlaLink="Berekeningen1700!$F$23" max="30000" page="10" val="0"/>
</file>

<file path=xl/ctrlProps/ctrlProp866.xml><?xml version="1.0" encoding="utf-8"?>
<formControlPr xmlns="http://schemas.microsoft.com/office/spreadsheetml/2009/9/main" objectType="Spin" dx="15" fmlaLink="Berekeningen1700!$F$24" max="30000" page="10" val="0"/>
</file>

<file path=xl/ctrlProps/ctrlProp867.xml><?xml version="1.0" encoding="utf-8"?>
<formControlPr xmlns="http://schemas.microsoft.com/office/spreadsheetml/2009/9/main" objectType="Spin" dx="15" fmlaLink="Berekeningen1700!$F$25" max="30000" page="10" val="0"/>
</file>

<file path=xl/ctrlProps/ctrlProp868.xml><?xml version="1.0" encoding="utf-8"?>
<formControlPr xmlns="http://schemas.microsoft.com/office/spreadsheetml/2009/9/main" objectType="Spin" dx="15" fmlaLink="Berekeningen1700!$F$26" max="30000" page="10" val="0"/>
</file>

<file path=xl/ctrlProps/ctrlProp869.xml><?xml version="1.0" encoding="utf-8"?>
<formControlPr xmlns="http://schemas.microsoft.com/office/spreadsheetml/2009/9/main" objectType="Spin" dx="15" fmlaLink="Berekeningen1700!$F$27" max="30000" page="10" val="0"/>
</file>

<file path=xl/ctrlProps/ctrlProp870.xml><?xml version="1.0" encoding="utf-8"?>
<formControlPr xmlns="http://schemas.microsoft.com/office/spreadsheetml/2009/9/main" objectType="Spin" dx="15" fmlaLink="Berekeningen1700!$F$28" max="30000" page="10" val="0"/>
</file>

<file path=xl/ctrlProps/ctrlProp871.xml><?xml version="1.0" encoding="utf-8"?>
<formControlPr xmlns="http://schemas.microsoft.com/office/spreadsheetml/2009/9/main" objectType="Drop" dropStyle="combo" dx="16" fmlaLink="Berekeningen1700!$F$35" fmlaRange="lijstIntralipidSmof" val="0"/>
</file>

<file path=xl/ctrlProps/ctrlProp872.xml><?xml version="1.0" encoding="utf-8"?>
<formControlPr xmlns="http://schemas.microsoft.com/office/spreadsheetml/2009/9/main" objectType="Spin" dx="15" fmlaLink="dbBead!$H$2" max="200" min="25" page="10" val="80"/>
</file>

<file path=xl/ctrlProps/ctrlProp873.xml><?xml version="1.0" encoding="utf-8"?>
<formControlPr xmlns="http://schemas.microsoft.com/office/spreadsheetml/2009/9/main" objectType="CheckBox" fmlaLink="ber_AanvullendeAfsprakenNeo!$F$7" lockText="1"/>
</file>

<file path=xl/ctrlProps/ctrlProp874.xml><?xml version="1.0" encoding="utf-8"?>
<formControlPr xmlns="http://schemas.microsoft.com/office/spreadsheetml/2009/9/main" objectType="CheckBox" fmlaLink="ber_AanvullendeAfsprakenNeo!$F$8" lockText="1"/>
</file>

<file path=xl/ctrlProps/ctrlProp875.xml><?xml version="1.0" encoding="utf-8"?>
<formControlPr xmlns="http://schemas.microsoft.com/office/spreadsheetml/2009/9/main" objectType="CheckBox" fmlaLink="ber_AanvullendeAfsprakenNeo!$F$13" lockText="1"/>
</file>

<file path=xl/ctrlProps/ctrlProp876.xml><?xml version="1.0" encoding="utf-8"?>
<formControlPr xmlns="http://schemas.microsoft.com/office/spreadsheetml/2009/9/main" objectType="CheckBox" fmlaLink="ber_AanvullendeAfsprakenNeo!$F$14" lockText="1"/>
</file>

<file path=xl/ctrlProps/ctrlProp877.xml><?xml version="1.0" encoding="utf-8"?>
<formControlPr xmlns="http://schemas.microsoft.com/office/spreadsheetml/2009/9/main" objectType="CheckBox" fmlaLink="ber_AanvullendeAfsprakenNeo!$F$15" lockText="1"/>
</file>

<file path=xl/ctrlProps/ctrlProp878.xml><?xml version="1.0" encoding="utf-8"?>
<formControlPr xmlns="http://schemas.microsoft.com/office/spreadsheetml/2009/9/main" objectType="CheckBox" fmlaLink="ber_AanvullendeAfsprakenNeo!$F$17" lockText="1"/>
</file>

<file path=xl/ctrlProps/ctrlProp879.xml><?xml version="1.0" encoding="utf-8"?>
<formControlPr xmlns="http://schemas.microsoft.com/office/spreadsheetml/2009/9/main" objectType="CheckBox" fmlaLink="ber_AanvullendeAfsprakenNeo!$F$18" lockText="1"/>
</file>

<file path=xl/ctrlProps/ctrlProp880.xml><?xml version="1.0" encoding="utf-8"?>
<formControlPr xmlns="http://schemas.microsoft.com/office/spreadsheetml/2009/9/main" objectType="CheckBox" fmlaLink="ber_AanvullendeAfsprakenNeo!$F$21" lockText="1"/>
</file>

<file path=xl/ctrlProps/ctrlProp881.xml><?xml version="1.0" encoding="utf-8"?>
<formControlPr xmlns="http://schemas.microsoft.com/office/spreadsheetml/2009/9/main" objectType="CheckBox" fmlaLink="ber_AanvullendeAfsprakenNeo!$F$22" lockText="1"/>
</file>

<file path=xl/ctrlProps/ctrlProp882.xml><?xml version="1.0" encoding="utf-8"?>
<formControlPr xmlns="http://schemas.microsoft.com/office/spreadsheetml/2009/9/main" objectType="CheckBox" fmlaLink="ber_AanvullendeAfsprakenNeo!$H$9" lockText="1"/>
</file>

<file path=xl/ctrlProps/ctrlProp883.xml><?xml version="1.0" encoding="utf-8"?>
<formControlPr xmlns="http://schemas.microsoft.com/office/spreadsheetml/2009/9/main" objectType="CheckBox" fmlaLink="ber_AanvullendeAfsprakenNeo!$H$10" lockText="1"/>
</file>

<file path=xl/ctrlProps/ctrlProp884.xml><?xml version="1.0" encoding="utf-8"?>
<formControlPr xmlns="http://schemas.microsoft.com/office/spreadsheetml/2009/9/main" objectType="CheckBox" fmlaLink="ber_AanvullendeAfsprakenNeo!$H$11" lockText="1"/>
</file>

<file path=xl/ctrlProps/ctrlProp885.xml><?xml version="1.0" encoding="utf-8"?>
<formControlPr xmlns="http://schemas.microsoft.com/office/spreadsheetml/2009/9/main" objectType="CheckBox" fmlaLink="ber_AanvullendeAfsprakenNeo!$H$8" lockText="1"/>
</file>

<file path=xl/ctrlProps/ctrlProp886.xml><?xml version="1.0" encoding="utf-8"?>
<formControlPr xmlns="http://schemas.microsoft.com/office/spreadsheetml/2009/9/main" objectType="CheckBox" fmlaLink="ber_AanvullendeAfsprakenNeo!$F$12" lockText="1"/>
</file>

<file path=xl/ctrlProps/ctrlProp887.xml><?xml version="1.0" encoding="utf-8"?>
<formControlPr xmlns="http://schemas.microsoft.com/office/spreadsheetml/2009/9/main" objectType="CheckBox" fmlaLink="ber_AanvullendeAfsprakenNeo!$H$13" lockText="1"/>
</file>

<file path=xl/ctrlProps/ctrlProp888.xml><?xml version="1.0" encoding="utf-8"?>
<formControlPr xmlns="http://schemas.microsoft.com/office/spreadsheetml/2009/9/main" objectType="CheckBox" fmlaLink="ber_AanvullendeAfsprakenNeo!$H$15" lockText="1"/>
</file>

<file path=xl/ctrlProps/ctrlProp889.xml><?xml version="1.0" encoding="utf-8"?>
<formControlPr xmlns="http://schemas.microsoft.com/office/spreadsheetml/2009/9/main" objectType="CheckBox" fmlaLink="ber_AanvullendeAfsprakenNeo!$H$16" lockText="1"/>
</file>

<file path=xl/ctrlProps/ctrlProp890.xml><?xml version="1.0" encoding="utf-8"?>
<formControlPr xmlns="http://schemas.microsoft.com/office/spreadsheetml/2009/9/main" objectType="CheckBox" fmlaLink="ber_AanvullendeAfsprakenNeo!$H$18" lockText="1"/>
</file>

<file path=xl/ctrlProps/ctrlProp891.xml><?xml version="1.0" encoding="utf-8"?>
<formControlPr xmlns="http://schemas.microsoft.com/office/spreadsheetml/2009/9/main" objectType="CheckBox" fmlaLink="ber_AanvullendeAfsprakenNeo!$H$20" lockText="1"/>
</file>

<file path=xl/ctrlProps/ctrlProp892.xml><?xml version="1.0" encoding="utf-8"?>
<formControlPr xmlns="http://schemas.microsoft.com/office/spreadsheetml/2009/9/main" objectType="CheckBox" fmlaLink="ber_AanvullendeAfsprakenNeo!$H$19" lockText="1"/>
</file>

<file path=xl/ctrlProps/ctrlProp893.xml><?xml version="1.0" encoding="utf-8"?>
<formControlPr xmlns="http://schemas.microsoft.com/office/spreadsheetml/2009/9/main" objectType="CheckBox" fmlaLink="ber_AanvullendeAfsprakenNeo!$H$22" lockText="1"/>
</file>

<file path=xl/ctrlProps/ctrlProp894.xml><?xml version="1.0" encoding="utf-8"?>
<formControlPr xmlns="http://schemas.microsoft.com/office/spreadsheetml/2009/9/main" objectType="CheckBox" fmlaLink="ber_AanvullendeAfsprakenNeo!$F$23" lockText="1"/>
</file>

<file path=xl/ctrlProps/ctrlProp895.xml><?xml version="1.0" encoding="utf-8"?>
<formControlPr xmlns="http://schemas.microsoft.com/office/spreadsheetml/2009/9/main" objectType="CheckBox" fmlaLink="ber_AanvullendeAfsprakenNeo!$H$23" lockText="1"/>
</file>

<file path=xl/ctrlProps/ctrlProp896.xml><?xml version="1.0" encoding="utf-8"?>
<formControlPr xmlns="http://schemas.microsoft.com/office/spreadsheetml/2009/9/main" objectType="CheckBox" fmlaLink="ber_AanvullendeAfsprakenNeo!$H$24" lockText="1"/>
</file>

<file path=xl/ctrlProps/ctrlProp897.xml><?xml version="1.0" encoding="utf-8"?>
<formControlPr xmlns="http://schemas.microsoft.com/office/spreadsheetml/2009/9/main" objectType="CheckBox" fmlaLink="ber_AanvullendeAfsprakenNeo!$H$25" lockText="1"/>
</file>

<file path=xl/ctrlProps/ctrlProp898.xml><?xml version="1.0" encoding="utf-8"?>
<formControlPr xmlns="http://schemas.microsoft.com/office/spreadsheetml/2009/9/main" objectType="CheckBox" fmlaLink="ber_AanvullendeAfsprakenNeo!$H$26" lockText="1"/>
</file>

<file path=xl/ctrlProps/ctrlProp899.xml><?xml version="1.0" encoding="utf-8"?>
<formControlPr xmlns="http://schemas.microsoft.com/office/spreadsheetml/2009/9/main" objectType="CheckBox" fmlaLink="ber_AanvullendeAfsprakenNeo!$H$27" lockText="1"/>
</file>

<file path=xl/ctrlProps/ctrlProp900.xml><?xml version="1.0" encoding="utf-8"?>
<formControlPr xmlns="http://schemas.microsoft.com/office/spreadsheetml/2009/9/main" objectType="CheckBox" fmlaLink="ber_AanvullendeAfsprakenNeo!$H$28" lockText="1"/>
</file>

<file path=xl/ctrlProps/ctrlProp901.xml><?xml version="1.0" encoding="utf-8"?>
<formControlPr xmlns="http://schemas.microsoft.com/office/spreadsheetml/2009/9/main" objectType="CheckBox" fmlaLink="ber_AanvullendeAfsprakenNeo!$H$29" lockText="1"/>
</file>

<file path=xl/ctrlProps/ctrlProp902.xml><?xml version="1.0" encoding="utf-8"?>
<formControlPr xmlns="http://schemas.microsoft.com/office/spreadsheetml/2009/9/main" objectType="CheckBox" fmlaLink="ber_AanvullendeAfsprakenNeo!$H$30" lockText="1"/>
</file>

<file path=xl/ctrlProps/ctrlProp903.xml><?xml version="1.0" encoding="utf-8"?>
<formControlPr xmlns="http://schemas.microsoft.com/office/spreadsheetml/2009/9/main" objectType="CheckBox" fmlaLink="ber_AanvullendeAfsprakenNeo!$F$31" lockText="1"/>
</file>

<file path=xl/ctrlProps/ctrlProp904.xml><?xml version="1.0" encoding="utf-8"?>
<formControlPr xmlns="http://schemas.microsoft.com/office/spreadsheetml/2009/9/main" objectType="CheckBox" fmlaLink="ber_AanvullendeAfsprakenNeo!$J$7" lockText="1"/>
</file>

<file path=xl/ctrlProps/ctrlProp905.xml><?xml version="1.0" encoding="utf-8"?>
<formControlPr xmlns="http://schemas.microsoft.com/office/spreadsheetml/2009/9/main" objectType="CheckBox" fmlaLink="ber_AanvullendeAfsprakenNeo!$J$8" lockText="1"/>
</file>

<file path=xl/ctrlProps/ctrlProp906.xml><?xml version="1.0" encoding="utf-8"?>
<formControlPr xmlns="http://schemas.microsoft.com/office/spreadsheetml/2009/9/main" objectType="CheckBox" fmlaLink="ber_AanvullendeAfsprakenNeo!$J$9" lockText="1"/>
</file>

<file path=xl/ctrlProps/ctrlProp907.xml><?xml version="1.0" encoding="utf-8"?>
<formControlPr xmlns="http://schemas.microsoft.com/office/spreadsheetml/2009/9/main" objectType="CheckBox" fmlaLink="ber_AanvullendeAfsprakenNeo!$J$10" lockText="1"/>
</file>

<file path=xl/ctrlProps/ctrlProp908.xml><?xml version="1.0" encoding="utf-8"?>
<formControlPr xmlns="http://schemas.microsoft.com/office/spreadsheetml/2009/9/main" objectType="CheckBox" fmlaLink="ber_AanvullendeAfsprakenNeo!$J$12" lockText="1"/>
</file>

<file path=xl/ctrlProps/ctrlProp909.xml><?xml version="1.0" encoding="utf-8"?>
<formControlPr xmlns="http://schemas.microsoft.com/office/spreadsheetml/2009/9/main" objectType="CheckBox" fmlaLink="ber_AanvullendeAfsprakenNeo!$J$13" lockText="1"/>
</file>

<file path=xl/ctrlProps/ctrlProp910.xml><?xml version="1.0" encoding="utf-8"?>
<formControlPr xmlns="http://schemas.microsoft.com/office/spreadsheetml/2009/9/main" objectType="CheckBox" fmlaLink="ber_AanvullendeAfsprakenNeo!$J$14" lockText="1"/>
</file>

<file path=xl/ctrlProps/ctrlProp911.xml><?xml version="1.0" encoding="utf-8"?>
<formControlPr xmlns="http://schemas.microsoft.com/office/spreadsheetml/2009/9/main" objectType="CheckBox" fmlaLink="ber_AanvullendeAfsprakenNeo!$J$15" lockText="1"/>
</file>

<file path=xl/ctrlProps/ctrlProp912.xml><?xml version="1.0" encoding="utf-8"?>
<formControlPr xmlns="http://schemas.microsoft.com/office/spreadsheetml/2009/9/main" objectType="CheckBox" fmlaLink="ber_AanvullendeAfsprakenNeo!$J$16" lockText="1"/>
</file>

<file path=xl/ctrlProps/ctrlProp913.xml><?xml version="1.0" encoding="utf-8"?>
<formControlPr xmlns="http://schemas.microsoft.com/office/spreadsheetml/2009/9/main" objectType="CheckBox" fmlaLink="ber_AanvullendeAfsprakenNeo!$J$19" lockText="1"/>
</file>

<file path=xl/ctrlProps/ctrlProp914.xml><?xml version="1.0" encoding="utf-8"?>
<formControlPr xmlns="http://schemas.microsoft.com/office/spreadsheetml/2009/9/main" objectType="CheckBox" fmlaLink="ber_AanvullendeAfsprakenNeo!$J$17" lockText="1"/>
</file>

<file path=xl/ctrlProps/ctrlProp915.xml><?xml version="1.0" encoding="utf-8"?>
<formControlPr xmlns="http://schemas.microsoft.com/office/spreadsheetml/2009/9/main" objectType="CheckBox" fmlaLink="ber_AanvullendeAfsprakenNeo!$J$24" lockText="1"/>
</file>

<file path=xl/ctrlProps/ctrlProp916.xml><?xml version="1.0" encoding="utf-8"?>
<formControlPr xmlns="http://schemas.microsoft.com/office/spreadsheetml/2009/9/main" objectType="CheckBox" fmlaLink="ber_AanvullendeAfsprakenNeo!$L$24" lockText="1"/>
</file>

<file path=xl/ctrlProps/ctrlProp917.xml><?xml version="1.0" encoding="utf-8"?>
<formControlPr xmlns="http://schemas.microsoft.com/office/spreadsheetml/2009/9/main" objectType="CheckBox" fmlaLink="ber_AanvullendeAfsprakenNeo!$L$25" lockText="1"/>
</file>

<file path=xl/ctrlProps/ctrlProp918.xml><?xml version="1.0" encoding="utf-8"?>
<formControlPr xmlns="http://schemas.microsoft.com/office/spreadsheetml/2009/9/main" objectType="CheckBox" fmlaLink="ber_AanvullendeAfsprakenNeo!$L$26" lockText="1"/>
</file>

<file path=xl/ctrlProps/ctrlProp919.xml><?xml version="1.0" encoding="utf-8"?>
<formControlPr xmlns="http://schemas.microsoft.com/office/spreadsheetml/2009/9/main" objectType="CheckBox" fmlaLink="ber_AanvullendeAfsprakenNeo!$L$27" lockText="1"/>
</file>

<file path=xl/ctrlProps/ctrlProp920.xml><?xml version="1.0" encoding="utf-8"?>
<formControlPr xmlns="http://schemas.microsoft.com/office/spreadsheetml/2009/9/main" objectType="CheckBox" fmlaLink="ber_AanvullendeAfsprakenNeo!$J$20" lockText="1"/>
</file>

<file path=xl/ctrlProps/ctrlProp921.xml><?xml version="1.0" encoding="utf-8"?>
<formControlPr xmlns="http://schemas.microsoft.com/office/spreadsheetml/2009/9/main" objectType="CheckBox" fmlaLink="ber_AanvullendeAfsprakenNeo!$L$21" lockText="1"/>
</file>

<file path=xl/ctrlProps/ctrlProp922.xml><?xml version="1.0" encoding="utf-8"?>
<formControlPr xmlns="http://schemas.microsoft.com/office/spreadsheetml/2009/9/main" objectType="CheckBox" fmlaLink="ber_AanvullendeAfsprakenNeo!$L$22" lockText="1"/>
</file>

<file path=xl/ctrlProps/ctrlProp923.xml><?xml version="1.0" encoding="utf-8"?>
<formControlPr xmlns="http://schemas.microsoft.com/office/spreadsheetml/2009/9/main" objectType="CheckBox" fmlaLink="ber_AanvullendeAfsprakenNeo!$L$23" lockText="1"/>
</file>

<file path=xl/ctrlProps/ctrlProp924.xml><?xml version="1.0" encoding="utf-8"?>
<formControlPr xmlns="http://schemas.microsoft.com/office/spreadsheetml/2009/9/main" objectType="Spin" dx="15" fmlaLink="ber_AanvullendeAfsprakenNeo!$B$12" max="24" page="10" val="0"/>
</file>

<file path=xl/ctrlProps/ctrlProp925.xml><?xml version="1.0" encoding="utf-8"?>
<formControlPr xmlns="http://schemas.microsoft.com/office/spreadsheetml/2009/9/main" objectType="Spin" dx="15" fmlaLink="ber_AanvullendeAfsprakenNeo!$K$17" max="24" page="10" val="0"/>
</file>

<file path=xl/ctrlProps/ctrlProp926.xml><?xml version="1.0" encoding="utf-8"?>
<formControlPr xmlns="http://schemas.microsoft.com/office/spreadsheetml/2009/9/main" objectType="Spin" dx="15" fmlaLink="ber_AanvullendeAfsprakenNeo!$L$17" max="1000" page="10" val="0"/>
</file>

<file path=xl/ctrlProps/ctrlProp927.xml><?xml version="1.0" encoding="utf-8"?>
<formControlPr xmlns="http://schemas.microsoft.com/office/spreadsheetml/2009/9/main" objectType="CheckBox" fmlaLink="ber_AanvullendeAfsprakenNeo!$B$27" lockText="1"/>
</file>

<file path=xl/ctrlProps/ctrlProp928.xml><?xml version="1.0" encoding="utf-8"?>
<formControlPr xmlns="http://schemas.microsoft.com/office/spreadsheetml/2009/9/main" objectType="CheckBox" fmlaLink="ber_AanvullendeAfsprakenNeo!$B$28" lockText="1"/>
</file>

<file path=xl/ctrlProps/ctrlProp929.xml><?xml version="1.0" encoding="utf-8"?>
<formControlPr xmlns="http://schemas.microsoft.com/office/spreadsheetml/2009/9/main" objectType="CheckBox" fmlaLink="ber_AanvullendeAfsprakenNeo!$B$29" lockText="1"/>
</file>

<file path=xl/ctrlProps/ctrlProp930.xml><?xml version="1.0" encoding="utf-8"?>
<formControlPr xmlns="http://schemas.microsoft.com/office/spreadsheetml/2009/9/main" objectType="CheckBox" fmlaLink="ber_AanvullendeAfsprakenNeo!$B$30" lockText="1"/>
</file>

<file path=xl/ctrlProps/ctrlProp931.xml><?xml version="1.0" encoding="utf-8"?>
<formControlPr xmlns="http://schemas.microsoft.com/office/spreadsheetml/2009/9/main" objectType="CheckBox" fmlaLink="ber_AanvullendeAfsprakenNeo!$B$34" lockText="1"/>
</file>

<file path=xl/ctrlProps/ctrlProp932.xml><?xml version="1.0" encoding="utf-8"?>
<formControlPr xmlns="http://schemas.microsoft.com/office/spreadsheetml/2009/9/main" objectType="CheckBox" fmlaLink="ber_AanvullendeAfsprakenNeo!$D$35" lockText="1"/>
</file>

<file path=xl/ctrlProps/ctrlProp933.xml><?xml version="1.0" encoding="utf-8"?>
<formControlPr xmlns="http://schemas.microsoft.com/office/spreadsheetml/2009/9/main" objectType="CheckBox" fmlaLink="ber_AanvullendeAfsprakenNeo!$D$36" lockText="1"/>
</file>

<file path=xl/ctrlProps/ctrlProp934.xml><?xml version="1.0" encoding="utf-8"?>
<formControlPr xmlns="http://schemas.microsoft.com/office/spreadsheetml/2009/9/main" objectType="Drop" dropStyle="combo" dx="16" fmlaLink="ber_AanvullendeAfsprakenNeo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ber_AanvullendeAfsprakenNeo!$B$37" lockText="1"/>
</file>

<file path=xl/ctrlProps/ctrlProp936.xml><?xml version="1.0" encoding="utf-8"?>
<formControlPr xmlns="http://schemas.microsoft.com/office/spreadsheetml/2009/9/main" objectType="Drop" dropStyle="combo" dx="16" fmlaLink="ber_AanvullendeAfsprakenNeo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ber_AanvullendeAfsprakenNeo!$B$7" lockText="1"/>
</file>

<file path=xl/ctrlProps/ctrlProp938.xml><?xml version="1.0" encoding="utf-8"?>
<formControlPr xmlns="http://schemas.microsoft.com/office/spreadsheetml/2009/9/main" objectType="CheckBox" fmlaLink="ber_AanvullendeAfsprakenNeo!$B$8" lockText="1"/>
</file>

<file path=xl/ctrlProps/ctrlProp939.xml><?xml version="1.0" encoding="utf-8"?>
<formControlPr xmlns="http://schemas.microsoft.com/office/spreadsheetml/2009/9/main" objectType="CheckBox" fmlaLink="ber_AanvullendeAfsprakenNeo!$B$9" lockText="1"/>
</file>

<file path=xl/ctrlProps/ctrlProp940.xml><?xml version="1.0" encoding="utf-8"?>
<formControlPr xmlns="http://schemas.microsoft.com/office/spreadsheetml/2009/9/main" objectType="CheckBox" fmlaLink="ber_AanvullendeAfsprakenNeo!$B$10" lockText="1"/>
</file>

<file path=xl/ctrlProps/ctrlProp941.xml><?xml version="1.0" encoding="utf-8"?>
<formControlPr xmlns="http://schemas.microsoft.com/office/spreadsheetml/2009/9/main" objectType="CheckBox" fmlaLink="ber_AanvullendeAfsprakenNeo!$B$22" lockText="1"/>
</file>

<file path=xl/ctrlProps/ctrlProp942.xml><?xml version="1.0" encoding="utf-8"?>
<formControlPr xmlns="http://schemas.microsoft.com/office/spreadsheetml/2009/9/main" objectType="Drop" dropStyle="combo" dx="16" fmlaLink="ber_AanvullendeAfsprakenNeo!$D$22" fmlaRange="Aanvullend_aEEG" noThreeD="1" sel="0" val="0"/>
</file>

<file path=xl/ctrlProps/ctrlProp943.xml><?xml version="1.0" encoding="utf-8"?>
<formControlPr xmlns="http://schemas.microsoft.com/office/spreadsheetml/2009/9/main" objectType="CheckBox" fmlaLink="ber_AanvullendeAfsprakenNeo!$B$23" lockText="1"/>
</file>

<file path=xl/ctrlProps/ctrlProp944.xml><?xml version="1.0" encoding="utf-8"?>
<formControlPr xmlns="http://schemas.microsoft.com/office/spreadsheetml/2009/9/main" objectType="CheckBox" fmlaLink="ber_AanvullendeAfsprakenNeo!$B$25" lockText="1"/>
</file>

<file path=xl/ctrlProps/ctrlProp945.xml><?xml version="1.0" encoding="utf-8"?>
<formControlPr xmlns="http://schemas.microsoft.com/office/spreadsheetml/2009/9/main" objectType="CheckBox" fmlaLink="ber_AanvullendeAfsprakenNeo!$B$26" lockText="1"/>
</file>

<file path=xl/ctrlProps/ctrlProp946.xml><?xml version="1.0" encoding="utf-8"?>
<formControlPr xmlns="http://schemas.microsoft.com/office/spreadsheetml/2009/9/main" objectType="CheckBox" fmlaLink="ber_AanvullendeAfsprakenNeo!$B$24" lockText="1"/>
</file>

<file path=xl/ctrlProps/ctrlProp947.xml><?xml version="1.0" encoding="utf-8"?>
<formControlPr xmlns="http://schemas.microsoft.com/office/spreadsheetml/2009/9/main" objectType="CheckBox" fmlaLink="ber_AanvullendeAfsprakenNeo!$B$31" lockText="1"/>
</file>

<file path=xl/ctrlProps/ctrlProp948.xml><?xml version="1.0" encoding="utf-8"?>
<formControlPr xmlns="http://schemas.microsoft.com/office/spreadsheetml/2009/9/main" objectType="CheckBox" fmlaLink="ber_AanvullendeAfsprakenNeo!$B$32" lockText="1"/>
</file>

<file path=xl/ctrlProps/ctrlProp949.xml><?xml version="1.0" encoding="utf-8"?>
<formControlPr xmlns="http://schemas.microsoft.com/office/spreadsheetml/2009/9/main" objectType="CheckBox" fmlaLink="ber_AanvullendeAfsprakenNeo!$B$11" lockText="1"/>
</file>

<file path=xl/ctrlProps/ctrlProp950.xml><?xml version="1.0" encoding="utf-8"?>
<formControlPr xmlns="http://schemas.microsoft.com/office/spreadsheetml/2009/9/main" objectType="CheckBox" fmlaLink="ber_AanvullendeAfsprakenNeo!$B$15" lockText="1"/>
</file>

<file path=xl/ctrlProps/ctrlProp951.xml><?xml version="1.0" encoding="utf-8"?>
<formControlPr xmlns="http://schemas.microsoft.com/office/spreadsheetml/2009/9/main" objectType="CheckBox" fmlaLink="ber_AanvullendeAfsprakenNeo!$B$16" lockText="1"/>
</file>

<file path=xl/ctrlProps/ctrlProp952.xml><?xml version="1.0" encoding="utf-8"?>
<formControlPr xmlns="http://schemas.microsoft.com/office/spreadsheetml/2009/9/main" objectType="CheckBox" fmlaLink="ber_AanvullendeAfsprakenNeo!$B$17" lockText="1"/>
</file>

<file path=xl/ctrlProps/ctrlProp953.xml><?xml version="1.0" encoding="utf-8"?>
<formControlPr xmlns="http://schemas.microsoft.com/office/spreadsheetml/2009/9/main" objectType="CheckBox" fmlaLink="ber_AanvullendeAfsprakenNeo!$B$19" lockText="1"/>
</file>

<file path=xl/ctrlProps/ctrlProp954.xml><?xml version="1.0" encoding="utf-8"?>
<formControlPr xmlns="http://schemas.microsoft.com/office/spreadsheetml/2009/9/main" objectType="CheckBox" fmlaLink="ber_AanvullendeAfsprakenNeo!$D$11" lockText="1"/>
</file>

<file path=xl/ctrlProps/ctrlProp955.xml><?xml version="1.0" encoding="utf-8"?>
<formControlPr xmlns="http://schemas.microsoft.com/office/spreadsheetml/2009/9/main" objectType="CheckBox" fmlaLink="ber_AanvullendeAfsprakenNeo!$D$12" lockText="1"/>
</file>

<file path=xl/ctrlProps/ctrlProp956.xml><?xml version="1.0" encoding="utf-8"?>
<formControlPr xmlns="http://schemas.microsoft.com/office/spreadsheetml/2009/9/main" objectType="CheckBox" fmlaLink="ber_AanvullendeAfsprakenNeo!$D$13" lockText="1"/>
</file>

<file path=xl/ctrlProps/ctrlProp957.xml><?xml version="1.0" encoding="utf-8"?>
<formControlPr xmlns="http://schemas.microsoft.com/office/spreadsheetml/2009/9/main" objectType="CheckBox" fmlaLink="ber_AanvullendeAfsprakenNeo!$D$14" lockText="1"/>
</file>

<file path=xl/ctrlProps/ctrlProp958.xml><?xml version="1.0" encoding="utf-8"?>
<formControlPr xmlns="http://schemas.microsoft.com/office/spreadsheetml/2009/9/main" objectType="Spin" dx="15" fmlaLink="ber_AanvullendeAfsprakenNeo!$D$27" max="97" min="1" page="10"/>
</file>

<file path=xl/ctrlProps/ctrlProp959.xml><?xml version="1.0" encoding="utf-8"?>
<formControlPr xmlns="http://schemas.microsoft.com/office/spreadsheetml/2009/9/main" objectType="Drop" dropStyle="combo" dx="16" fmlaLink="ber_AanvullendeAfsprakenNeo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ber_AanvullendeAfsprakenNeo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ber_AanvullendeAfsprakenNeo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ber_AanvullendeAfsprakenNeo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ber_AanvullendeAfsprakenNeo!$D$35" lockText="1"/>
</file>

<file path=xl/ctrlProps/ctrlProp964.xml><?xml version="1.0" encoding="utf-8"?>
<formControlPr xmlns="http://schemas.microsoft.com/office/spreadsheetml/2009/9/main" objectType="CheckBox" fmlaLink="ber_AanvullendeAfsprakenNeo!$D$36" lockText="1"/>
</file>

<file path=xl/ctrlProps/ctrlProp965.xml><?xml version="1.0" encoding="utf-8"?>
<formControlPr xmlns="http://schemas.microsoft.com/office/spreadsheetml/2009/9/main" objectType="CheckBox" fmlaLink="ber_AanvullendeAfsprakenNeo!$B$40" lockText="1"/>
</file>

<file path=xl/ctrlProps/ctrlProp966.xml><?xml version="1.0" encoding="utf-8"?>
<formControlPr xmlns="http://schemas.microsoft.com/office/spreadsheetml/2009/9/main" objectType="Drop" dropStyle="combo" dx="16" fmlaLink="ber_AanvullendeAfsprakenNeo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ber_AanvullendeAfsprakenNeo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ber_AanvullendeAfsprakenNeo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ber_AanvullendeAfsprakenNeo!$B$43" lockText="1"/>
</file>

<file path=xl/ctrlProps/ctrlProp970.xml><?xml version="1.0" encoding="utf-8"?>
<formControlPr xmlns="http://schemas.microsoft.com/office/spreadsheetml/2009/9/main" objectType="CheckBox" fmlaLink="ber_AanvullendeAfsprakenNeo!$B$45" lockText="1"/>
</file>

<file path=xl/ctrlProps/ctrlProp971.xml><?xml version="1.0" encoding="utf-8"?>
<formControlPr xmlns="http://schemas.microsoft.com/office/spreadsheetml/2009/9/main" objectType="CheckBox" fmlaLink="ber_AanvullendeAfsprakenNeo!$B$44" lockText="1"/>
</file>

<file path=xl/ctrlProps/ctrlProp972.xml><?xml version="1.0" encoding="utf-8"?>
<formControlPr xmlns="http://schemas.microsoft.com/office/spreadsheetml/2009/9/main" objectType="CheckBox" fmlaLink="ber_AanvullendeAfsprakenNeo!$D$43" lockText="1"/>
</file>

<file path=xl/ctrlProps/ctrlProp973.xml><?xml version="1.0" encoding="utf-8"?>
<formControlPr xmlns="http://schemas.microsoft.com/office/spreadsheetml/2009/9/main" objectType="CheckBox" fmlaLink="ber_AanvullendeAfsprakenNeo!$D$44" lockText="1"/>
</file>

<file path=xl/ctrlProps/ctrlProp974.xml><?xml version="1.0" encoding="utf-8"?>
<formControlPr xmlns="http://schemas.microsoft.com/office/spreadsheetml/2009/9/main" objectType="CheckBox" fmlaLink="ber_AanvullendeAfsprakenNeo!$D$45" lockText="1"/>
</file>

<file path=xl/ctrlProps/ctrlProp975.xml><?xml version="1.0" encoding="utf-8"?>
<formControlPr xmlns="http://schemas.microsoft.com/office/spreadsheetml/2009/9/main" objectType="Drop" dropStyle="combo" dx="16" fmlaLink="ber_AanvullendeAfsprakenNeo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ber_AanvullendeAfsprakenNeo!$D$47" max="100" page="10" val="0"/>
</file>

<file path=xl/ctrlProps/ctrlProp977.xml><?xml version="1.0" encoding="utf-8"?>
<formControlPr xmlns="http://schemas.microsoft.com/office/spreadsheetml/2009/9/main" objectType="CheckBox" fmlaLink="ber_AanvullendeAfsprakenNeo!$B$46" lockText="1"/>
</file>

<file path=xl/ctrlProps/ctrlProp978.xml><?xml version="1.0" encoding="utf-8"?>
<formControlPr xmlns="http://schemas.microsoft.com/office/spreadsheetml/2009/9/main" objectType="CheckBox" fmlaLink="ber_AanvullendeAfsprakenNeo!$L$28" lockText="1"/>
</file>

<file path=xl/ctrlProps/ctrlProp979.xml><?xml version="1.0" encoding="utf-8"?>
<formControlPr xmlns="http://schemas.microsoft.com/office/spreadsheetml/2009/9/main" objectType="Spin" dx="15" fmlaLink="ber_AanvullendeAfsprakenNeo!$C$8" max="10" page="10" val="0"/>
</file>

<file path=xl/ctrlProps/ctrlProp980.xml><?xml version="1.0" encoding="utf-8"?>
<formControlPr xmlns="http://schemas.microsoft.com/office/spreadsheetml/2009/9/main" objectType="Spin" dx="15" fmlaLink="ber_AanvullendeAfsprakenPed!$C$8" max="10" page="10" val="0"/>
</file>

<file path=xl/ctrlProps/ctrlProp981.xml><?xml version="1.0" encoding="utf-8"?>
<formControlPr xmlns="http://schemas.microsoft.com/office/spreadsheetml/2009/9/main" objectType="Drop" dropStyle="combo" dx="16" fmlaLink="ber_AanvullendeAfsprakenNeo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ber_AanvullendeAfsprakenNeo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ber_AanvullendeAfsprakenPed!$C$8" max="10" page="10" val="0"/>
</file>

<file path=xl/ctrlProps/ctrlProp984.xml><?xml version="1.0" encoding="utf-8"?>
<formControlPr xmlns="http://schemas.microsoft.com/office/spreadsheetml/2009/9/main" objectType="Spin" dx="15" fmlaLink="ber_AanvullendeAfsprakenNeo!$C$9" max="10" page="10" val="0"/>
</file>

<file path=xl/ctrlProps/ctrlProp985.xml><?xml version="1.0" encoding="utf-8"?>
<formControlPr xmlns="http://schemas.microsoft.com/office/spreadsheetml/2009/9/main" objectType="Spin" dx="15" fmlaLink="ber_AanvullendeAfsprakenNeo!$K$20" max="24" page="10" val="0"/>
</file>

<file path=xl/ctrlProps/ctrlProp986.xml><?xml version="1.0" encoding="utf-8"?>
<formControlPr xmlns="http://schemas.microsoft.com/office/spreadsheetml/2009/9/main" objectType="CheckBox" fmlaLink="ber_AanvullendeAfsprakenNeo!$J$29" lockText="1"/>
</file>

<file path=xl/ctrlProps/ctrlProp987.xml><?xml version="1.0" encoding="utf-8"?>
<formControlPr xmlns="http://schemas.microsoft.com/office/spreadsheetml/2009/9/main" objectType="Spin" dx="15" fmlaLink="ber_AanvullendeAfsprakenNeo!$K$29" max="3" page="10" val="0"/>
</file>

<file path=xl/ctrlProps/ctrlProp988.xml><?xml version="1.0" encoding="utf-8"?>
<formControlPr xmlns="http://schemas.microsoft.com/office/spreadsheetml/2009/9/main" objectType="CheckBox" fmlaLink="ber_AanvullendeAfsprakenNeo!$B$18" lockText="1"/>
</file>

<file path=xl/ctrlProps/ctrlProp989.xml><?xml version="1.0" encoding="utf-8"?>
<formControlPr xmlns="http://schemas.microsoft.com/office/spreadsheetml/2009/9/main" objectType="Spin" dx="15" fmlaLink="ber_AanvullendeAfsprakenPed!$C$8" max="10" page="10" val="0"/>
</file>

<file path=xl/ctrlProps/ctrlProp990.xml><?xml version="1.0" encoding="utf-8"?>
<formControlPr xmlns="http://schemas.microsoft.com/office/spreadsheetml/2009/9/main" objectType="Drop" dropStyle="combo" dx="16" fmlaLink="ber_AanvullendeAfsprakenNeo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ber_AanvullendeAfsprakenPed!$C$8" max="10" page="10" val="0"/>
</file>

<file path=xl/ctrlProps/ctrlProp992.xml><?xml version="1.0" encoding="utf-8"?>
<formControlPr xmlns="http://schemas.microsoft.com/office/spreadsheetml/2009/9/main" objectType="Spin" dx="15" fmlaLink="ber_AanvullendeAfsprakenNeo!$C$18" max="10" page="10" val="0"/>
</file>

<file path=xl/ctrlProps/ctrlProp993.xml><?xml version="1.0" encoding="utf-8"?>
<formControlPr xmlns="http://schemas.microsoft.com/office/spreadsheetml/2009/9/main" objectType="CheckBox" fmlaLink="Ber_Lab_Neo!$C$4" lockText="1"/>
</file>

<file path=xl/ctrlProps/ctrlProp994.xml><?xml version="1.0" encoding="utf-8"?>
<formControlPr xmlns="http://schemas.microsoft.com/office/spreadsheetml/2009/9/main" objectType="CheckBox" fmlaLink="Ber_Lab_Neo!C5" lockText="1"/>
</file>

<file path=xl/ctrlProps/ctrlProp995.xml><?xml version="1.0" encoding="utf-8"?>
<formControlPr xmlns="http://schemas.microsoft.com/office/spreadsheetml/2009/9/main" objectType="CheckBox" fmlaLink="Ber_Lab_Neo!C7" lockText="1"/>
</file>

<file path=xl/ctrlProps/ctrlProp996.xml><?xml version="1.0" encoding="utf-8"?>
<formControlPr xmlns="http://schemas.microsoft.com/office/spreadsheetml/2009/9/main" objectType="CheckBox" fmlaLink="Ber_Lab_Neo!C8" lockText="1"/>
</file>

<file path=xl/ctrlProps/ctrlProp997.xml><?xml version="1.0" encoding="utf-8"?>
<formControlPr xmlns="http://schemas.microsoft.com/office/spreadsheetml/2009/9/main" objectType="CheckBox" fmlaLink="Ber_Lab_Neo!C14" lockText="1"/>
</file>

<file path=xl/ctrlProps/ctrlProp998.xml><?xml version="1.0" encoding="utf-8"?>
<formControlPr xmlns="http://schemas.microsoft.com/office/spreadsheetml/2009/9/main" objectType="CheckBox" fmlaLink="Ber_Lab_Neo!C13" lockText="1"/>
</file>

<file path=xl/ctrlProps/ctrlProp999.xml><?xml version="1.0" encoding="utf-8"?>
<formControlPr xmlns="http://schemas.microsoft.com/office/spreadsheetml/2009/9/main" objectType="CheckBox" fmlaLink="Ber_Lab_Neo!C30" lockText="1"/>
</file>

<file path=xl/ctrlProps/ctrlProp1000.xml><?xml version="1.0" encoding="utf-8"?>
<formControlPr xmlns="http://schemas.microsoft.com/office/spreadsheetml/2009/9/main" objectType="CheckBox" fmlaLink="Ber_Lab_Neo!C16" lockText="1"/>
</file>

<file path=xl/ctrlProps/ctrlProp1001.xml><?xml version="1.0" encoding="utf-8"?>
<formControlPr xmlns="http://schemas.microsoft.com/office/spreadsheetml/2009/9/main" objectType="CheckBox" fmlaLink="Ber_Lab_Neo!C19" lockText="1"/>
</file>

<file path=xl/ctrlProps/ctrlProp1002.xml><?xml version="1.0" encoding="utf-8"?>
<formControlPr xmlns="http://schemas.microsoft.com/office/spreadsheetml/2009/9/main" objectType="CheckBox" fmlaLink="Ber_Lab_Neo!C20" lockText="1"/>
</file>

<file path=xl/ctrlProps/ctrlProp1003.xml><?xml version="1.0" encoding="utf-8"?>
<formControlPr xmlns="http://schemas.microsoft.com/office/spreadsheetml/2009/9/main" objectType="CheckBox" fmlaLink="Ber_Lab_Neo!C21" lockText="1"/>
</file>

<file path=xl/ctrlProps/ctrlProp1004.xml><?xml version="1.0" encoding="utf-8"?>
<formControlPr xmlns="http://schemas.microsoft.com/office/spreadsheetml/2009/9/main" objectType="CheckBox" fmlaLink="Ber_Lab_Neo!C12" lockText="1"/>
</file>

<file path=xl/ctrlProps/ctrlProp1005.xml><?xml version="1.0" encoding="utf-8"?>
<formControlPr xmlns="http://schemas.microsoft.com/office/spreadsheetml/2009/9/main" objectType="CheckBox" fmlaLink="Ber_Lab_Neo!C28" lockText="1"/>
</file>

<file path=xl/ctrlProps/ctrlProp1006.xml><?xml version="1.0" encoding="utf-8"?>
<formControlPr xmlns="http://schemas.microsoft.com/office/spreadsheetml/2009/9/main" objectType="CheckBox" fmlaLink="Ber_Lab_Neo!$G$4" lockText="1"/>
</file>

<file path=xl/ctrlProps/ctrlProp1007.xml><?xml version="1.0" encoding="utf-8"?>
<formControlPr xmlns="http://schemas.microsoft.com/office/spreadsheetml/2009/9/main" objectType="CheckBox" fmlaLink="Ber_Lab_Neo!G5" lockText="1"/>
</file>

<file path=xl/ctrlProps/ctrlProp1008.xml><?xml version="1.0" encoding="utf-8"?>
<formControlPr xmlns="http://schemas.microsoft.com/office/spreadsheetml/2009/9/main" objectType="CheckBox" fmlaLink="Ber_Lab_Neo!G7" lockText="1"/>
</file>

<file path=xl/ctrlProps/ctrlProp1009.xml><?xml version="1.0" encoding="utf-8"?>
<formControlPr xmlns="http://schemas.microsoft.com/office/spreadsheetml/2009/9/main" objectType="CheckBox" fmlaLink="Ber_Lab_Neo!G8" lockText="1"/>
</file>

<file path=xl/ctrlProps/ctrlProp1010.xml><?xml version="1.0" encoding="utf-8"?>
<formControlPr xmlns="http://schemas.microsoft.com/office/spreadsheetml/2009/9/main" objectType="CheckBox" fmlaLink="Ber_Lab_Neo!G14" lockText="1"/>
</file>

<file path=xl/ctrlProps/ctrlProp1011.xml><?xml version="1.0" encoding="utf-8"?>
<formControlPr xmlns="http://schemas.microsoft.com/office/spreadsheetml/2009/9/main" objectType="CheckBox" fmlaLink="Ber_Lab_Neo!G13" lockText="1"/>
</file>

<file path=xl/ctrlProps/ctrlProp1012.xml><?xml version="1.0" encoding="utf-8"?>
<formControlPr xmlns="http://schemas.microsoft.com/office/spreadsheetml/2009/9/main" objectType="CheckBox" fmlaLink="Ber_Lab_Neo!G30" lockText="1"/>
</file>

<file path=xl/ctrlProps/ctrlProp1013.xml><?xml version="1.0" encoding="utf-8"?>
<formControlPr xmlns="http://schemas.microsoft.com/office/spreadsheetml/2009/9/main" objectType="CheckBox" fmlaLink="Ber_Lab_Neo!G16" lockText="1"/>
</file>

<file path=xl/ctrlProps/ctrlProp1014.xml><?xml version="1.0" encoding="utf-8"?>
<formControlPr xmlns="http://schemas.microsoft.com/office/spreadsheetml/2009/9/main" objectType="CheckBox" fmlaLink="Ber_Lab_Neo!G19" lockText="1"/>
</file>

<file path=xl/ctrlProps/ctrlProp1015.xml><?xml version="1.0" encoding="utf-8"?>
<formControlPr xmlns="http://schemas.microsoft.com/office/spreadsheetml/2009/9/main" objectType="CheckBox" fmlaLink="Ber_Lab_Neo!G20" lockText="1"/>
</file>

<file path=xl/ctrlProps/ctrlProp1016.xml><?xml version="1.0" encoding="utf-8"?>
<formControlPr xmlns="http://schemas.microsoft.com/office/spreadsheetml/2009/9/main" objectType="CheckBox" fmlaLink="Ber_Lab_Neo!G21" lockText="1"/>
</file>

<file path=xl/ctrlProps/ctrlProp1017.xml><?xml version="1.0" encoding="utf-8"?>
<formControlPr xmlns="http://schemas.microsoft.com/office/spreadsheetml/2009/9/main" objectType="CheckBox" fmlaLink="Ber_Lab_Neo!G12" lockText="1"/>
</file>

<file path=xl/ctrlProps/ctrlProp1018.xml><?xml version="1.0" encoding="utf-8"?>
<formControlPr xmlns="http://schemas.microsoft.com/office/spreadsheetml/2009/9/main" objectType="CheckBox" fmlaLink="Ber_Lab_Neo!G28" lockText="1"/>
</file>

<file path=xl/ctrlProps/ctrlProp1019.xml><?xml version="1.0" encoding="utf-8"?>
<formControlPr xmlns="http://schemas.microsoft.com/office/spreadsheetml/2009/9/main" objectType="CheckBox" fmlaLink="Ber_Lab_Neo!$I$4" lockText="1"/>
</file>

<file path=xl/ctrlProps/ctrlProp1020.xml><?xml version="1.0" encoding="utf-8"?>
<formControlPr xmlns="http://schemas.microsoft.com/office/spreadsheetml/2009/9/main" objectType="CheckBox" fmlaLink="Ber_Lab_Neo!I5" lockText="1"/>
</file>

<file path=xl/ctrlProps/ctrlProp1021.xml><?xml version="1.0" encoding="utf-8"?>
<formControlPr xmlns="http://schemas.microsoft.com/office/spreadsheetml/2009/9/main" objectType="CheckBox" fmlaLink="Ber_Lab_Neo!I7" lockText="1"/>
</file>

<file path=xl/ctrlProps/ctrlProp1022.xml><?xml version="1.0" encoding="utf-8"?>
<formControlPr xmlns="http://schemas.microsoft.com/office/spreadsheetml/2009/9/main" objectType="CheckBox" fmlaLink="Ber_Lab_Neo!I8" lockText="1"/>
</file>

<file path=xl/ctrlProps/ctrlProp1023.xml><?xml version="1.0" encoding="utf-8"?>
<formControlPr xmlns="http://schemas.microsoft.com/office/spreadsheetml/2009/9/main" objectType="CheckBox" fmlaLink="Ber_Lab_Neo!I14" lockText="1"/>
</file>

<file path=xl/ctrlProps/ctrlProp1024.xml><?xml version="1.0" encoding="utf-8"?>
<formControlPr xmlns="http://schemas.microsoft.com/office/spreadsheetml/2009/9/main" objectType="CheckBox" fmlaLink="Ber_Lab_Neo!I13" lockText="1"/>
</file>

<file path=xl/ctrlProps/ctrlProp1025.xml><?xml version="1.0" encoding="utf-8"?>
<formControlPr xmlns="http://schemas.microsoft.com/office/spreadsheetml/2009/9/main" objectType="CheckBox" fmlaLink="Ber_Lab_Neo!I30" lockText="1"/>
</file>

<file path=xl/ctrlProps/ctrlProp1026.xml><?xml version="1.0" encoding="utf-8"?>
<formControlPr xmlns="http://schemas.microsoft.com/office/spreadsheetml/2009/9/main" objectType="CheckBox" fmlaLink="Ber_Lab_Neo!I16" lockText="1"/>
</file>

<file path=xl/ctrlProps/ctrlProp1027.xml><?xml version="1.0" encoding="utf-8"?>
<formControlPr xmlns="http://schemas.microsoft.com/office/spreadsheetml/2009/9/main" objectType="CheckBox" fmlaLink="Ber_Lab_Neo!I19" lockText="1"/>
</file>

<file path=xl/ctrlProps/ctrlProp1028.xml><?xml version="1.0" encoding="utf-8"?>
<formControlPr xmlns="http://schemas.microsoft.com/office/spreadsheetml/2009/9/main" objectType="CheckBox" fmlaLink="Ber_Lab_Neo!I20" lockText="1"/>
</file>

<file path=xl/ctrlProps/ctrlProp1029.xml><?xml version="1.0" encoding="utf-8"?>
<formControlPr xmlns="http://schemas.microsoft.com/office/spreadsheetml/2009/9/main" objectType="CheckBox" fmlaLink="Ber_Lab_Neo!I21" lockText="1"/>
</file>

<file path=xl/ctrlProps/ctrlProp1030.xml><?xml version="1.0" encoding="utf-8"?>
<formControlPr xmlns="http://schemas.microsoft.com/office/spreadsheetml/2009/9/main" objectType="CheckBox" fmlaLink="Ber_Lab_Neo!I12" lockText="1"/>
</file>

<file path=xl/ctrlProps/ctrlProp1031.xml><?xml version="1.0" encoding="utf-8"?>
<formControlPr xmlns="http://schemas.microsoft.com/office/spreadsheetml/2009/9/main" objectType="CheckBox" fmlaLink="Ber_Lab_Neo!I28" lockText="1"/>
</file>

<file path=xl/ctrlProps/ctrlProp1032.xml><?xml version="1.0" encoding="utf-8"?>
<formControlPr xmlns="http://schemas.microsoft.com/office/spreadsheetml/2009/9/main" objectType="CheckBox" fmlaLink="Ber_Lab_Neo!$O$4" lockText="1"/>
</file>

<file path=xl/ctrlProps/ctrlProp1033.xml><?xml version="1.0" encoding="utf-8"?>
<formControlPr xmlns="http://schemas.microsoft.com/office/spreadsheetml/2009/9/main" objectType="CheckBox" fmlaLink="Ber_Lab_Neo!O5" lockText="1"/>
</file>

<file path=xl/ctrlProps/ctrlProp1034.xml><?xml version="1.0" encoding="utf-8"?>
<formControlPr xmlns="http://schemas.microsoft.com/office/spreadsheetml/2009/9/main" objectType="CheckBox" fmlaLink="Ber_Lab_Neo!O7" lockText="1"/>
</file>

<file path=xl/ctrlProps/ctrlProp1035.xml><?xml version="1.0" encoding="utf-8"?>
<formControlPr xmlns="http://schemas.microsoft.com/office/spreadsheetml/2009/9/main" objectType="CheckBox" fmlaLink="Ber_Lab_Neo!O8" lockText="1"/>
</file>

<file path=xl/ctrlProps/ctrlProp1036.xml><?xml version="1.0" encoding="utf-8"?>
<formControlPr xmlns="http://schemas.microsoft.com/office/spreadsheetml/2009/9/main" objectType="CheckBox" fmlaLink="Ber_Lab_Neo!O14" lockText="1"/>
</file>

<file path=xl/ctrlProps/ctrlProp1037.xml><?xml version="1.0" encoding="utf-8"?>
<formControlPr xmlns="http://schemas.microsoft.com/office/spreadsheetml/2009/9/main" objectType="CheckBox" fmlaLink="Ber_Lab_Neo!O13" lockText="1"/>
</file>

<file path=xl/ctrlProps/ctrlProp1038.xml><?xml version="1.0" encoding="utf-8"?>
<formControlPr xmlns="http://schemas.microsoft.com/office/spreadsheetml/2009/9/main" objectType="CheckBox" fmlaLink="Ber_Lab_Neo!O30" lockText="1"/>
</file>

<file path=xl/ctrlProps/ctrlProp1039.xml><?xml version="1.0" encoding="utf-8"?>
<formControlPr xmlns="http://schemas.microsoft.com/office/spreadsheetml/2009/9/main" objectType="CheckBox" fmlaLink="Ber_Lab_Neo!O16" lockText="1"/>
</file>

<file path=xl/ctrlProps/ctrlProp1040.xml><?xml version="1.0" encoding="utf-8"?>
<formControlPr xmlns="http://schemas.microsoft.com/office/spreadsheetml/2009/9/main" objectType="CheckBox" fmlaLink="Ber_Lab_Neo!O19" lockText="1"/>
</file>

<file path=xl/ctrlProps/ctrlProp1041.xml><?xml version="1.0" encoding="utf-8"?>
<formControlPr xmlns="http://schemas.microsoft.com/office/spreadsheetml/2009/9/main" objectType="CheckBox" fmlaLink="Ber_Lab_Neo!O20" lockText="1"/>
</file>

<file path=xl/ctrlProps/ctrlProp1042.xml><?xml version="1.0" encoding="utf-8"?>
<formControlPr xmlns="http://schemas.microsoft.com/office/spreadsheetml/2009/9/main" objectType="CheckBox" fmlaLink="Ber_Lab_Neo!O21" lockText="1"/>
</file>

<file path=xl/ctrlProps/ctrlProp1043.xml><?xml version="1.0" encoding="utf-8"?>
<formControlPr xmlns="http://schemas.microsoft.com/office/spreadsheetml/2009/9/main" objectType="CheckBox" fmlaLink="Ber_Lab_Neo!O12" lockText="1"/>
</file>

<file path=xl/ctrlProps/ctrlProp1044.xml><?xml version="1.0" encoding="utf-8"?>
<formControlPr xmlns="http://schemas.microsoft.com/office/spreadsheetml/2009/9/main" objectType="CheckBox" fmlaLink="Ber_Lab_Neo!O28" lockText="1"/>
</file>

<file path=xl/ctrlProps/ctrlProp1045.xml><?xml version="1.0" encoding="utf-8"?>
<formControlPr xmlns="http://schemas.microsoft.com/office/spreadsheetml/2009/9/main" objectType="CheckBox" fmlaLink="Ber_Lab_Neo!C32" lockText="1"/>
</file>

<file path=xl/ctrlProps/ctrlProp1046.xml><?xml version="1.0" encoding="utf-8"?>
<formControlPr xmlns="http://schemas.microsoft.com/office/spreadsheetml/2009/9/main" objectType="CheckBox" fmlaLink="Ber_Lab_Neo!G32" lockText="1"/>
</file>

<file path=xl/ctrlProps/ctrlProp1047.xml><?xml version="1.0" encoding="utf-8"?>
<formControlPr xmlns="http://schemas.microsoft.com/office/spreadsheetml/2009/9/main" objectType="CheckBox" fmlaLink="Ber_Lab_Neo!I32" lockText="1"/>
</file>

<file path=xl/ctrlProps/ctrlProp1048.xml><?xml version="1.0" encoding="utf-8"?>
<formControlPr xmlns="http://schemas.microsoft.com/office/spreadsheetml/2009/9/main" objectType="CheckBox" fmlaLink="Ber_Lab_Neo!O32" lockText="1"/>
</file>

<file path=xl/ctrlProps/ctrlProp1049.xml><?xml version="1.0" encoding="utf-8"?>
<formControlPr xmlns="http://schemas.microsoft.com/office/spreadsheetml/2009/9/main" objectType="CheckBox" fmlaLink="Ber_Lab_Neo!C6" lockText="1"/>
</file>

<file path=xl/ctrlProps/ctrlProp1050.xml><?xml version="1.0" encoding="utf-8"?>
<formControlPr xmlns="http://schemas.microsoft.com/office/spreadsheetml/2009/9/main" objectType="CheckBox" fmlaLink="Ber_Lab_Neo!G6" lockText="1"/>
</file>

<file path=xl/ctrlProps/ctrlProp1051.xml><?xml version="1.0" encoding="utf-8"?>
<formControlPr xmlns="http://schemas.microsoft.com/office/spreadsheetml/2009/9/main" objectType="CheckBox" fmlaLink="Ber_Lab_Neo!I6" lockText="1"/>
</file>

<file path=xl/ctrlProps/ctrlProp1052.xml><?xml version="1.0" encoding="utf-8"?>
<formControlPr xmlns="http://schemas.microsoft.com/office/spreadsheetml/2009/9/main" objectType="CheckBox" fmlaLink="Ber_Lab_Neo!O6" lockText="1"/>
</file>

<file path=xl/ctrlProps/ctrlProp1053.xml><?xml version="1.0" encoding="utf-8"?>
<formControlPr xmlns="http://schemas.microsoft.com/office/spreadsheetml/2009/9/main" objectType="CheckBox" fmlaLink="Ber_Lab_Neo!C17" lockText="1"/>
</file>

<file path=xl/ctrlProps/ctrlProp1054.xml><?xml version="1.0" encoding="utf-8"?>
<formControlPr xmlns="http://schemas.microsoft.com/office/spreadsheetml/2009/9/main" objectType="CheckBox" fmlaLink="Ber_Lab_Neo!G17" lockText="1"/>
</file>

<file path=xl/ctrlProps/ctrlProp1055.xml><?xml version="1.0" encoding="utf-8"?>
<formControlPr xmlns="http://schemas.microsoft.com/office/spreadsheetml/2009/9/main" objectType="CheckBox" fmlaLink="Ber_Lab_Neo!I17" lockText="1"/>
</file>

<file path=xl/ctrlProps/ctrlProp1056.xml><?xml version="1.0" encoding="utf-8"?>
<formControlPr xmlns="http://schemas.microsoft.com/office/spreadsheetml/2009/9/main" objectType="CheckBox" fmlaLink="Ber_Lab_Neo!O17" lockText="1"/>
</file>

<file path=xl/ctrlProps/ctrlProp1057.xml><?xml version="1.0" encoding="utf-8"?>
<formControlPr xmlns="http://schemas.microsoft.com/office/spreadsheetml/2009/9/main" objectType="CheckBox" fmlaLink="Ber_Lab_Neo!$E$4" lockText="1"/>
</file>

<file path=xl/ctrlProps/ctrlProp1058.xml><?xml version="1.0" encoding="utf-8"?>
<formControlPr xmlns="http://schemas.microsoft.com/office/spreadsheetml/2009/9/main" objectType="CheckBox" fmlaLink="Ber_Lab_Neo!E5" lockText="1"/>
</file>

<file path=xl/ctrlProps/ctrlProp1059.xml><?xml version="1.0" encoding="utf-8"?>
<formControlPr xmlns="http://schemas.microsoft.com/office/spreadsheetml/2009/9/main" objectType="CheckBox" fmlaLink="Ber_Lab_Neo!E7" lockText="1"/>
</file>

<file path=xl/ctrlProps/ctrlProp1060.xml><?xml version="1.0" encoding="utf-8"?>
<formControlPr xmlns="http://schemas.microsoft.com/office/spreadsheetml/2009/9/main" objectType="CheckBox" fmlaLink="Ber_Lab_Neo!E8" lockText="1"/>
</file>

<file path=xl/ctrlProps/ctrlProp1061.xml><?xml version="1.0" encoding="utf-8"?>
<formControlPr xmlns="http://schemas.microsoft.com/office/spreadsheetml/2009/9/main" objectType="CheckBox" fmlaLink="Ber_Lab_Neo!E14" lockText="1"/>
</file>

<file path=xl/ctrlProps/ctrlProp1062.xml><?xml version="1.0" encoding="utf-8"?>
<formControlPr xmlns="http://schemas.microsoft.com/office/spreadsheetml/2009/9/main" objectType="CheckBox" fmlaLink="Ber_Lab_Neo!E13" lockText="1"/>
</file>

<file path=xl/ctrlProps/ctrlProp1063.xml><?xml version="1.0" encoding="utf-8"?>
<formControlPr xmlns="http://schemas.microsoft.com/office/spreadsheetml/2009/9/main" objectType="CheckBox" fmlaLink="Ber_Lab_Neo!E30" lockText="1"/>
</file>

<file path=xl/ctrlProps/ctrlProp1064.xml><?xml version="1.0" encoding="utf-8"?>
<formControlPr xmlns="http://schemas.microsoft.com/office/spreadsheetml/2009/9/main" objectType="CheckBox" fmlaLink="Ber_Lab_Neo!E16" lockText="1"/>
</file>

<file path=xl/ctrlProps/ctrlProp1065.xml><?xml version="1.0" encoding="utf-8"?>
<formControlPr xmlns="http://schemas.microsoft.com/office/spreadsheetml/2009/9/main" objectType="CheckBox" fmlaLink="Ber_Lab_Neo!E19" lockText="1"/>
</file>

<file path=xl/ctrlProps/ctrlProp1066.xml><?xml version="1.0" encoding="utf-8"?>
<formControlPr xmlns="http://schemas.microsoft.com/office/spreadsheetml/2009/9/main" objectType="CheckBox" fmlaLink="Ber_Lab_Neo!E20" lockText="1"/>
</file>

<file path=xl/ctrlProps/ctrlProp1067.xml><?xml version="1.0" encoding="utf-8"?>
<formControlPr xmlns="http://schemas.microsoft.com/office/spreadsheetml/2009/9/main" objectType="CheckBox" fmlaLink="Ber_Lab_Neo!E21" lockText="1"/>
</file>

<file path=xl/ctrlProps/ctrlProp1068.xml><?xml version="1.0" encoding="utf-8"?>
<formControlPr xmlns="http://schemas.microsoft.com/office/spreadsheetml/2009/9/main" objectType="CheckBox" fmlaLink="Ber_Lab_Neo!E12" lockText="1"/>
</file>

<file path=xl/ctrlProps/ctrlProp1069.xml><?xml version="1.0" encoding="utf-8"?>
<formControlPr xmlns="http://schemas.microsoft.com/office/spreadsheetml/2009/9/main" objectType="CheckBox" fmlaLink="Ber_Lab_Neo!E28" lockText="1"/>
</file>

<file path=xl/ctrlProps/ctrlProp1070.xml><?xml version="1.0" encoding="utf-8"?>
<formControlPr xmlns="http://schemas.microsoft.com/office/spreadsheetml/2009/9/main" objectType="CheckBox" fmlaLink="Ber_Lab_Neo!E32" lockText="1"/>
</file>

<file path=xl/ctrlProps/ctrlProp1071.xml><?xml version="1.0" encoding="utf-8"?>
<formControlPr xmlns="http://schemas.microsoft.com/office/spreadsheetml/2009/9/main" objectType="CheckBox" fmlaLink="Ber_Lab_Neo!E6" lockText="1"/>
</file>

<file path=xl/ctrlProps/ctrlProp1072.xml><?xml version="1.0" encoding="utf-8"?>
<formControlPr xmlns="http://schemas.microsoft.com/office/spreadsheetml/2009/9/main" objectType="CheckBox" fmlaLink="Ber_Lab_Neo!E17" lockText="1"/>
</file>

<file path=xl/ctrlProps/ctrlProp1073.xml><?xml version="1.0" encoding="utf-8"?>
<formControlPr xmlns="http://schemas.microsoft.com/office/spreadsheetml/2009/9/main" objectType="CheckBox" fmlaLink="Ber_Lab_Neo!C33" lockText="1"/>
</file>

<file path=xl/ctrlProps/ctrlProp1074.xml><?xml version="1.0" encoding="utf-8"?>
<formControlPr xmlns="http://schemas.microsoft.com/office/spreadsheetml/2009/9/main" objectType="CheckBox" fmlaLink="Ber_Lab_Neo!G33" lockText="1"/>
</file>

<file path=xl/ctrlProps/ctrlProp1075.xml><?xml version="1.0" encoding="utf-8"?>
<formControlPr xmlns="http://schemas.microsoft.com/office/spreadsheetml/2009/9/main" objectType="CheckBox" fmlaLink="Ber_Lab_Neo!I33" lockText="1"/>
</file>

<file path=xl/ctrlProps/ctrlProp1076.xml><?xml version="1.0" encoding="utf-8"?>
<formControlPr xmlns="http://schemas.microsoft.com/office/spreadsheetml/2009/9/main" objectType="CheckBox" fmlaLink="Ber_Lab_Neo!O33" lockText="1"/>
</file>

<file path=xl/ctrlProps/ctrlProp1077.xml><?xml version="1.0" encoding="utf-8"?>
<formControlPr xmlns="http://schemas.microsoft.com/office/spreadsheetml/2009/9/main" objectType="CheckBox" fmlaLink="Ber_Lab_Neo!E33" lockText="1"/>
</file>

<file path=xl/ctrlProps/ctrlProp1078.xml><?xml version="1.0" encoding="utf-8"?>
<formControlPr xmlns="http://schemas.microsoft.com/office/spreadsheetml/2009/9/main" objectType="CheckBox" fmlaLink="Ber_Lab_Neo!C34" lockText="1"/>
</file>

<file path=xl/ctrlProps/ctrlProp1079.xml><?xml version="1.0" encoding="utf-8"?>
<formControlPr xmlns="http://schemas.microsoft.com/office/spreadsheetml/2009/9/main" objectType="CheckBox" fmlaLink="Ber_Lab_Neo!G34" lockText="1"/>
</file>

<file path=xl/ctrlProps/ctrlProp1080.xml><?xml version="1.0" encoding="utf-8"?>
<formControlPr xmlns="http://schemas.microsoft.com/office/spreadsheetml/2009/9/main" objectType="CheckBox" fmlaLink="Ber_Lab_Neo!I34" lockText="1"/>
</file>

<file path=xl/ctrlProps/ctrlProp1081.xml><?xml version="1.0" encoding="utf-8"?>
<formControlPr xmlns="http://schemas.microsoft.com/office/spreadsheetml/2009/9/main" objectType="CheckBox" fmlaLink="Ber_Lab_Neo!O34" lockText="1"/>
</file>

<file path=xl/ctrlProps/ctrlProp1082.xml><?xml version="1.0" encoding="utf-8"?>
<formControlPr xmlns="http://schemas.microsoft.com/office/spreadsheetml/2009/9/main" objectType="CheckBox" fmlaLink="Ber_Lab_Neo!E34" lockText="1"/>
</file>

<file path=xl/ctrlProps/ctrlProp1083.xml><?xml version="1.0" encoding="utf-8"?>
<formControlPr xmlns="http://schemas.microsoft.com/office/spreadsheetml/2009/9/main" objectType="CheckBox" fmlaLink="Ber_Lab_Neo!C9" lockText="1"/>
</file>

<file path=xl/ctrlProps/ctrlProp1084.xml><?xml version="1.0" encoding="utf-8"?>
<formControlPr xmlns="http://schemas.microsoft.com/office/spreadsheetml/2009/9/main" objectType="CheckBox" fmlaLink="Ber_Lab_Neo!G9" lockText="1"/>
</file>

<file path=xl/ctrlProps/ctrlProp1085.xml><?xml version="1.0" encoding="utf-8"?>
<formControlPr xmlns="http://schemas.microsoft.com/office/spreadsheetml/2009/9/main" objectType="CheckBox" fmlaLink="Ber_Lab_Neo!I9" lockText="1"/>
</file>

<file path=xl/ctrlProps/ctrlProp1086.xml><?xml version="1.0" encoding="utf-8"?>
<formControlPr xmlns="http://schemas.microsoft.com/office/spreadsheetml/2009/9/main" objectType="CheckBox" fmlaLink="Ber_Lab_Neo!O9" lockText="1"/>
</file>

<file path=xl/ctrlProps/ctrlProp1087.xml><?xml version="1.0" encoding="utf-8"?>
<formControlPr xmlns="http://schemas.microsoft.com/office/spreadsheetml/2009/9/main" objectType="CheckBox" fmlaLink="Ber_Lab_Neo!E9" lockText="1"/>
</file>

<file path=xl/ctrlProps/ctrlProp1088.xml><?xml version="1.0" encoding="utf-8"?>
<formControlPr xmlns="http://schemas.microsoft.com/office/spreadsheetml/2009/9/main" objectType="CheckBox" fmlaLink="Ber_Lab_Neo!C11" lockText="1"/>
</file>

<file path=xl/ctrlProps/ctrlProp1089.xml><?xml version="1.0" encoding="utf-8"?>
<formControlPr xmlns="http://schemas.microsoft.com/office/spreadsheetml/2009/9/main" objectType="CheckBox" fmlaLink="Ber_Lab_Neo!G11" lockText="1"/>
</file>

<file path=xl/ctrlProps/ctrlProp1090.xml><?xml version="1.0" encoding="utf-8"?>
<formControlPr xmlns="http://schemas.microsoft.com/office/spreadsheetml/2009/9/main" objectType="CheckBox" fmlaLink="Ber_Lab_Neo!I11" lockText="1"/>
</file>

<file path=xl/ctrlProps/ctrlProp1091.xml><?xml version="1.0" encoding="utf-8"?>
<formControlPr xmlns="http://schemas.microsoft.com/office/spreadsheetml/2009/9/main" objectType="CheckBox" fmlaLink="Ber_Lab_Neo!O11" lockText="1"/>
</file>

<file path=xl/ctrlProps/ctrlProp1092.xml><?xml version="1.0" encoding="utf-8"?>
<formControlPr xmlns="http://schemas.microsoft.com/office/spreadsheetml/2009/9/main" objectType="CheckBox" fmlaLink="Ber_Lab_Neo!E11" lockText="1"/>
</file>

<file path=xl/ctrlProps/ctrlProp1093.xml><?xml version="1.0" encoding="utf-8"?>
<formControlPr xmlns="http://schemas.microsoft.com/office/spreadsheetml/2009/9/main" objectType="CheckBox" fmlaLink="Ber_Lab_Neo!C15" lockText="1"/>
</file>

<file path=xl/ctrlProps/ctrlProp1094.xml><?xml version="1.0" encoding="utf-8"?>
<formControlPr xmlns="http://schemas.microsoft.com/office/spreadsheetml/2009/9/main" objectType="CheckBox" fmlaLink="Ber_Lab_Neo!G15" lockText="1"/>
</file>

<file path=xl/ctrlProps/ctrlProp1095.xml><?xml version="1.0" encoding="utf-8"?>
<formControlPr xmlns="http://schemas.microsoft.com/office/spreadsheetml/2009/9/main" objectType="CheckBox" fmlaLink="Ber_Lab_Neo!I15" lockText="1"/>
</file>

<file path=xl/ctrlProps/ctrlProp1096.xml><?xml version="1.0" encoding="utf-8"?>
<formControlPr xmlns="http://schemas.microsoft.com/office/spreadsheetml/2009/9/main" objectType="CheckBox" fmlaLink="Ber_Lab_Neo!O15" lockText="1"/>
</file>

<file path=xl/ctrlProps/ctrlProp1097.xml><?xml version="1.0" encoding="utf-8"?>
<formControlPr xmlns="http://schemas.microsoft.com/office/spreadsheetml/2009/9/main" objectType="CheckBox" fmlaLink="Ber_Lab_Neo!E15" lockText="1"/>
</file>

<file path=xl/ctrlProps/ctrlProp1098.xml><?xml version="1.0" encoding="utf-8"?>
<formControlPr xmlns="http://schemas.microsoft.com/office/spreadsheetml/2009/9/main" objectType="CheckBox" fmlaLink="Ber_Lab_Neo!C22" lockText="1"/>
</file>

<file path=xl/ctrlProps/ctrlProp1099.xml><?xml version="1.0" encoding="utf-8"?>
<formControlPr xmlns="http://schemas.microsoft.com/office/spreadsheetml/2009/9/main" objectType="CheckBox" fmlaLink="Ber_Lab_Neo!G22" lockText="1"/>
</file>

<file path=xl/ctrlProps/ctrlProp1100.xml><?xml version="1.0" encoding="utf-8"?>
<formControlPr xmlns="http://schemas.microsoft.com/office/spreadsheetml/2009/9/main" objectType="CheckBox" fmlaLink="Ber_Lab_Neo!I22" lockText="1"/>
</file>

<file path=xl/ctrlProps/ctrlProp1101.xml><?xml version="1.0" encoding="utf-8"?>
<formControlPr xmlns="http://schemas.microsoft.com/office/spreadsheetml/2009/9/main" objectType="CheckBox" fmlaLink="Ber_Lab_Neo!O22" lockText="1"/>
</file>

<file path=xl/ctrlProps/ctrlProp1102.xml><?xml version="1.0" encoding="utf-8"?>
<formControlPr xmlns="http://schemas.microsoft.com/office/spreadsheetml/2009/9/main" objectType="CheckBox" fmlaLink="Ber_Lab_Neo!E22" lockText="1"/>
</file>

<file path=xl/ctrlProps/ctrlProp1103.xml><?xml version="1.0" encoding="utf-8"?>
<formControlPr xmlns="http://schemas.microsoft.com/office/spreadsheetml/2009/9/main" objectType="CheckBox" fmlaLink="Ber_Lab_Neo!C23" lockText="1"/>
</file>

<file path=xl/ctrlProps/ctrlProp1104.xml><?xml version="1.0" encoding="utf-8"?>
<formControlPr xmlns="http://schemas.microsoft.com/office/spreadsheetml/2009/9/main" objectType="CheckBox" fmlaLink="Ber_Lab_Neo!G23" lockText="1"/>
</file>

<file path=xl/ctrlProps/ctrlProp1105.xml><?xml version="1.0" encoding="utf-8"?>
<formControlPr xmlns="http://schemas.microsoft.com/office/spreadsheetml/2009/9/main" objectType="CheckBox" fmlaLink="Ber_Lab_Neo!I23" lockText="1"/>
</file>

<file path=xl/ctrlProps/ctrlProp1106.xml><?xml version="1.0" encoding="utf-8"?>
<formControlPr xmlns="http://schemas.microsoft.com/office/spreadsheetml/2009/9/main" objectType="CheckBox" fmlaLink="Ber_Lab_Neo!O23" lockText="1"/>
</file>

<file path=xl/ctrlProps/ctrlProp1107.xml><?xml version="1.0" encoding="utf-8"?>
<formControlPr xmlns="http://schemas.microsoft.com/office/spreadsheetml/2009/9/main" objectType="CheckBox" fmlaLink="Ber_Lab_Neo!E23" lockText="1"/>
</file>

<file path=xl/ctrlProps/ctrlProp1108.xml><?xml version="1.0" encoding="utf-8"?>
<formControlPr xmlns="http://schemas.microsoft.com/office/spreadsheetml/2009/9/main" objectType="CheckBox" fmlaLink="Ber_Lab_Neo!C24" lockText="1"/>
</file>

<file path=xl/ctrlProps/ctrlProp1109.xml><?xml version="1.0" encoding="utf-8"?>
<formControlPr xmlns="http://schemas.microsoft.com/office/spreadsheetml/2009/9/main" objectType="CheckBox" fmlaLink="Ber_Lab_Neo!G24" lockText="1"/>
</file>

<file path=xl/ctrlProps/ctrlProp1110.xml><?xml version="1.0" encoding="utf-8"?>
<formControlPr xmlns="http://schemas.microsoft.com/office/spreadsheetml/2009/9/main" objectType="CheckBox" fmlaLink="Ber_Lab_Neo!I24" lockText="1"/>
</file>

<file path=xl/ctrlProps/ctrlProp1111.xml><?xml version="1.0" encoding="utf-8"?>
<formControlPr xmlns="http://schemas.microsoft.com/office/spreadsheetml/2009/9/main" objectType="CheckBox" fmlaLink="Ber_Lab_Neo!O24" lockText="1"/>
</file>

<file path=xl/ctrlProps/ctrlProp1112.xml><?xml version="1.0" encoding="utf-8"?>
<formControlPr xmlns="http://schemas.microsoft.com/office/spreadsheetml/2009/9/main" objectType="CheckBox" fmlaLink="Ber_Lab_Neo!E24" lockText="1"/>
</file>

<file path=xl/ctrlProps/ctrlProp1113.xml><?xml version="1.0" encoding="utf-8"?>
<formControlPr xmlns="http://schemas.microsoft.com/office/spreadsheetml/2009/9/main" objectType="CheckBox" fmlaLink="Ber_Lab_Neo!C25" lockText="1"/>
</file>

<file path=xl/ctrlProps/ctrlProp1114.xml><?xml version="1.0" encoding="utf-8"?>
<formControlPr xmlns="http://schemas.microsoft.com/office/spreadsheetml/2009/9/main" objectType="CheckBox" fmlaLink="Ber_Lab_Neo!G25" lockText="1"/>
</file>

<file path=xl/ctrlProps/ctrlProp1115.xml><?xml version="1.0" encoding="utf-8"?>
<formControlPr xmlns="http://schemas.microsoft.com/office/spreadsheetml/2009/9/main" objectType="CheckBox" fmlaLink="Ber_Lab_Neo!I25" lockText="1"/>
</file>

<file path=xl/ctrlProps/ctrlProp1116.xml><?xml version="1.0" encoding="utf-8"?>
<formControlPr xmlns="http://schemas.microsoft.com/office/spreadsheetml/2009/9/main" objectType="CheckBox" fmlaLink="Ber_Lab_Neo!O25" lockText="1"/>
</file>

<file path=xl/ctrlProps/ctrlProp1117.xml><?xml version="1.0" encoding="utf-8"?>
<formControlPr xmlns="http://schemas.microsoft.com/office/spreadsheetml/2009/9/main" objectType="CheckBox" fmlaLink="Ber_Lab_Neo!E25" lockText="1"/>
</file>

<file path=xl/ctrlProps/ctrlProp1118.xml><?xml version="1.0" encoding="utf-8"?>
<formControlPr xmlns="http://schemas.microsoft.com/office/spreadsheetml/2009/9/main" objectType="CheckBox" fmlaLink="Ber_Lab_Neo!C26" lockText="1"/>
</file>

<file path=xl/ctrlProps/ctrlProp1119.xml><?xml version="1.0" encoding="utf-8"?>
<formControlPr xmlns="http://schemas.microsoft.com/office/spreadsheetml/2009/9/main" objectType="CheckBox" fmlaLink="Ber_Lab_Neo!G26" lockText="1"/>
</file>

<file path=xl/ctrlProps/ctrlProp1120.xml><?xml version="1.0" encoding="utf-8"?>
<formControlPr xmlns="http://schemas.microsoft.com/office/spreadsheetml/2009/9/main" objectType="CheckBox" fmlaLink="Ber_Lab_Neo!I26" lockText="1"/>
</file>

<file path=xl/ctrlProps/ctrlProp1121.xml><?xml version="1.0" encoding="utf-8"?>
<formControlPr xmlns="http://schemas.microsoft.com/office/spreadsheetml/2009/9/main" objectType="CheckBox" fmlaLink="Ber_Lab_Neo!O26" lockText="1"/>
</file>

<file path=xl/ctrlProps/ctrlProp1122.xml><?xml version="1.0" encoding="utf-8"?>
<formControlPr xmlns="http://schemas.microsoft.com/office/spreadsheetml/2009/9/main" objectType="CheckBox" fmlaLink="Ber_Lab_Neo!E26" lockText="1"/>
</file>

<file path=xl/ctrlProps/ctrlProp1123.xml><?xml version="1.0" encoding="utf-8"?>
<formControlPr xmlns="http://schemas.microsoft.com/office/spreadsheetml/2009/9/main" objectType="CheckBox" fmlaLink="Ber_Lab_Neo!C29" lockText="1"/>
</file>

<file path=xl/ctrlProps/ctrlProp1124.xml><?xml version="1.0" encoding="utf-8"?>
<formControlPr xmlns="http://schemas.microsoft.com/office/spreadsheetml/2009/9/main" objectType="CheckBox" fmlaLink="Ber_Lab_Neo!G29" lockText="1"/>
</file>

<file path=xl/ctrlProps/ctrlProp1125.xml><?xml version="1.0" encoding="utf-8"?>
<formControlPr xmlns="http://schemas.microsoft.com/office/spreadsheetml/2009/9/main" objectType="CheckBox" fmlaLink="Ber_Lab_Neo!I29" lockText="1"/>
</file>

<file path=xl/ctrlProps/ctrlProp1126.xml><?xml version="1.0" encoding="utf-8"?>
<formControlPr xmlns="http://schemas.microsoft.com/office/spreadsheetml/2009/9/main" objectType="CheckBox" fmlaLink="Ber_Lab_Neo!O29" lockText="1"/>
</file>

<file path=xl/ctrlProps/ctrlProp1127.xml><?xml version="1.0" encoding="utf-8"?>
<formControlPr xmlns="http://schemas.microsoft.com/office/spreadsheetml/2009/9/main" objectType="CheckBox" fmlaLink="Ber_Lab_Neo!E29" lockText="1"/>
</file>

<file path=xl/ctrlProps/ctrlProp1128.xml><?xml version="1.0" encoding="utf-8"?>
<formControlPr xmlns="http://schemas.microsoft.com/office/spreadsheetml/2009/9/main" objectType="CheckBox" fmlaLink="Ber_Lab_Neo!C18" lockText="1"/>
</file>

<file path=xl/ctrlProps/ctrlProp1129.xml><?xml version="1.0" encoding="utf-8"?>
<formControlPr xmlns="http://schemas.microsoft.com/office/spreadsheetml/2009/9/main" objectType="CheckBox" fmlaLink="Ber_Lab_Neo!G18" lockText="1"/>
</file>

<file path=xl/ctrlProps/ctrlProp1130.xml><?xml version="1.0" encoding="utf-8"?>
<formControlPr xmlns="http://schemas.microsoft.com/office/spreadsheetml/2009/9/main" objectType="CheckBox" fmlaLink="Ber_Lab_Neo!I18" lockText="1"/>
</file>

<file path=xl/ctrlProps/ctrlProp1131.xml><?xml version="1.0" encoding="utf-8"?>
<formControlPr xmlns="http://schemas.microsoft.com/office/spreadsheetml/2009/9/main" objectType="CheckBox" fmlaLink="Ber_Lab_Neo!O18" lockText="1"/>
</file>

<file path=xl/ctrlProps/ctrlProp1132.xml><?xml version="1.0" encoding="utf-8"?>
<formControlPr xmlns="http://schemas.microsoft.com/office/spreadsheetml/2009/9/main" objectType="CheckBox" fmlaLink="Ber_Lab_Neo!E18" lockText="1"/>
</file>

<file path=xl/ctrlProps/ctrlProp1133.xml><?xml version="1.0" encoding="utf-8"?>
<formControlPr xmlns="http://schemas.microsoft.com/office/spreadsheetml/2009/9/main" objectType="CheckBox" fmlaLink="Ber_Lab_Neo!$K$4" lockText="1"/>
</file>

<file path=xl/ctrlProps/ctrlProp1134.xml><?xml version="1.0" encoding="utf-8"?>
<formControlPr xmlns="http://schemas.microsoft.com/office/spreadsheetml/2009/9/main" objectType="CheckBox" fmlaLink="Ber_Lab_Neo!K5" lockText="1"/>
</file>

<file path=xl/ctrlProps/ctrlProp1135.xml><?xml version="1.0" encoding="utf-8"?>
<formControlPr xmlns="http://schemas.microsoft.com/office/spreadsheetml/2009/9/main" objectType="CheckBox" fmlaLink="Ber_Lab_Neo!K7" lockText="1"/>
</file>

<file path=xl/ctrlProps/ctrlProp1136.xml><?xml version="1.0" encoding="utf-8"?>
<formControlPr xmlns="http://schemas.microsoft.com/office/spreadsheetml/2009/9/main" objectType="CheckBox" fmlaLink="Ber_Lab_Neo!K8" lockText="1"/>
</file>

<file path=xl/ctrlProps/ctrlProp1137.xml><?xml version="1.0" encoding="utf-8"?>
<formControlPr xmlns="http://schemas.microsoft.com/office/spreadsheetml/2009/9/main" objectType="CheckBox" fmlaLink="Ber_Lab_Neo!K14" lockText="1"/>
</file>

<file path=xl/ctrlProps/ctrlProp1138.xml><?xml version="1.0" encoding="utf-8"?>
<formControlPr xmlns="http://schemas.microsoft.com/office/spreadsheetml/2009/9/main" objectType="CheckBox" fmlaLink="Ber_Lab_Neo!K13" lockText="1"/>
</file>

<file path=xl/ctrlProps/ctrlProp1139.xml><?xml version="1.0" encoding="utf-8"?>
<formControlPr xmlns="http://schemas.microsoft.com/office/spreadsheetml/2009/9/main" objectType="CheckBox" fmlaLink="Ber_Lab_Neo!K30" lockText="1"/>
</file>

<file path=xl/ctrlProps/ctrlProp1140.xml><?xml version="1.0" encoding="utf-8"?>
<formControlPr xmlns="http://schemas.microsoft.com/office/spreadsheetml/2009/9/main" objectType="CheckBox" fmlaLink="Ber_Lab_Neo!K16" lockText="1"/>
</file>

<file path=xl/ctrlProps/ctrlProp1141.xml><?xml version="1.0" encoding="utf-8"?>
<formControlPr xmlns="http://schemas.microsoft.com/office/spreadsheetml/2009/9/main" objectType="CheckBox" fmlaLink="Ber_Lab_Neo!K19" lockText="1"/>
</file>

<file path=xl/ctrlProps/ctrlProp1142.xml><?xml version="1.0" encoding="utf-8"?>
<formControlPr xmlns="http://schemas.microsoft.com/office/spreadsheetml/2009/9/main" objectType="CheckBox" fmlaLink="Ber_Lab_Neo!K20" lockText="1"/>
</file>

<file path=xl/ctrlProps/ctrlProp1143.xml><?xml version="1.0" encoding="utf-8"?>
<formControlPr xmlns="http://schemas.microsoft.com/office/spreadsheetml/2009/9/main" objectType="CheckBox" fmlaLink="Ber_Lab_Neo!K21" lockText="1"/>
</file>

<file path=xl/ctrlProps/ctrlProp1144.xml><?xml version="1.0" encoding="utf-8"?>
<formControlPr xmlns="http://schemas.microsoft.com/office/spreadsheetml/2009/9/main" objectType="CheckBox" fmlaLink="Ber_Lab_Neo!K12" lockText="1"/>
</file>

<file path=xl/ctrlProps/ctrlProp1145.xml><?xml version="1.0" encoding="utf-8"?>
<formControlPr xmlns="http://schemas.microsoft.com/office/spreadsheetml/2009/9/main" objectType="CheckBox" fmlaLink="Ber_Lab_Neo!K28" lockText="1"/>
</file>

<file path=xl/ctrlProps/ctrlProp1146.xml><?xml version="1.0" encoding="utf-8"?>
<formControlPr xmlns="http://schemas.microsoft.com/office/spreadsheetml/2009/9/main" objectType="CheckBox" fmlaLink="Ber_Lab_Neo!$M$4" lockText="1"/>
</file>

<file path=xl/ctrlProps/ctrlProp1147.xml><?xml version="1.0" encoding="utf-8"?>
<formControlPr xmlns="http://schemas.microsoft.com/office/spreadsheetml/2009/9/main" objectType="CheckBox" fmlaLink="Ber_Lab_Neo!M5" lockText="1"/>
</file>

<file path=xl/ctrlProps/ctrlProp1148.xml><?xml version="1.0" encoding="utf-8"?>
<formControlPr xmlns="http://schemas.microsoft.com/office/spreadsheetml/2009/9/main" objectType="CheckBox" fmlaLink="Ber_Lab_Neo!M7" lockText="1"/>
</file>

<file path=xl/ctrlProps/ctrlProp1149.xml><?xml version="1.0" encoding="utf-8"?>
<formControlPr xmlns="http://schemas.microsoft.com/office/spreadsheetml/2009/9/main" objectType="CheckBox" fmlaLink="Ber_Lab_Neo!M8" lockText="1"/>
</file>

<file path=xl/ctrlProps/ctrlProp1150.xml><?xml version="1.0" encoding="utf-8"?>
<formControlPr xmlns="http://schemas.microsoft.com/office/spreadsheetml/2009/9/main" objectType="CheckBox" fmlaLink="Ber_Lab_Neo!M14" lockText="1"/>
</file>

<file path=xl/ctrlProps/ctrlProp1151.xml><?xml version="1.0" encoding="utf-8"?>
<formControlPr xmlns="http://schemas.microsoft.com/office/spreadsheetml/2009/9/main" objectType="CheckBox" fmlaLink="Ber_Lab_Neo!M13" lockText="1"/>
</file>

<file path=xl/ctrlProps/ctrlProp1152.xml><?xml version="1.0" encoding="utf-8"?>
<formControlPr xmlns="http://schemas.microsoft.com/office/spreadsheetml/2009/9/main" objectType="CheckBox" fmlaLink="Ber_Lab_Neo!M30" lockText="1"/>
</file>

<file path=xl/ctrlProps/ctrlProp1153.xml><?xml version="1.0" encoding="utf-8"?>
<formControlPr xmlns="http://schemas.microsoft.com/office/spreadsheetml/2009/9/main" objectType="CheckBox" fmlaLink="Ber_Lab_Neo!M16" lockText="1"/>
</file>

<file path=xl/ctrlProps/ctrlProp1154.xml><?xml version="1.0" encoding="utf-8"?>
<formControlPr xmlns="http://schemas.microsoft.com/office/spreadsheetml/2009/9/main" objectType="CheckBox" fmlaLink="Ber_Lab_Neo!M19" lockText="1"/>
</file>

<file path=xl/ctrlProps/ctrlProp1155.xml><?xml version="1.0" encoding="utf-8"?>
<formControlPr xmlns="http://schemas.microsoft.com/office/spreadsheetml/2009/9/main" objectType="CheckBox" fmlaLink="Ber_Lab_Neo!M20" lockText="1"/>
</file>

<file path=xl/ctrlProps/ctrlProp1156.xml><?xml version="1.0" encoding="utf-8"?>
<formControlPr xmlns="http://schemas.microsoft.com/office/spreadsheetml/2009/9/main" objectType="CheckBox" fmlaLink="Ber_Lab_Neo!M21" lockText="1"/>
</file>

<file path=xl/ctrlProps/ctrlProp1157.xml><?xml version="1.0" encoding="utf-8"?>
<formControlPr xmlns="http://schemas.microsoft.com/office/spreadsheetml/2009/9/main" objectType="CheckBox" fmlaLink="Ber_Lab_Neo!M12" lockText="1"/>
</file>

<file path=xl/ctrlProps/ctrlProp1158.xml><?xml version="1.0" encoding="utf-8"?>
<formControlPr xmlns="http://schemas.microsoft.com/office/spreadsheetml/2009/9/main" objectType="CheckBox" fmlaLink="Ber_Lab_Neo!M28" lockText="1"/>
</file>

<file path=xl/ctrlProps/ctrlProp1159.xml><?xml version="1.0" encoding="utf-8"?>
<formControlPr xmlns="http://schemas.microsoft.com/office/spreadsheetml/2009/9/main" objectType="CheckBox" fmlaLink="Ber_Lab_Neo!K32" lockText="1"/>
</file>

<file path=xl/ctrlProps/ctrlProp1160.xml><?xml version="1.0" encoding="utf-8"?>
<formControlPr xmlns="http://schemas.microsoft.com/office/spreadsheetml/2009/9/main" objectType="CheckBox" fmlaLink="Ber_Lab_Neo!M32" lockText="1"/>
</file>

<file path=xl/ctrlProps/ctrlProp1161.xml><?xml version="1.0" encoding="utf-8"?>
<formControlPr xmlns="http://schemas.microsoft.com/office/spreadsheetml/2009/9/main" objectType="CheckBox" fmlaLink="Ber_Lab_Neo!K6" lockText="1"/>
</file>

<file path=xl/ctrlProps/ctrlProp1162.xml><?xml version="1.0" encoding="utf-8"?>
<formControlPr xmlns="http://schemas.microsoft.com/office/spreadsheetml/2009/9/main" objectType="CheckBox" fmlaLink="Ber_Lab_Neo!M6" lockText="1"/>
</file>

<file path=xl/ctrlProps/ctrlProp1163.xml><?xml version="1.0" encoding="utf-8"?>
<formControlPr xmlns="http://schemas.microsoft.com/office/spreadsheetml/2009/9/main" objectType="CheckBox" fmlaLink="Ber_Lab_Neo!K17" lockText="1"/>
</file>

<file path=xl/ctrlProps/ctrlProp1164.xml><?xml version="1.0" encoding="utf-8"?>
<formControlPr xmlns="http://schemas.microsoft.com/office/spreadsheetml/2009/9/main" objectType="CheckBox" fmlaLink="Ber_Lab_Neo!M17" lockText="1"/>
</file>

<file path=xl/ctrlProps/ctrlProp1165.xml><?xml version="1.0" encoding="utf-8"?>
<formControlPr xmlns="http://schemas.microsoft.com/office/spreadsheetml/2009/9/main" objectType="CheckBox" fmlaLink="Ber_Lab_Neo!K33" lockText="1"/>
</file>

<file path=xl/ctrlProps/ctrlProp1166.xml><?xml version="1.0" encoding="utf-8"?>
<formControlPr xmlns="http://schemas.microsoft.com/office/spreadsheetml/2009/9/main" objectType="CheckBox" fmlaLink="Ber_Lab_Neo!M33" lockText="1"/>
</file>

<file path=xl/ctrlProps/ctrlProp1167.xml><?xml version="1.0" encoding="utf-8"?>
<formControlPr xmlns="http://schemas.microsoft.com/office/spreadsheetml/2009/9/main" objectType="CheckBox" fmlaLink="Ber_Lab_Neo!K34" lockText="1"/>
</file>

<file path=xl/ctrlProps/ctrlProp1168.xml><?xml version="1.0" encoding="utf-8"?>
<formControlPr xmlns="http://schemas.microsoft.com/office/spreadsheetml/2009/9/main" objectType="CheckBox" fmlaLink="Ber_Lab_Neo!M34" lockText="1"/>
</file>

<file path=xl/ctrlProps/ctrlProp1169.xml><?xml version="1.0" encoding="utf-8"?>
<formControlPr xmlns="http://schemas.microsoft.com/office/spreadsheetml/2009/9/main" objectType="CheckBox" fmlaLink="Ber_Lab_Neo!K9" lockText="1"/>
</file>

<file path=xl/ctrlProps/ctrlProp1170.xml><?xml version="1.0" encoding="utf-8"?>
<formControlPr xmlns="http://schemas.microsoft.com/office/spreadsheetml/2009/9/main" objectType="CheckBox" fmlaLink="Ber_Lab_Neo!M9" lockText="1"/>
</file>

<file path=xl/ctrlProps/ctrlProp1171.xml><?xml version="1.0" encoding="utf-8"?>
<formControlPr xmlns="http://schemas.microsoft.com/office/spreadsheetml/2009/9/main" objectType="CheckBox" fmlaLink="Ber_Lab_Neo!K11" lockText="1"/>
</file>

<file path=xl/ctrlProps/ctrlProp1172.xml><?xml version="1.0" encoding="utf-8"?>
<formControlPr xmlns="http://schemas.microsoft.com/office/spreadsheetml/2009/9/main" objectType="CheckBox" fmlaLink="Ber_Lab_Neo!M11" lockText="1"/>
</file>

<file path=xl/ctrlProps/ctrlProp1173.xml><?xml version="1.0" encoding="utf-8"?>
<formControlPr xmlns="http://schemas.microsoft.com/office/spreadsheetml/2009/9/main" objectType="CheckBox" fmlaLink="Ber_Lab_Neo!K15" lockText="1"/>
</file>

<file path=xl/ctrlProps/ctrlProp1174.xml><?xml version="1.0" encoding="utf-8"?>
<formControlPr xmlns="http://schemas.microsoft.com/office/spreadsheetml/2009/9/main" objectType="CheckBox" fmlaLink="Ber_Lab_Neo!M15" lockText="1"/>
</file>

<file path=xl/ctrlProps/ctrlProp1175.xml><?xml version="1.0" encoding="utf-8"?>
<formControlPr xmlns="http://schemas.microsoft.com/office/spreadsheetml/2009/9/main" objectType="CheckBox" fmlaLink="Ber_Lab_Neo!K22" lockText="1"/>
</file>

<file path=xl/ctrlProps/ctrlProp1176.xml><?xml version="1.0" encoding="utf-8"?>
<formControlPr xmlns="http://schemas.microsoft.com/office/spreadsheetml/2009/9/main" objectType="CheckBox" fmlaLink="Ber_Lab_Neo!M22" lockText="1"/>
</file>

<file path=xl/ctrlProps/ctrlProp1177.xml><?xml version="1.0" encoding="utf-8"?>
<formControlPr xmlns="http://schemas.microsoft.com/office/spreadsheetml/2009/9/main" objectType="CheckBox" fmlaLink="Ber_Lab_Neo!K23" lockText="1"/>
</file>

<file path=xl/ctrlProps/ctrlProp1178.xml><?xml version="1.0" encoding="utf-8"?>
<formControlPr xmlns="http://schemas.microsoft.com/office/spreadsheetml/2009/9/main" objectType="CheckBox" fmlaLink="Ber_Lab_Neo!M23" lockText="1"/>
</file>

<file path=xl/ctrlProps/ctrlProp1179.xml><?xml version="1.0" encoding="utf-8"?>
<formControlPr xmlns="http://schemas.microsoft.com/office/spreadsheetml/2009/9/main" objectType="CheckBox" fmlaLink="Ber_Lab_Neo!K24" lockText="1"/>
</file>

<file path=xl/ctrlProps/ctrlProp1180.xml><?xml version="1.0" encoding="utf-8"?>
<formControlPr xmlns="http://schemas.microsoft.com/office/spreadsheetml/2009/9/main" objectType="CheckBox" fmlaLink="Ber_Lab_Neo!M24" lockText="1"/>
</file>

<file path=xl/ctrlProps/ctrlProp1181.xml><?xml version="1.0" encoding="utf-8"?>
<formControlPr xmlns="http://schemas.microsoft.com/office/spreadsheetml/2009/9/main" objectType="CheckBox" fmlaLink="Ber_Lab_Neo!K25" lockText="1"/>
</file>

<file path=xl/ctrlProps/ctrlProp1182.xml><?xml version="1.0" encoding="utf-8"?>
<formControlPr xmlns="http://schemas.microsoft.com/office/spreadsheetml/2009/9/main" objectType="CheckBox" fmlaLink="Ber_Lab_Neo!M25" lockText="1"/>
</file>

<file path=xl/ctrlProps/ctrlProp1183.xml><?xml version="1.0" encoding="utf-8"?>
<formControlPr xmlns="http://schemas.microsoft.com/office/spreadsheetml/2009/9/main" objectType="CheckBox" fmlaLink="Ber_Lab_Neo!K26" lockText="1"/>
</file>

<file path=xl/ctrlProps/ctrlProp1184.xml><?xml version="1.0" encoding="utf-8"?>
<formControlPr xmlns="http://schemas.microsoft.com/office/spreadsheetml/2009/9/main" objectType="CheckBox" fmlaLink="Ber_Lab_Neo!M26" lockText="1"/>
</file>

<file path=xl/ctrlProps/ctrlProp1185.xml><?xml version="1.0" encoding="utf-8"?>
<formControlPr xmlns="http://schemas.microsoft.com/office/spreadsheetml/2009/9/main" objectType="CheckBox" fmlaLink="Ber_Lab_Neo!K29" lockText="1"/>
</file>

<file path=xl/ctrlProps/ctrlProp1186.xml><?xml version="1.0" encoding="utf-8"?>
<formControlPr xmlns="http://schemas.microsoft.com/office/spreadsheetml/2009/9/main" objectType="CheckBox" fmlaLink="Ber_Lab_Neo!M29" lockText="1"/>
</file>

<file path=xl/ctrlProps/ctrlProp1187.xml><?xml version="1.0" encoding="utf-8"?>
<formControlPr xmlns="http://schemas.microsoft.com/office/spreadsheetml/2009/9/main" objectType="CheckBox" fmlaLink="Ber_Lab_Neo!K18" lockText="1"/>
</file>

<file path=xl/ctrlProps/ctrlProp1188.xml><?xml version="1.0" encoding="utf-8"?>
<formControlPr xmlns="http://schemas.microsoft.com/office/spreadsheetml/2009/9/main" objectType="CheckBox" fmlaLink="Ber_Lab_Neo!M18" lockText="1"/>
</file>

<file path=xl/ctrlProps/ctrlProp1189.xml><?xml version="1.0" encoding="utf-8"?>
<formControlPr xmlns="http://schemas.microsoft.com/office/spreadsheetml/2009/9/main" objectType="CheckBox" fmlaLink="Ber_Lab_Neo!C10" lockText="1"/>
</file>

<file path=xl/ctrlProps/ctrlProp1190.xml><?xml version="1.0" encoding="utf-8"?>
<formControlPr xmlns="http://schemas.microsoft.com/office/spreadsheetml/2009/9/main" objectType="CheckBox" fmlaLink="Ber_Lab_Neo!G10" lockText="1"/>
</file>

<file path=xl/ctrlProps/ctrlProp1191.xml><?xml version="1.0" encoding="utf-8"?>
<formControlPr xmlns="http://schemas.microsoft.com/office/spreadsheetml/2009/9/main" objectType="CheckBox" fmlaLink="Ber_Lab_Neo!I10" lockText="1"/>
</file>

<file path=xl/ctrlProps/ctrlProp1192.xml><?xml version="1.0" encoding="utf-8"?>
<formControlPr xmlns="http://schemas.microsoft.com/office/spreadsheetml/2009/9/main" objectType="CheckBox" fmlaLink="Ber_Lab_Neo!O10" lockText="1"/>
</file>

<file path=xl/ctrlProps/ctrlProp1193.xml><?xml version="1.0" encoding="utf-8"?>
<formControlPr xmlns="http://schemas.microsoft.com/office/spreadsheetml/2009/9/main" objectType="CheckBox" fmlaLink="Ber_Lab_Neo!E10" lockText="1"/>
</file>

<file path=xl/ctrlProps/ctrlProp1194.xml><?xml version="1.0" encoding="utf-8"?>
<formControlPr xmlns="http://schemas.microsoft.com/office/spreadsheetml/2009/9/main" objectType="CheckBox" fmlaLink="Ber_Lab_Neo!K10" lockText="1"/>
</file>

<file path=xl/ctrlProps/ctrlProp1195.xml><?xml version="1.0" encoding="utf-8"?>
<formControlPr xmlns="http://schemas.microsoft.com/office/spreadsheetml/2009/9/main" objectType="CheckBox" fmlaLink="Ber_Lab_Neo!M10" lockText="1"/>
</file>

<file path=xl/ctrlProps/ctrlProp1196.xml><?xml version="1.0" encoding="utf-8"?>
<formControlPr xmlns="http://schemas.microsoft.com/office/spreadsheetml/2009/9/main" objectType="CheckBox" fmlaLink="Ber_Lab_Neo!C31" lockText="1"/>
</file>

<file path=xl/ctrlProps/ctrlProp1197.xml><?xml version="1.0" encoding="utf-8"?>
<formControlPr xmlns="http://schemas.microsoft.com/office/spreadsheetml/2009/9/main" objectType="CheckBox" fmlaLink="Ber_Lab_Neo!G31" lockText="1"/>
</file>

<file path=xl/ctrlProps/ctrlProp1198.xml><?xml version="1.0" encoding="utf-8"?>
<formControlPr xmlns="http://schemas.microsoft.com/office/spreadsheetml/2009/9/main" objectType="CheckBox" fmlaLink="Ber_Lab_Neo!I31" lockText="1"/>
</file>

<file path=xl/ctrlProps/ctrlProp1199.xml><?xml version="1.0" encoding="utf-8"?>
<formControlPr xmlns="http://schemas.microsoft.com/office/spreadsheetml/2009/9/main" objectType="CheckBox" fmlaLink="Ber_Lab_Neo!O31" lockText="1"/>
</file>

<file path=xl/ctrlProps/ctrlProp1200.xml><?xml version="1.0" encoding="utf-8"?>
<formControlPr xmlns="http://schemas.microsoft.com/office/spreadsheetml/2009/9/main" objectType="CheckBox" fmlaLink="Ber_Lab_Neo!E31" lockText="1"/>
</file>

<file path=xl/ctrlProps/ctrlProp1201.xml><?xml version="1.0" encoding="utf-8"?>
<formControlPr xmlns="http://schemas.microsoft.com/office/spreadsheetml/2009/9/main" objectType="CheckBox" fmlaLink="Ber_Lab_Neo!K31" lockText="1"/>
</file>

<file path=xl/ctrlProps/ctrlProp1202.xml><?xml version="1.0" encoding="utf-8"?>
<formControlPr xmlns="http://schemas.microsoft.com/office/spreadsheetml/2009/9/main" objectType="CheckBox" fmlaLink="Ber_Lab_Neo!M31" lockText="1"/>
</file>

<file path=xl/ctrlProps/ctrlProp1203.xml><?xml version="1.0" encoding="utf-8"?>
<formControlPr xmlns="http://schemas.microsoft.com/office/spreadsheetml/2009/9/main" objectType="CheckBox" fmlaLink="Ber_Lab_Neo!C27" lockText="1"/>
</file>

<file path=xl/ctrlProps/ctrlProp1204.xml><?xml version="1.0" encoding="utf-8"?>
<formControlPr xmlns="http://schemas.microsoft.com/office/spreadsheetml/2009/9/main" objectType="CheckBox" fmlaLink="Ber_Lab_Neo!G27" lockText="1"/>
</file>

<file path=xl/ctrlProps/ctrlProp1205.xml><?xml version="1.0" encoding="utf-8"?>
<formControlPr xmlns="http://schemas.microsoft.com/office/spreadsheetml/2009/9/main" objectType="CheckBox" fmlaLink="Ber_Lab_Neo!I27" lockText="1"/>
</file>

<file path=xl/ctrlProps/ctrlProp1206.xml><?xml version="1.0" encoding="utf-8"?>
<formControlPr xmlns="http://schemas.microsoft.com/office/spreadsheetml/2009/9/main" objectType="CheckBox" fmlaLink="Ber_Lab_Neo!O27" lockText="1"/>
</file>

<file path=xl/ctrlProps/ctrlProp1207.xml><?xml version="1.0" encoding="utf-8"?>
<formControlPr xmlns="http://schemas.microsoft.com/office/spreadsheetml/2009/9/main" objectType="CheckBox" fmlaLink="Ber_Lab_Neo!E27" lockText="1"/>
</file>

<file path=xl/ctrlProps/ctrlProp1208.xml><?xml version="1.0" encoding="utf-8"?>
<formControlPr xmlns="http://schemas.microsoft.com/office/spreadsheetml/2009/9/main" objectType="CheckBox" fmlaLink="Ber_Lab_Neo!K27" lockText="1"/>
</file>

<file path=xl/ctrlProps/ctrlProp1209.xml><?xml version="1.0" encoding="utf-8"?>
<formControlPr xmlns="http://schemas.microsoft.com/office/spreadsheetml/2009/9/main" objectType="CheckBox" fmlaLink="Ber_Lab_Neo!M27" lockText="1"/>
</file>

<file path=xl/ctrlProps/ctrlProp1210.xml><?xml version="1.0" encoding="utf-8"?>
<formControlPr xmlns="http://schemas.microsoft.com/office/spreadsheetml/2009/9/main" objectType="CheckBox" fmlaLink="Ber_Lab_Neo!C35" lockText="1"/>
</file>

<file path=xl/ctrlProps/ctrlProp1211.xml><?xml version="1.0" encoding="utf-8"?>
<formControlPr xmlns="http://schemas.microsoft.com/office/spreadsheetml/2009/9/main" objectType="CheckBox" fmlaLink="Ber_Lab_Neo!$Q$4" lockText="1"/>
</file>

<file path=xl/ctrlProps/ctrlProp1212.xml><?xml version="1.0" encoding="utf-8"?>
<formControlPr xmlns="http://schemas.microsoft.com/office/spreadsheetml/2009/9/main" objectType="CheckBox" fmlaLink="Ber_Lab_Neo!Q5" lockText="1"/>
</file>

<file path=xl/ctrlProps/ctrlProp1213.xml><?xml version="1.0" encoding="utf-8"?>
<formControlPr xmlns="http://schemas.microsoft.com/office/spreadsheetml/2009/9/main" objectType="CheckBox" fmlaLink="Ber_Lab_Neo!Q7" lockText="1"/>
</file>

<file path=xl/ctrlProps/ctrlProp1214.xml><?xml version="1.0" encoding="utf-8"?>
<formControlPr xmlns="http://schemas.microsoft.com/office/spreadsheetml/2009/9/main" objectType="CheckBox" fmlaLink="Ber_Lab_Neo!Q8" lockText="1"/>
</file>

<file path=xl/ctrlProps/ctrlProp1215.xml><?xml version="1.0" encoding="utf-8"?>
<formControlPr xmlns="http://schemas.microsoft.com/office/spreadsheetml/2009/9/main" objectType="CheckBox" fmlaLink="Ber_Lab_Neo!Q14" lockText="1"/>
</file>

<file path=xl/ctrlProps/ctrlProp1216.xml><?xml version="1.0" encoding="utf-8"?>
<formControlPr xmlns="http://schemas.microsoft.com/office/spreadsheetml/2009/9/main" objectType="CheckBox" fmlaLink="Ber_Lab_Neo!Q13" lockText="1"/>
</file>

<file path=xl/ctrlProps/ctrlProp1217.xml><?xml version="1.0" encoding="utf-8"?>
<formControlPr xmlns="http://schemas.microsoft.com/office/spreadsheetml/2009/9/main" objectType="CheckBox" fmlaLink="Ber_Lab_Neo!Q30" lockText="1"/>
</file>

<file path=xl/ctrlProps/ctrlProp1218.xml><?xml version="1.0" encoding="utf-8"?>
<formControlPr xmlns="http://schemas.microsoft.com/office/spreadsheetml/2009/9/main" objectType="CheckBox" fmlaLink="Ber_Lab_Neo!Q16" lockText="1"/>
</file>

<file path=xl/ctrlProps/ctrlProp1219.xml><?xml version="1.0" encoding="utf-8"?>
<formControlPr xmlns="http://schemas.microsoft.com/office/spreadsheetml/2009/9/main" objectType="CheckBox" fmlaLink="Ber_Lab_Neo!Q19" lockText="1"/>
</file>

<file path=xl/ctrlProps/ctrlProp1220.xml><?xml version="1.0" encoding="utf-8"?>
<formControlPr xmlns="http://schemas.microsoft.com/office/spreadsheetml/2009/9/main" objectType="CheckBox" fmlaLink="Ber_Lab_Neo!Q20" lockText="1"/>
</file>

<file path=xl/ctrlProps/ctrlProp1221.xml><?xml version="1.0" encoding="utf-8"?>
<formControlPr xmlns="http://schemas.microsoft.com/office/spreadsheetml/2009/9/main" objectType="CheckBox" fmlaLink="Ber_Lab_Neo!Q21" lockText="1"/>
</file>

<file path=xl/ctrlProps/ctrlProp1222.xml><?xml version="1.0" encoding="utf-8"?>
<formControlPr xmlns="http://schemas.microsoft.com/office/spreadsheetml/2009/9/main" objectType="CheckBox" fmlaLink="Ber_Lab_Neo!Q12" lockText="1"/>
</file>

<file path=xl/ctrlProps/ctrlProp1223.xml><?xml version="1.0" encoding="utf-8"?>
<formControlPr xmlns="http://schemas.microsoft.com/office/spreadsheetml/2009/9/main" objectType="CheckBox" fmlaLink="Ber_Lab_Neo!Q28" lockText="1"/>
</file>

<file path=xl/ctrlProps/ctrlProp1224.xml><?xml version="1.0" encoding="utf-8"?>
<formControlPr xmlns="http://schemas.microsoft.com/office/spreadsheetml/2009/9/main" objectType="CheckBox" fmlaLink="Ber_Lab_Neo!Q32" lockText="1"/>
</file>

<file path=xl/ctrlProps/ctrlProp1225.xml><?xml version="1.0" encoding="utf-8"?>
<formControlPr xmlns="http://schemas.microsoft.com/office/spreadsheetml/2009/9/main" objectType="CheckBox" fmlaLink="Ber_Lab_Neo!Q6" lockText="1"/>
</file>

<file path=xl/ctrlProps/ctrlProp1226.xml><?xml version="1.0" encoding="utf-8"?>
<formControlPr xmlns="http://schemas.microsoft.com/office/spreadsheetml/2009/9/main" objectType="CheckBox" fmlaLink="Ber_Lab_Neo!Q17" lockText="1"/>
</file>

<file path=xl/ctrlProps/ctrlProp1227.xml><?xml version="1.0" encoding="utf-8"?>
<formControlPr xmlns="http://schemas.microsoft.com/office/spreadsheetml/2009/9/main" objectType="CheckBox" fmlaLink="Ber_Lab_Neo!Q33" lockText="1"/>
</file>

<file path=xl/ctrlProps/ctrlProp1228.xml><?xml version="1.0" encoding="utf-8"?>
<formControlPr xmlns="http://schemas.microsoft.com/office/spreadsheetml/2009/9/main" objectType="CheckBox" fmlaLink="Ber_Lab_Neo!Q34" lockText="1"/>
</file>

<file path=xl/ctrlProps/ctrlProp1229.xml><?xml version="1.0" encoding="utf-8"?>
<formControlPr xmlns="http://schemas.microsoft.com/office/spreadsheetml/2009/9/main" objectType="CheckBox" fmlaLink="Ber_Lab_Neo!Q9" lockText="1"/>
</file>

<file path=xl/ctrlProps/ctrlProp1230.xml><?xml version="1.0" encoding="utf-8"?>
<formControlPr xmlns="http://schemas.microsoft.com/office/spreadsheetml/2009/9/main" objectType="CheckBox" fmlaLink="Ber_Lab_Neo!Q11" lockText="1"/>
</file>

<file path=xl/ctrlProps/ctrlProp1231.xml><?xml version="1.0" encoding="utf-8"?>
<formControlPr xmlns="http://schemas.microsoft.com/office/spreadsheetml/2009/9/main" objectType="CheckBox" fmlaLink="Ber_Lab_Neo!Q15" lockText="1"/>
</file>

<file path=xl/ctrlProps/ctrlProp1232.xml><?xml version="1.0" encoding="utf-8"?>
<formControlPr xmlns="http://schemas.microsoft.com/office/spreadsheetml/2009/9/main" objectType="CheckBox" fmlaLink="Ber_Lab_Neo!Q22" lockText="1"/>
</file>

<file path=xl/ctrlProps/ctrlProp1233.xml><?xml version="1.0" encoding="utf-8"?>
<formControlPr xmlns="http://schemas.microsoft.com/office/spreadsheetml/2009/9/main" objectType="CheckBox" fmlaLink="Ber_Lab_Neo!Q23" lockText="1"/>
</file>

<file path=xl/ctrlProps/ctrlProp1234.xml><?xml version="1.0" encoding="utf-8"?>
<formControlPr xmlns="http://schemas.microsoft.com/office/spreadsheetml/2009/9/main" objectType="CheckBox" fmlaLink="Ber_Lab_Neo!Q24" lockText="1"/>
</file>

<file path=xl/ctrlProps/ctrlProp1235.xml><?xml version="1.0" encoding="utf-8"?>
<formControlPr xmlns="http://schemas.microsoft.com/office/spreadsheetml/2009/9/main" objectType="CheckBox" fmlaLink="Ber_Lab_Neo!Q25" lockText="1"/>
</file>

<file path=xl/ctrlProps/ctrlProp1236.xml><?xml version="1.0" encoding="utf-8"?>
<formControlPr xmlns="http://schemas.microsoft.com/office/spreadsheetml/2009/9/main" objectType="CheckBox" fmlaLink="Ber_Lab_Neo!Q26" lockText="1"/>
</file>

<file path=xl/ctrlProps/ctrlProp1237.xml><?xml version="1.0" encoding="utf-8"?>
<formControlPr xmlns="http://schemas.microsoft.com/office/spreadsheetml/2009/9/main" objectType="CheckBox" fmlaLink="Ber_Lab_Neo!Q29" lockText="1"/>
</file>

<file path=xl/ctrlProps/ctrlProp1238.xml><?xml version="1.0" encoding="utf-8"?>
<formControlPr xmlns="http://schemas.microsoft.com/office/spreadsheetml/2009/9/main" objectType="CheckBox" fmlaLink="Ber_Lab_Neo!Q18" lockText="1"/>
</file>

<file path=xl/ctrlProps/ctrlProp1239.xml><?xml version="1.0" encoding="utf-8"?>
<formControlPr xmlns="http://schemas.microsoft.com/office/spreadsheetml/2009/9/main" objectType="CheckBox" fmlaLink="Ber_Lab_Neo!Q10" lockText="1"/>
</file>

<file path=xl/ctrlProps/ctrlProp1240.xml><?xml version="1.0" encoding="utf-8"?>
<formControlPr xmlns="http://schemas.microsoft.com/office/spreadsheetml/2009/9/main" objectType="CheckBox" fmlaLink="Ber_Lab_Neo!Q31" lockText="1"/>
</file>

<file path=xl/ctrlProps/ctrlProp1241.xml><?xml version="1.0" encoding="utf-8"?>
<formControlPr xmlns="http://schemas.microsoft.com/office/spreadsheetml/2009/9/main" objectType="CheckBox" fmlaLink="Ber_Lab_Neo!Q27" lockText="1"/>
</file>

<file path=xl/ctrlProps/ctrlProp1242.xml><?xml version="1.0" encoding="utf-8"?>
<formControlPr xmlns="http://schemas.microsoft.com/office/spreadsheetml/2009/9/main" objectType="CheckBox" fmlaLink="Ber_Lab_Neo!$S$4" lockText="1"/>
</file>

<file path=xl/ctrlProps/ctrlProp1243.xml><?xml version="1.0" encoding="utf-8"?>
<formControlPr xmlns="http://schemas.microsoft.com/office/spreadsheetml/2009/9/main" objectType="CheckBox" fmlaLink="Ber_Lab_Neo!S5" lockText="1"/>
</file>

<file path=xl/ctrlProps/ctrlProp1244.xml><?xml version="1.0" encoding="utf-8"?>
<formControlPr xmlns="http://schemas.microsoft.com/office/spreadsheetml/2009/9/main" objectType="CheckBox" fmlaLink="Ber_Lab_Neo!S7" lockText="1"/>
</file>

<file path=xl/ctrlProps/ctrlProp1245.xml><?xml version="1.0" encoding="utf-8"?>
<formControlPr xmlns="http://schemas.microsoft.com/office/spreadsheetml/2009/9/main" objectType="CheckBox" fmlaLink="Ber_Lab_Neo!S8" lockText="1"/>
</file>

<file path=xl/ctrlProps/ctrlProp1246.xml><?xml version="1.0" encoding="utf-8"?>
<formControlPr xmlns="http://schemas.microsoft.com/office/spreadsheetml/2009/9/main" objectType="CheckBox" fmlaLink="Ber_Lab_Neo!S14" lockText="1"/>
</file>

<file path=xl/ctrlProps/ctrlProp1247.xml><?xml version="1.0" encoding="utf-8"?>
<formControlPr xmlns="http://schemas.microsoft.com/office/spreadsheetml/2009/9/main" objectType="CheckBox" fmlaLink="Ber_Lab_Neo!S13" lockText="1"/>
</file>

<file path=xl/ctrlProps/ctrlProp1248.xml><?xml version="1.0" encoding="utf-8"?>
<formControlPr xmlns="http://schemas.microsoft.com/office/spreadsheetml/2009/9/main" objectType="CheckBox" fmlaLink="Ber_Lab_Neo!S30" lockText="1"/>
</file>

<file path=xl/ctrlProps/ctrlProp1249.xml><?xml version="1.0" encoding="utf-8"?>
<formControlPr xmlns="http://schemas.microsoft.com/office/spreadsheetml/2009/9/main" objectType="CheckBox" fmlaLink="Ber_Lab_Neo!S16" lockText="1"/>
</file>

<file path=xl/ctrlProps/ctrlProp1250.xml><?xml version="1.0" encoding="utf-8"?>
<formControlPr xmlns="http://schemas.microsoft.com/office/spreadsheetml/2009/9/main" objectType="CheckBox" fmlaLink="Ber_Lab_Neo!S19" lockText="1"/>
</file>

<file path=xl/ctrlProps/ctrlProp1251.xml><?xml version="1.0" encoding="utf-8"?>
<formControlPr xmlns="http://schemas.microsoft.com/office/spreadsheetml/2009/9/main" objectType="CheckBox" fmlaLink="Ber_Lab_Neo!S20" lockText="1"/>
</file>

<file path=xl/ctrlProps/ctrlProp1252.xml><?xml version="1.0" encoding="utf-8"?>
<formControlPr xmlns="http://schemas.microsoft.com/office/spreadsheetml/2009/9/main" objectType="CheckBox" fmlaLink="Ber_Lab_Neo!S21" lockText="1"/>
</file>

<file path=xl/ctrlProps/ctrlProp1253.xml><?xml version="1.0" encoding="utf-8"?>
<formControlPr xmlns="http://schemas.microsoft.com/office/spreadsheetml/2009/9/main" objectType="CheckBox" fmlaLink="Ber_Lab_Neo!S12" lockText="1"/>
</file>

<file path=xl/ctrlProps/ctrlProp1254.xml><?xml version="1.0" encoding="utf-8"?>
<formControlPr xmlns="http://schemas.microsoft.com/office/spreadsheetml/2009/9/main" objectType="CheckBox" fmlaLink="Ber_Lab_Neo!S28" lockText="1"/>
</file>

<file path=xl/ctrlProps/ctrlProp1255.xml><?xml version="1.0" encoding="utf-8"?>
<formControlPr xmlns="http://schemas.microsoft.com/office/spreadsheetml/2009/9/main" objectType="CheckBox" fmlaLink="Ber_Lab_Neo!S32" lockText="1"/>
</file>

<file path=xl/ctrlProps/ctrlProp1256.xml><?xml version="1.0" encoding="utf-8"?>
<formControlPr xmlns="http://schemas.microsoft.com/office/spreadsheetml/2009/9/main" objectType="CheckBox" fmlaLink="Ber_Lab_Neo!S6" lockText="1"/>
</file>

<file path=xl/ctrlProps/ctrlProp1257.xml><?xml version="1.0" encoding="utf-8"?>
<formControlPr xmlns="http://schemas.microsoft.com/office/spreadsheetml/2009/9/main" objectType="CheckBox" fmlaLink="Ber_Lab_Neo!S17" lockText="1"/>
</file>

<file path=xl/ctrlProps/ctrlProp1258.xml><?xml version="1.0" encoding="utf-8"?>
<formControlPr xmlns="http://schemas.microsoft.com/office/spreadsheetml/2009/9/main" objectType="CheckBox" fmlaLink="Ber_Lab_Neo!S33" lockText="1"/>
</file>

<file path=xl/ctrlProps/ctrlProp1259.xml><?xml version="1.0" encoding="utf-8"?>
<formControlPr xmlns="http://schemas.microsoft.com/office/spreadsheetml/2009/9/main" objectType="CheckBox" fmlaLink="Ber_Lab_Neo!S34" lockText="1"/>
</file>

<file path=xl/ctrlProps/ctrlProp1260.xml><?xml version="1.0" encoding="utf-8"?>
<formControlPr xmlns="http://schemas.microsoft.com/office/spreadsheetml/2009/9/main" objectType="CheckBox" fmlaLink="Ber_Lab_Neo!S9" lockText="1"/>
</file>

<file path=xl/ctrlProps/ctrlProp1261.xml><?xml version="1.0" encoding="utf-8"?>
<formControlPr xmlns="http://schemas.microsoft.com/office/spreadsheetml/2009/9/main" objectType="CheckBox" fmlaLink="Ber_Lab_Neo!S11" lockText="1"/>
</file>

<file path=xl/ctrlProps/ctrlProp1262.xml><?xml version="1.0" encoding="utf-8"?>
<formControlPr xmlns="http://schemas.microsoft.com/office/spreadsheetml/2009/9/main" objectType="CheckBox" fmlaLink="Ber_Lab_Neo!S15" lockText="1"/>
</file>

<file path=xl/ctrlProps/ctrlProp1263.xml><?xml version="1.0" encoding="utf-8"?>
<formControlPr xmlns="http://schemas.microsoft.com/office/spreadsheetml/2009/9/main" objectType="CheckBox" fmlaLink="Ber_Lab_Neo!S22" lockText="1"/>
</file>

<file path=xl/ctrlProps/ctrlProp1264.xml><?xml version="1.0" encoding="utf-8"?>
<formControlPr xmlns="http://schemas.microsoft.com/office/spreadsheetml/2009/9/main" objectType="CheckBox" fmlaLink="Ber_Lab_Neo!S23" lockText="1"/>
</file>

<file path=xl/ctrlProps/ctrlProp1265.xml><?xml version="1.0" encoding="utf-8"?>
<formControlPr xmlns="http://schemas.microsoft.com/office/spreadsheetml/2009/9/main" objectType="CheckBox" fmlaLink="Ber_Lab_Neo!S24" lockText="1"/>
</file>

<file path=xl/ctrlProps/ctrlProp1266.xml><?xml version="1.0" encoding="utf-8"?>
<formControlPr xmlns="http://schemas.microsoft.com/office/spreadsheetml/2009/9/main" objectType="CheckBox" fmlaLink="Ber_Lab_Neo!S25" lockText="1"/>
</file>

<file path=xl/ctrlProps/ctrlProp1267.xml><?xml version="1.0" encoding="utf-8"?>
<formControlPr xmlns="http://schemas.microsoft.com/office/spreadsheetml/2009/9/main" objectType="CheckBox" fmlaLink="Ber_Lab_Neo!S26" lockText="1"/>
</file>

<file path=xl/ctrlProps/ctrlProp1268.xml><?xml version="1.0" encoding="utf-8"?>
<formControlPr xmlns="http://schemas.microsoft.com/office/spreadsheetml/2009/9/main" objectType="CheckBox" fmlaLink="Ber_Lab_Neo!S29" lockText="1"/>
</file>

<file path=xl/ctrlProps/ctrlProp1269.xml><?xml version="1.0" encoding="utf-8"?>
<formControlPr xmlns="http://schemas.microsoft.com/office/spreadsheetml/2009/9/main" objectType="CheckBox" fmlaLink="Ber_Lab_Neo!S18" lockText="1"/>
</file>

<file path=xl/ctrlProps/ctrlProp1270.xml><?xml version="1.0" encoding="utf-8"?>
<formControlPr xmlns="http://schemas.microsoft.com/office/spreadsheetml/2009/9/main" objectType="CheckBox" fmlaLink="Ber_Lab_Neo!S10" lockText="1"/>
</file>

<file path=xl/ctrlProps/ctrlProp1271.xml><?xml version="1.0" encoding="utf-8"?>
<formControlPr xmlns="http://schemas.microsoft.com/office/spreadsheetml/2009/9/main" objectType="CheckBox" fmlaLink="Ber_Lab_Neo!S31" lockText="1"/>
</file>

<file path=xl/ctrlProps/ctrlProp1272.xml><?xml version="1.0" encoding="utf-8"?>
<formControlPr xmlns="http://schemas.microsoft.com/office/spreadsheetml/2009/9/main" objectType="CheckBox" fmlaLink="Ber_Lab_Neo!S27" lockText="1"/>
</file>

<file path=xl/ctrlProps/ctrlProp1273.xml><?xml version="1.0" encoding="utf-8"?>
<formControlPr xmlns="http://schemas.microsoft.com/office/spreadsheetml/2009/9/main" objectType="Spin" dx="15" fmlaLink="dbBead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08" Type="http://schemas.openxmlformats.org/officeDocument/2006/relationships/ctrlProp" Target="../ctrlProps/ctrlProp182.xml"/><Relationship Id="rId124" Type="http://schemas.openxmlformats.org/officeDocument/2006/relationships/ctrlProp" Target="../ctrlProps/ctrlProp198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0" Type="http://schemas.openxmlformats.org/officeDocument/2006/relationships/ctrlProp" Target="../ctrlProps/ctrlProp144.xml"/><Relationship Id="rId75" Type="http://schemas.openxmlformats.org/officeDocument/2006/relationships/ctrlProp" Target="../ctrlProps/ctrlProp149.xml"/><Relationship Id="rId91" Type="http://schemas.openxmlformats.org/officeDocument/2006/relationships/ctrlProp" Target="../ctrlProps/ctrlProp165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45" Type="http://schemas.openxmlformats.org/officeDocument/2006/relationships/ctrlProp" Target="../ctrlProps/ctrlProp219.xml"/><Relationship Id="rId161" Type="http://schemas.openxmlformats.org/officeDocument/2006/relationships/ctrlProp" Target="../ctrlProps/ctrlProp235.xml"/><Relationship Id="rId166" Type="http://schemas.openxmlformats.org/officeDocument/2006/relationships/ctrlProp" Target="../ctrlProps/ctrlProp240.xml"/><Relationship Id="rId182" Type="http://schemas.openxmlformats.org/officeDocument/2006/relationships/ctrlProp" Target="../ctrlProps/ctrlProp256.xml"/><Relationship Id="rId187" Type="http://schemas.openxmlformats.org/officeDocument/2006/relationships/ctrlProp" Target="../ctrlProps/ctrlProp261.xml"/><Relationship Id="rId217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0" Type="http://schemas.openxmlformats.org/officeDocument/2006/relationships/ctrlProp" Target="../ctrlProps/ctrlProp134.xml"/><Relationship Id="rId65" Type="http://schemas.openxmlformats.org/officeDocument/2006/relationships/ctrlProp" Target="../ctrlProps/ctrlProp139.xml"/><Relationship Id="rId81" Type="http://schemas.openxmlformats.org/officeDocument/2006/relationships/ctrlProp" Target="../ctrlProps/ctrlProp155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35" Type="http://schemas.openxmlformats.org/officeDocument/2006/relationships/ctrlProp" Target="../ctrlProps/ctrlProp209.xml"/><Relationship Id="rId151" Type="http://schemas.openxmlformats.org/officeDocument/2006/relationships/ctrlProp" Target="../ctrlProps/ctrlProp225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2" Type="http://schemas.openxmlformats.org/officeDocument/2006/relationships/ctrlProp" Target="../ctrlProps/ctrlProp276.xml"/><Relationship Id="rId207" Type="http://schemas.openxmlformats.org/officeDocument/2006/relationships/ctrlProp" Target="../ctrlProps/ctrlProp281.xml"/><Relationship Id="rId223" Type="http://schemas.openxmlformats.org/officeDocument/2006/relationships/ctrlProp" Target="../ctrlProps/ctrlProp297.xml"/><Relationship Id="rId228" Type="http://schemas.openxmlformats.org/officeDocument/2006/relationships/ctrlProp" Target="../ctrlProps/ctrlProp302.xml"/><Relationship Id="rId244" Type="http://schemas.openxmlformats.org/officeDocument/2006/relationships/ctrlProp" Target="../ctrlProps/ctrlProp318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0" Type="http://schemas.openxmlformats.org/officeDocument/2006/relationships/ctrlProp" Target="../ctrlProps/ctrlProp124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04" Type="http://schemas.openxmlformats.org/officeDocument/2006/relationships/ctrlProp" Target="../ctrlProps/ctrlProp178.xml"/><Relationship Id="rId120" Type="http://schemas.openxmlformats.org/officeDocument/2006/relationships/ctrlProp" Target="../ctrlProps/ctrlProp194.xml"/><Relationship Id="rId125" Type="http://schemas.openxmlformats.org/officeDocument/2006/relationships/ctrlProp" Target="../ctrlProps/ctrlProp199.xml"/><Relationship Id="rId141" Type="http://schemas.openxmlformats.org/officeDocument/2006/relationships/ctrlProp" Target="../ctrlProps/ctrlProp215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" Type="http://schemas.openxmlformats.org/officeDocument/2006/relationships/ctrlProp" Target="../ctrlProps/ctrlProp81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3" Type="http://schemas.openxmlformats.org/officeDocument/2006/relationships/ctrlProp" Target="../ctrlProps/ctrlProp287.xml"/><Relationship Id="rId218" Type="http://schemas.openxmlformats.org/officeDocument/2006/relationships/ctrlProp" Target="../ctrlProps/ctrlProp292.xml"/><Relationship Id="rId234" Type="http://schemas.openxmlformats.org/officeDocument/2006/relationships/ctrlProp" Target="../ctrlProps/ctrlProp308.xml"/><Relationship Id="rId239" Type="http://schemas.openxmlformats.org/officeDocument/2006/relationships/ctrlProp" Target="../ctrlProps/ctrlProp313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24" Type="http://schemas.openxmlformats.org/officeDocument/2006/relationships/ctrlProp" Target="../ctrlProps/ctrlProp98.xml"/><Relationship Id="rId40" Type="http://schemas.openxmlformats.org/officeDocument/2006/relationships/ctrlProp" Target="../ctrlProps/ctrlProp114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15" Type="http://schemas.openxmlformats.org/officeDocument/2006/relationships/ctrlProp" Target="../ctrlProps/ctrlProp189.xml"/><Relationship Id="rId131" Type="http://schemas.openxmlformats.org/officeDocument/2006/relationships/ctrlProp" Target="../ctrlProps/ctrlProp205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0" Type="http://schemas.openxmlformats.org/officeDocument/2006/relationships/ctrlProp" Target="../ctrlProps/ctrlProp314.xml"/><Relationship Id="rId245" Type="http://schemas.openxmlformats.org/officeDocument/2006/relationships/ctrlProp" Target="../ctrlProps/ctrlProp319.xml"/><Relationship Id="rId14" Type="http://schemas.openxmlformats.org/officeDocument/2006/relationships/ctrlProp" Target="../ctrlProps/ctrlProp88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8" Type="http://schemas.openxmlformats.org/officeDocument/2006/relationships/ctrlProp" Target="../ctrlProps/ctrlProp8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189" Type="http://schemas.openxmlformats.org/officeDocument/2006/relationships/ctrlProp" Target="../ctrlProps/ctrlProp263.xml"/><Relationship Id="rId219" Type="http://schemas.openxmlformats.org/officeDocument/2006/relationships/ctrlProp" Target="../ctrlProps/ctrlProp29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0" Type="http://schemas.openxmlformats.org/officeDocument/2006/relationships/ctrlProp" Target="../ctrlProps/ctrlProp304.xml"/><Relationship Id="rId235" Type="http://schemas.openxmlformats.org/officeDocument/2006/relationships/ctrlProp" Target="../ctrlProps/ctrlProp309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79" Type="http://schemas.openxmlformats.org/officeDocument/2006/relationships/ctrlProp" Target="../ctrlProps/ctrlProp253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0" Type="http://schemas.openxmlformats.org/officeDocument/2006/relationships/ctrlProp" Target="../ctrlProps/ctrlProp294.xml"/><Relationship Id="rId225" Type="http://schemas.openxmlformats.org/officeDocument/2006/relationships/ctrlProp" Target="../ctrlProps/ctrlProp299.xml"/><Relationship Id="rId241" Type="http://schemas.openxmlformats.org/officeDocument/2006/relationships/ctrlProp" Target="../ctrlProps/ctrlProp315.xml"/><Relationship Id="rId246" Type="http://schemas.openxmlformats.org/officeDocument/2006/relationships/ctrlProp" Target="../ctrlProps/ctrlProp320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9.xml"/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0" Type="http://schemas.openxmlformats.org/officeDocument/2006/relationships/ctrlProp" Target="../ctrlProps/ctrlProp351.xml"/><Relationship Id="rId29" Type="http://schemas.openxmlformats.org/officeDocument/2006/relationships/ctrlProp" Target="../ctrlProps/ctrlProp360.xml"/><Relationship Id="rId41" Type="http://schemas.openxmlformats.org/officeDocument/2006/relationships/ctrlProp" Target="../ctrlProps/ctrlProp37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9.xml"/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47" Type="http://schemas.openxmlformats.org/officeDocument/2006/relationships/ctrlProp" Target="../ctrlProps/ctrlProp420.xml"/><Relationship Id="rId63" Type="http://schemas.openxmlformats.org/officeDocument/2006/relationships/ctrlProp" Target="../ctrlProps/ctrlProp436.xml"/><Relationship Id="rId68" Type="http://schemas.openxmlformats.org/officeDocument/2006/relationships/ctrlProp" Target="../ctrlProps/ctrlProp441.xml"/><Relationship Id="rId84" Type="http://schemas.openxmlformats.org/officeDocument/2006/relationships/ctrlProp" Target="../ctrlProps/ctrlProp457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38" Type="http://schemas.openxmlformats.org/officeDocument/2006/relationships/ctrlProp" Target="../ctrlProps/ctrlProp511.xml"/><Relationship Id="rId154" Type="http://schemas.openxmlformats.org/officeDocument/2006/relationships/ctrlProp" Target="../ctrlProps/ctrlProp527.xml"/><Relationship Id="rId159" Type="http://schemas.openxmlformats.org/officeDocument/2006/relationships/ctrlProp" Target="../ctrlProps/ctrlProp532.xml"/><Relationship Id="rId16" Type="http://schemas.openxmlformats.org/officeDocument/2006/relationships/ctrlProp" Target="../ctrlProps/ctrlProp389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37" Type="http://schemas.openxmlformats.org/officeDocument/2006/relationships/ctrlProp" Target="../ctrlProps/ctrlProp410.xml"/><Relationship Id="rId53" Type="http://schemas.openxmlformats.org/officeDocument/2006/relationships/ctrlProp" Target="../ctrlProps/ctrlProp426.xml"/><Relationship Id="rId58" Type="http://schemas.openxmlformats.org/officeDocument/2006/relationships/ctrlProp" Target="../ctrlProps/ctrlProp431.xml"/><Relationship Id="rId74" Type="http://schemas.openxmlformats.org/officeDocument/2006/relationships/ctrlProp" Target="../ctrlProps/ctrlProp447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28" Type="http://schemas.openxmlformats.org/officeDocument/2006/relationships/ctrlProp" Target="../ctrlProps/ctrlProp501.xml"/><Relationship Id="rId144" Type="http://schemas.openxmlformats.org/officeDocument/2006/relationships/ctrlProp" Target="../ctrlProps/ctrlProp517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0" Type="http://schemas.openxmlformats.org/officeDocument/2006/relationships/ctrlProp" Target="../ctrlProps/ctrlProp463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27" Type="http://schemas.openxmlformats.org/officeDocument/2006/relationships/ctrlProp" Target="../ctrlProps/ctrlProp400.xml"/><Relationship Id="rId43" Type="http://schemas.openxmlformats.org/officeDocument/2006/relationships/ctrlProp" Target="../ctrlProps/ctrlProp416.xml"/><Relationship Id="rId48" Type="http://schemas.openxmlformats.org/officeDocument/2006/relationships/ctrlProp" Target="../ctrlProps/ctrlProp421.xml"/><Relationship Id="rId64" Type="http://schemas.openxmlformats.org/officeDocument/2006/relationships/ctrlProp" Target="../ctrlProps/ctrlProp437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18" Type="http://schemas.openxmlformats.org/officeDocument/2006/relationships/ctrlProp" Target="../ctrlProps/ctrlProp491.xml"/><Relationship Id="rId134" Type="http://schemas.openxmlformats.org/officeDocument/2006/relationships/ctrlProp" Target="../ctrlProps/ctrlProp507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54" Type="http://schemas.openxmlformats.org/officeDocument/2006/relationships/ctrlProp" Target="../ctrlProps/ctrlProp427.xml"/><Relationship Id="rId62" Type="http://schemas.openxmlformats.org/officeDocument/2006/relationships/ctrlProp" Target="../ctrlProps/ctrlProp435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53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15" Type="http://schemas.openxmlformats.org/officeDocument/2006/relationships/ctrlProp" Target="../ctrlProps/ctrlProp388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36" Type="http://schemas.openxmlformats.org/officeDocument/2006/relationships/ctrlProp" Target="../ctrlProps/ctrlProp409.xml"/><Relationship Id="rId49" Type="http://schemas.openxmlformats.org/officeDocument/2006/relationships/ctrlProp" Target="../ctrlProps/ctrlProp422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44" Type="http://schemas.openxmlformats.org/officeDocument/2006/relationships/ctrlProp" Target="../ctrlProps/ctrlProp417.xml"/><Relationship Id="rId52" Type="http://schemas.openxmlformats.org/officeDocument/2006/relationships/ctrlProp" Target="../ctrlProps/ctrlProp425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26" Type="http://schemas.openxmlformats.org/officeDocument/2006/relationships/ctrlProp" Target="../ctrlProps/ctrlProp556.xml"/><Relationship Id="rId39" Type="http://schemas.openxmlformats.org/officeDocument/2006/relationships/ctrlProp" Target="../ctrlProps/ctrlProp569.xml"/><Relationship Id="rId21" Type="http://schemas.openxmlformats.org/officeDocument/2006/relationships/ctrlProp" Target="../ctrlProps/ctrlProp551.xml"/><Relationship Id="rId34" Type="http://schemas.openxmlformats.org/officeDocument/2006/relationships/ctrlProp" Target="../ctrlProps/ctrlProp564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6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61" Type="http://schemas.openxmlformats.org/officeDocument/2006/relationships/ctrlProp" Target="../ctrlProps/ctrlProp591.xml"/><Relationship Id="rId10" Type="http://schemas.openxmlformats.org/officeDocument/2006/relationships/ctrlProp" Target="../ctrlProps/ctrlProp540.xml"/><Relationship Id="rId19" Type="http://schemas.openxmlformats.org/officeDocument/2006/relationships/ctrlProp" Target="../ctrlProps/ctrlProp549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3.xml"/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56" Type="http://schemas.openxmlformats.org/officeDocument/2006/relationships/ctrlProp" Target="../ctrlProps/ctrlProp653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25" Type="http://schemas.openxmlformats.org/officeDocument/2006/relationships/ctrlProp" Target="../ctrlProps/ctrlProp622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46" Type="http://schemas.openxmlformats.org/officeDocument/2006/relationships/ctrlProp" Target="../ctrlProps/ctrlProp643.xml"/><Relationship Id="rId59" Type="http://schemas.openxmlformats.org/officeDocument/2006/relationships/ctrlProp" Target="../ctrlProps/ctrlProp656.xml"/><Relationship Id="rId67" Type="http://schemas.openxmlformats.org/officeDocument/2006/relationships/ctrlProp" Target="../ctrlProps/ctrlProp664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16" Type="http://schemas.openxmlformats.org/officeDocument/2006/relationships/ctrlProp" Target="../ctrlProps/ctrlProp713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54" Type="http://schemas.openxmlformats.org/officeDocument/2006/relationships/ctrlProp" Target="../ctrlProps/ctrlProp651.xml"/><Relationship Id="rId62" Type="http://schemas.openxmlformats.org/officeDocument/2006/relationships/ctrlProp" Target="../ctrlProps/ctrlProp659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11" Type="http://schemas.openxmlformats.org/officeDocument/2006/relationships/ctrlProp" Target="../ctrlProps/ctrlProp708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3.xml"/><Relationship Id="rId15" Type="http://schemas.openxmlformats.org/officeDocument/2006/relationships/ctrlProp" Target="../ctrlProps/ctrlProp612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36" Type="http://schemas.openxmlformats.org/officeDocument/2006/relationships/ctrlProp" Target="../ctrlProps/ctrlProp633.xml"/><Relationship Id="rId49" Type="http://schemas.openxmlformats.org/officeDocument/2006/relationships/ctrlProp" Target="../ctrlProps/ctrlProp646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44" Type="http://schemas.openxmlformats.org/officeDocument/2006/relationships/ctrlProp" Target="../ctrlProps/ctrlProp641.xml"/><Relationship Id="rId52" Type="http://schemas.openxmlformats.org/officeDocument/2006/relationships/ctrlProp" Target="../ctrlProps/ctrlProp649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130" Type="http://schemas.openxmlformats.org/officeDocument/2006/relationships/ctrlProp" Target="../ctrlProps/ctrlProp727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1.xml"/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47" Type="http://schemas.openxmlformats.org/officeDocument/2006/relationships/ctrlProp" Target="../ctrlProps/ctrlProp772.xml"/><Relationship Id="rId63" Type="http://schemas.openxmlformats.org/officeDocument/2006/relationships/ctrlProp" Target="../ctrlProps/ctrlProp788.xml"/><Relationship Id="rId68" Type="http://schemas.openxmlformats.org/officeDocument/2006/relationships/ctrlProp" Target="../ctrlProps/ctrlProp793.xml"/><Relationship Id="rId84" Type="http://schemas.openxmlformats.org/officeDocument/2006/relationships/ctrlProp" Target="../ctrlProps/ctrlProp809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38" Type="http://schemas.openxmlformats.org/officeDocument/2006/relationships/ctrlProp" Target="../ctrlProps/ctrlProp863.xml"/><Relationship Id="rId16" Type="http://schemas.openxmlformats.org/officeDocument/2006/relationships/ctrlProp" Target="../ctrlProps/ctrlProp741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37" Type="http://schemas.openxmlformats.org/officeDocument/2006/relationships/ctrlProp" Target="../ctrlProps/ctrlProp762.xml"/><Relationship Id="rId53" Type="http://schemas.openxmlformats.org/officeDocument/2006/relationships/ctrlProp" Target="../ctrlProps/ctrlProp778.xml"/><Relationship Id="rId58" Type="http://schemas.openxmlformats.org/officeDocument/2006/relationships/ctrlProp" Target="../ctrlProps/ctrlProp783.xml"/><Relationship Id="rId74" Type="http://schemas.openxmlformats.org/officeDocument/2006/relationships/ctrlProp" Target="../ctrlProps/ctrlProp799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28" Type="http://schemas.openxmlformats.org/officeDocument/2006/relationships/ctrlProp" Target="../ctrlProps/ctrlProp853.xml"/><Relationship Id="rId144" Type="http://schemas.openxmlformats.org/officeDocument/2006/relationships/ctrlProp" Target="../ctrlProps/ctrlProp869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25" Type="http://schemas.openxmlformats.org/officeDocument/2006/relationships/ctrlProp" Target="../ctrlProps/ctrlProp750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46" Type="http://schemas.openxmlformats.org/officeDocument/2006/relationships/ctrlProp" Target="../ctrlProps/ctrlProp771.xml"/><Relationship Id="rId59" Type="http://schemas.openxmlformats.org/officeDocument/2006/relationships/ctrlProp" Target="../ctrlProps/ctrlProp784.xml"/><Relationship Id="rId67" Type="http://schemas.openxmlformats.org/officeDocument/2006/relationships/ctrlProp" Target="../ctrlProps/ctrlProp792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16" Type="http://schemas.openxmlformats.org/officeDocument/2006/relationships/ctrlProp" Target="../ctrlProps/ctrlProp841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54" Type="http://schemas.openxmlformats.org/officeDocument/2006/relationships/ctrlProp" Target="../ctrlProps/ctrlProp779.xml"/><Relationship Id="rId62" Type="http://schemas.openxmlformats.org/officeDocument/2006/relationships/ctrlProp" Target="../ctrlProps/ctrlProp787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1.xml"/><Relationship Id="rId15" Type="http://schemas.openxmlformats.org/officeDocument/2006/relationships/ctrlProp" Target="../ctrlProps/ctrlProp740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36" Type="http://schemas.openxmlformats.org/officeDocument/2006/relationships/ctrlProp" Target="../ctrlProps/ctrlProp761.xml"/><Relationship Id="rId49" Type="http://schemas.openxmlformats.org/officeDocument/2006/relationships/ctrlProp" Target="../ctrlProps/ctrlProp774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44" Type="http://schemas.openxmlformats.org/officeDocument/2006/relationships/ctrlProp" Target="../ctrlProps/ctrlProp769.xml"/><Relationship Id="rId52" Type="http://schemas.openxmlformats.org/officeDocument/2006/relationships/ctrlProp" Target="../ctrlProps/ctrlProp777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56" Type="http://schemas.openxmlformats.org/officeDocument/2006/relationships/ctrlProp" Target="../ctrlProps/ctrlProp924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25" Type="http://schemas.openxmlformats.org/officeDocument/2006/relationships/ctrlProp" Target="../ctrlProps/ctrlProp893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46" Type="http://schemas.openxmlformats.org/officeDocument/2006/relationships/ctrlProp" Target="../ctrlProps/ctrlProp914.xml"/><Relationship Id="rId59" Type="http://schemas.openxmlformats.org/officeDocument/2006/relationships/ctrlProp" Target="../ctrlProps/ctrlProp927.xml"/><Relationship Id="rId67" Type="http://schemas.openxmlformats.org/officeDocument/2006/relationships/ctrlProp" Target="../ctrlProps/ctrlProp935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16" Type="http://schemas.openxmlformats.org/officeDocument/2006/relationships/ctrlProp" Target="../ctrlProps/ctrlProp984.xml"/><Relationship Id="rId124" Type="http://schemas.openxmlformats.org/officeDocument/2006/relationships/ctrlProp" Target="../ctrlProps/ctrlProp992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54" Type="http://schemas.openxmlformats.org/officeDocument/2006/relationships/ctrlProp" Target="../ctrlProps/ctrlProp922.xml"/><Relationship Id="rId62" Type="http://schemas.openxmlformats.org/officeDocument/2006/relationships/ctrlProp" Target="../ctrlProps/ctrlProp930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11" Type="http://schemas.openxmlformats.org/officeDocument/2006/relationships/ctrlProp" Target="../ctrlProps/ctrlProp979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4.xml"/><Relationship Id="rId15" Type="http://schemas.openxmlformats.org/officeDocument/2006/relationships/ctrlProp" Target="../ctrlProps/ctrlProp883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36" Type="http://schemas.openxmlformats.org/officeDocument/2006/relationships/ctrlProp" Target="../ctrlProps/ctrlProp904.xml"/><Relationship Id="rId49" Type="http://schemas.openxmlformats.org/officeDocument/2006/relationships/ctrlProp" Target="../ctrlProps/ctrlProp917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44" Type="http://schemas.openxmlformats.org/officeDocument/2006/relationships/ctrlProp" Target="../ctrlProps/ctrlProp912.xml"/><Relationship Id="rId52" Type="http://schemas.openxmlformats.org/officeDocument/2006/relationships/ctrlProp" Target="../ctrlProps/ctrlProp920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42" Type="http://schemas.openxmlformats.org/officeDocument/2006/relationships/ctrlProp" Target="../ctrlProps/ctrlProp1031.xml"/><Relationship Id="rId63" Type="http://schemas.openxmlformats.org/officeDocument/2006/relationships/ctrlProp" Target="../ctrlProps/ctrlProp1052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26" Type="http://schemas.openxmlformats.org/officeDocument/2006/relationships/ctrlProp" Target="../ctrlProps/ctrlProp1215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268" Type="http://schemas.openxmlformats.org/officeDocument/2006/relationships/ctrlProp" Target="../ctrlProps/ctrlProp1257.xml"/><Relationship Id="rId11" Type="http://schemas.openxmlformats.org/officeDocument/2006/relationships/ctrlProp" Target="../ctrlProps/ctrlProp1000.xml"/><Relationship Id="rId32" Type="http://schemas.openxmlformats.org/officeDocument/2006/relationships/ctrlProp" Target="../ctrlProps/ctrlProp1021.xml"/><Relationship Id="rId53" Type="http://schemas.openxmlformats.org/officeDocument/2006/relationships/ctrlProp" Target="../ctrlProps/ctrlProp1042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149" Type="http://schemas.openxmlformats.org/officeDocument/2006/relationships/ctrlProp" Target="../ctrlProps/ctrlProp1138.xml"/><Relationship Id="rId5" Type="http://schemas.openxmlformats.org/officeDocument/2006/relationships/ctrlProp" Target="../ctrlProps/ctrlProp994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181" Type="http://schemas.openxmlformats.org/officeDocument/2006/relationships/ctrlProp" Target="../ctrlProps/ctrlProp1170.xml"/><Relationship Id="rId216" Type="http://schemas.openxmlformats.org/officeDocument/2006/relationships/ctrlProp" Target="../ctrlProps/ctrlProp1205.xml"/><Relationship Id="rId237" Type="http://schemas.openxmlformats.org/officeDocument/2006/relationships/ctrlProp" Target="../ctrlProps/ctrlProp1226.xml"/><Relationship Id="rId258" Type="http://schemas.openxmlformats.org/officeDocument/2006/relationships/ctrlProp" Target="../ctrlProps/ctrlProp1247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65" Type="http://schemas.openxmlformats.org/officeDocument/2006/relationships/ctrlProp" Target="../ctrlProps/ctrlProp1254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0" Type="http://schemas.openxmlformats.org/officeDocument/2006/relationships/ctrlProp" Target="../ctrlProps/ctrlProp1039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04" Type="http://schemas.openxmlformats.org/officeDocument/2006/relationships/ctrlProp" Target="../ctrlProps/ctrlProp1093.xml"/><Relationship Id="rId120" Type="http://schemas.openxmlformats.org/officeDocument/2006/relationships/ctrlProp" Target="../ctrlProps/ctrlProp1109.xml"/><Relationship Id="rId125" Type="http://schemas.openxmlformats.org/officeDocument/2006/relationships/ctrlProp" Target="../ctrlProps/ctrlProp1114.xml"/><Relationship Id="rId141" Type="http://schemas.openxmlformats.org/officeDocument/2006/relationships/ctrlProp" Target="../ctrlProps/ctrlProp1130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" Type="http://schemas.openxmlformats.org/officeDocument/2006/relationships/ctrlProp" Target="../ctrlProps/ctrlProp996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3" Type="http://schemas.openxmlformats.org/officeDocument/2006/relationships/ctrlProp" Target="../ctrlProps/ctrlProp1202.xml"/><Relationship Id="rId218" Type="http://schemas.openxmlformats.org/officeDocument/2006/relationships/ctrlProp" Target="../ctrlProps/ctrlProp1207.xml"/><Relationship Id="rId234" Type="http://schemas.openxmlformats.org/officeDocument/2006/relationships/ctrlProp" Target="../ctrlProps/ctrlProp1223.xml"/><Relationship Id="rId239" Type="http://schemas.openxmlformats.org/officeDocument/2006/relationships/ctrlProp" Target="../ctrlProps/ctrlProp1228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0" Type="http://schemas.openxmlformats.org/officeDocument/2006/relationships/ctrlProp" Target="../ctrlProps/ctrlProp1239.xml"/><Relationship Id="rId255" Type="http://schemas.openxmlformats.org/officeDocument/2006/relationships/ctrlProp" Target="../ctrlProps/ctrlProp1244.xml"/><Relationship Id="rId271" Type="http://schemas.openxmlformats.org/officeDocument/2006/relationships/ctrlProp" Target="../ctrlProps/ctrlProp1260.xml"/><Relationship Id="rId276" Type="http://schemas.openxmlformats.org/officeDocument/2006/relationships/ctrlProp" Target="../ctrlProps/ctrlProp1265.xml"/><Relationship Id="rId24" Type="http://schemas.openxmlformats.org/officeDocument/2006/relationships/ctrlProp" Target="../ctrlProps/ctrlProp1013.xml"/><Relationship Id="rId40" Type="http://schemas.openxmlformats.org/officeDocument/2006/relationships/ctrlProp" Target="../ctrlProps/ctrlProp1029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15" Type="http://schemas.openxmlformats.org/officeDocument/2006/relationships/ctrlProp" Target="../ctrlProps/ctrlProp1104.xml"/><Relationship Id="rId131" Type="http://schemas.openxmlformats.org/officeDocument/2006/relationships/ctrlProp" Target="../ctrlProps/ctrlProp1120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0" Type="http://schemas.openxmlformats.org/officeDocument/2006/relationships/ctrlProp" Target="../ctrlProps/ctrlProp1229.xml"/><Relationship Id="rId245" Type="http://schemas.openxmlformats.org/officeDocument/2006/relationships/ctrlProp" Target="../ctrlProps/ctrlProp1234.xml"/><Relationship Id="rId261" Type="http://schemas.openxmlformats.org/officeDocument/2006/relationships/ctrlProp" Target="../ctrlProps/ctrlProp1250.xml"/><Relationship Id="rId266" Type="http://schemas.openxmlformats.org/officeDocument/2006/relationships/ctrlProp" Target="../ctrlProps/ctrlProp1255.xml"/><Relationship Id="rId14" Type="http://schemas.openxmlformats.org/officeDocument/2006/relationships/ctrlProp" Target="../ctrlProps/ctrlProp1003.xml"/><Relationship Id="rId30" Type="http://schemas.openxmlformats.org/officeDocument/2006/relationships/ctrlProp" Target="../ctrlProps/ctrlProp1019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189" Type="http://schemas.openxmlformats.org/officeDocument/2006/relationships/ctrlProp" Target="../ctrlProps/ctrlProp1178.xml"/><Relationship Id="rId219" Type="http://schemas.openxmlformats.org/officeDocument/2006/relationships/ctrlProp" Target="../ctrlProps/ctrlProp120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0" Type="http://schemas.openxmlformats.org/officeDocument/2006/relationships/ctrlProp" Target="../ctrlProps/ctrlProp1219.xml"/><Relationship Id="rId235" Type="http://schemas.openxmlformats.org/officeDocument/2006/relationships/ctrlProp" Target="../ctrlProps/ctrlProp1224.xml"/><Relationship Id="rId251" Type="http://schemas.openxmlformats.org/officeDocument/2006/relationships/ctrlProp" Target="../ctrlProps/ctrlProp1240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72" Type="http://schemas.openxmlformats.org/officeDocument/2006/relationships/ctrlProp" Target="../ctrlProps/ctrlProp1261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79" Type="http://schemas.openxmlformats.org/officeDocument/2006/relationships/ctrlProp" Target="../ctrlProps/ctrlProp1168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0" Type="http://schemas.openxmlformats.org/officeDocument/2006/relationships/ctrlProp" Target="../ctrlProps/ctrlProp1209.xml"/><Relationship Id="rId225" Type="http://schemas.openxmlformats.org/officeDocument/2006/relationships/ctrlProp" Target="../ctrlProps/ctrlProp1214.xml"/><Relationship Id="rId241" Type="http://schemas.openxmlformats.org/officeDocument/2006/relationships/ctrlProp" Target="../ctrlProps/ctrlProp1230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78" Type="http://schemas.openxmlformats.org/officeDocument/2006/relationships/ctrlProp" Target="../ctrlProps/ctrlProp1067.xml"/><Relationship Id="rId94" Type="http://schemas.openxmlformats.org/officeDocument/2006/relationships/ctrlProp" Target="../ctrlProps/ctrlProp1083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48" Type="http://schemas.openxmlformats.org/officeDocument/2006/relationships/ctrlProp" Target="../ctrlProps/ctrlProp1137.xml"/><Relationship Id="rId164" Type="http://schemas.openxmlformats.org/officeDocument/2006/relationships/ctrlProp" Target="../ctrlProps/ctrlProp1153.xml"/><Relationship Id="rId169" Type="http://schemas.openxmlformats.org/officeDocument/2006/relationships/ctrlProp" Target="../ctrlProps/ctrlProp1158.xml"/><Relationship Id="rId185" Type="http://schemas.openxmlformats.org/officeDocument/2006/relationships/ctrlProp" Target="../ctrlProps/ctrlProp1174.xml"/><Relationship Id="rId4" Type="http://schemas.openxmlformats.org/officeDocument/2006/relationships/ctrlProp" Target="../ctrlProps/ctrlProp993.xml"/><Relationship Id="rId9" Type="http://schemas.openxmlformats.org/officeDocument/2006/relationships/ctrlProp" Target="../ctrlProps/ctrlProp998.xml"/><Relationship Id="rId180" Type="http://schemas.openxmlformats.org/officeDocument/2006/relationships/ctrlProp" Target="../ctrlProps/ctrlProp1169.xml"/><Relationship Id="rId210" Type="http://schemas.openxmlformats.org/officeDocument/2006/relationships/ctrlProp" Target="../ctrlProps/ctrlProp119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H21" sqref="H21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INDEX(tblMedicationContIV,ber_IVmed!$B3,1)</f>
        <v>0</v>
      </c>
      <c r="D9" s="161" t="str">
        <f>INDEX(tblBerMedContIV,2,5)&amp;" "&amp;INDEX(tblMedicationContIV,ber_IVmed!$B3,4)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INDEX(tblOplossing,ber_IVmed!I3,1)</f>
        <v>0</v>
      </c>
      <c r="G9" s="149" t="str">
        <f>IF(C9&lt;&gt;0,ber_IVmed!J3/10&amp;" ml/uur","")</f>
        <v/>
      </c>
      <c r="H9" s="149">
        <f>IF(C9&lt;&gt;0,(ber_IVmed!J3/10)*INDEX(tblBerMedContIV,2,7),0)</f>
        <v>0</v>
      </c>
      <c r="I9" s="149">
        <f>INDEX(tblMedicationContIV,ber_IVmed!$B3,2)</f>
        <v>0</v>
      </c>
      <c r="J9" s="150" t="str">
        <f>IF(C9&lt;&gt;0,24*ber_IVmed!J3/10&amp;" ml","")</f>
        <v/>
      </c>
      <c r="K9" s="167">
        <f>INDEX(tblMedicationContIV,ber_IVmed!$B3,3)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IF(C9&lt;&gt;0,INDEX(tblMedicationContIV,ber_IVmed!$B3,6)*(ber_IVmed!J3/10))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INDEX(tblMedicationContIV,ber_IVmed!$B4,1)</f>
        <v>0</v>
      </c>
      <c r="D10" s="161" t="str">
        <f>INDEX(tblBerMedContIV,3,5)&amp;" "&amp;INDEX(tblMedicationContIV,ber_IVmed!$B4,4)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INDEX(tblOplossing,ber_IVmed!I4,1)</f>
        <v>0</v>
      </c>
      <c r="G10" s="151" t="str">
        <f>IF(C10&lt;&gt;0,ber_IVmed!J4/10&amp;" ml/uur","")</f>
        <v/>
      </c>
      <c r="H10" s="149">
        <f>IF(C10&lt;&gt;0,(ber_IVmed!J4/10)*INDEX(tblBerMedContIV,3,7),0)</f>
        <v>0</v>
      </c>
      <c r="I10" s="149">
        <f>INDEX(tblMedicationContIV,ber_IVmed!$B4,2)</f>
        <v>0</v>
      </c>
      <c r="J10" s="152" t="str">
        <f>IF(C10&lt;&gt;0,24*ber_IVmed!J4/10&amp;" ml","")</f>
        <v/>
      </c>
      <c r="K10" s="168">
        <f>INDEX(tblMedicationContIV,ber_IVmed!$B4,3)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IF(C10&lt;&gt;0,INDEX(tblMedicationContIV,ber_IVmed!$B4,6)*(ber_IVmed!J4/10))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INDEX(tblMedicationContIV,ber_IVmed!$B5,1)</f>
        <v>0</v>
      </c>
      <c r="D11" s="161" t="str">
        <f>INDEX(tblBerMedContIV,4,5)&amp;" "&amp;INDEX(tblMedicationContIV,ber_IVmed!$B5,4)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INDEX(tblOplossing,ber_IVmed!I5,1)</f>
        <v>0</v>
      </c>
      <c r="G11" s="151" t="str">
        <f>IF(C11&lt;&gt;0,ber_IVmed!J5/10&amp;" ml/uur","")</f>
        <v/>
      </c>
      <c r="H11" s="149">
        <f>IF(C11&lt;&gt;0,(ber_IVmed!J5/10)*INDEX(tblBerMedContIV,4,7),0)</f>
        <v>0</v>
      </c>
      <c r="I11" s="149">
        <f>INDEX(tblMedicationContIV,ber_IVmed!$B5,2)</f>
        <v>0</v>
      </c>
      <c r="J11" s="152" t="str">
        <f>IF(C11&lt;&gt;0,24*ber_IVmed!J5/10&amp;" ml","")</f>
        <v/>
      </c>
      <c r="K11" s="168">
        <f>INDEX(tblMedicationContIV,ber_IVmed!$B5,3)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IF(C11&lt;&gt;0,INDEX(tblMedicationContIV,ber_IVmed!$B5,6)*(ber_IVmed!J5/10))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INDEX(tblMedicationContIV,ber_IVmed!$B6,1)</f>
        <v>0</v>
      </c>
      <c r="D12" s="161" t="str">
        <f>INDEX(tblBerMedContIV,5,5)&amp;" "&amp;INDEX(tblMedicationContIV,ber_IVmed!$B6,4)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INDEX(tblOplossing,ber_IVmed!I6,1)</f>
        <v>0</v>
      </c>
      <c r="G12" s="151" t="str">
        <f>IF(C12&lt;&gt;0,ber_IVmed!J6/10&amp;" ml/uur","")</f>
        <v/>
      </c>
      <c r="H12" s="149">
        <f>IF(C12&lt;&gt;0,(ber_IVmed!J6/10)*INDEX(tblBerMedContIV,5,7),0)</f>
        <v>0</v>
      </c>
      <c r="I12" s="149">
        <f>INDEX(tblMedicationContIV,ber_IVmed!$B6,2)</f>
        <v>0</v>
      </c>
      <c r="J12" s="152" t="str">
        <f>IF(C12&lt;&gt;0,24*ber_IVmed!J6/10&amp;" ml","")</f>
        <v/>
      </c>
      <c r="K12" s="168">
        <f>INDEX(tblMedicationContIV,ber_IVmed!$B6,3)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IF(C12&lt;&gt;0,INDEX(tblMedicationContIV,ber_IVmed!$B6,6)*(ber_IVmed!J6/10))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INDEX(tblMedicationContIV,ber_IVmed!$B7,1)</f>
        <v>0</v>
      </c>
      <c r="D13" s="161" t="str">
        <f>INDEX(tblBerMedContIV,6,5)&amp;" "&amp;INDEX(tblMedicationContIV,ber_IVmed!$B7,4)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INDEX(tblOplossing,ber_IVmed!I7,1)</f>
        <v>0</v>
      </c>
      <c r="G13" s="151" t="str">
        <f>IF(C13&lt;&gt;0,ber_IVmed!J7/10&amp;" ml/uur","")</f>
        <v/>
      </c>
      <c r="H13" s="149">
        <f>IF(C13&lt;&gt;0,(ber_IVmed!J7/10)*INDEX(tblBerMedContIV,6,7),0)</f>
        <v>0</v>
      </c>
      <c r="I13" s="149">
        <f>INDEX(tblMedicationContIV,ber_IVmed!$B7,2)</f>
        <v>0</v>
      </c>
      <c r="J13" s="152" t="str">
        <f>IF(C13&lt;&gt;0,24*ber_IVmed!J7/10&amp;" ml","")</f>
        <v/>
      </c>
      <c r="K13" s="168">
        <f>INDEX(tblMedicationContIV,ber_IVmed!$B7,3)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IF(C13&lt;&gt;0,INDEX(tblMedicationContIV,ber_IVmed!$B7,6)*(ber_IVmed!J7/10))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INDEX(tblMedicationContIV,ber_IVmed!$B8,1)</f>
        <v>0</v>
      </c>
      <c r="D14" s="161" t="str">
        <f>INDEX(tblBerMedContIV,7,5)&amp;" "&amp;INDEX(tblMedicationContIV,ber_IVmed!$B8,4)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INDEX(tblOplossing,ber_IVmed!I8,1)</f>
        <v>0</v>
      </c>
      <c r="G14" s="151" t="str">
        <f>IF(C14&lt;&gt;0,ber_IVmed!J8/10&amp;" ml/uur","")</f>
        <v/>
      </c>
      <c r="H14" s="149">
        <f>IF(C14&lt;&gt;0,(ber_IVmed!J8/10)*INDEX(tblBerMedContIV,7,7),0)</f>
        <v>0</v>
      </c>
      <c r="I14" s="149">
        <f>INDEX(tblMedicationContIV,ber_IVmed!$B8,2)</f>
        <v>0</v>
      </c>
      <c r="J14" s="152" t="str">
        <f>IF(C14&lt;&gt;0,24*ber_IVmed!J8/10&amp;" ml","")</f>
        <v/>
      </c>
      <c r="K14" s="168">
        <f>INDEX(tblMedicationContIV,ber_IVmed!$B8,3)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IF(C14&lt;&gt;0,INDEX(tblMedicationContIV,ber_IVmed!$B8,6)*(ber_IVmed!J8/10))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INDEX(tblMedicationContIV,ber_IVmed!$B9,1)</f>
        <v>0</v>
      </c>
      <c r="D15" s="161" t="str">
        <f>INDEX(tblBerMedContIV,8,5)&amp;" "&amp;INDEX(tblMedicationContIV,ber_IVmed!$B9,4)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INDEX(tblOplossing,ber_IVmed!I9,1)</f>
        <v>0</v>
      </c>
      <c r="G15" s="151" t="str">
        <f>IF(C15&lt;&gt;0,ber_IVmed!J9/10&amp;" ml/uur","")</f>
        <v/>
      </c>
      <c r="H15" s="149">
        <f>IF(C15&lt;&gt;0,(ber_IVmed!J9/10)*INDEX(tblBerMedContIV,8,7),0)</f>
        <v>0</v>
      </c>
      <c r="I15" s="149">
        <f>INDEX(tblMedicationContIV,ber_IVmed!$B9,2)</f>
        <v>0</v>
      </c>
      <c r="J15" s="152" t="str">
        <f>IF(C15&lt;&gt;0,24*ber_IVmed!J9/10&amp;" ml","")</f>
        <v/>
      </c>
      <c r="K15" s="168">
        <f>INDEX(tblMedicationContIV,ber_IVmed!$B9,3)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IF(C15&lt;&gt;0,INDEX(tblMedicationContIV,ber_IVmed!$B9,6)*(ber_IVmed!J9/10))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INDEX(tblMedicationContIV,ber_IVmed!$B10,1)</f>
        <v>0</v>
      </c>
      <c r="D16" s="161" t="str">
        <f>INDEX(tblBerMedContIV,9,5)&amp;" "&amp;INDEX(tblMedicationContIV,ber_IVmed!$B10,4)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INDEX(tblOplossing,ber_IVmed!I10,1)</f>
        <v>0</v>
      </c>
      <c r="G16" s="151" t="str">
        <f>IF(C16&lt;&gt;0,ber_IVmed!J10/10&amp;" ml/uur","")</f>
        <v/>
      </c>
      <c r="H16" s="149">
        <f>IF(C16&lt;&gt;0,(ber_IVmed!J10/10)*INDEX(tblBerMedContIV,9,7),0)</f>
        <v>0</v>
      </c>
      <c r="I16" s="149">
        <f>INDEX(tblMedicationContIV,ber_IVmed!$B10,2)</f>
        <v>0</v>
      </c>
      <c r="J16" s="152" t="str">
        <f>IF(C16&lt;&gt;0,24*ber_IVmed!J10/10&amp;" ml","")</f>
        <v/>
      </c>
      <c r="K16" s="168">
        <f>INDEX(tblMedicationContIV,ber_IVmed!$B10,3)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IF(C16&lt;&gt;0,INDEX(tblMedicationContIV,ber_IVmed!$B10,6)*(ber_IVmed!J10/10))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INDEX(tblMedicationContIV,ber_IVmed!$B11,1)</f>
        <v>0</v>
      </c>
      <c r="D17" s="161" t="str">
        <f>INDEX(tblBerMedContIV,10,5)&amp;" "&amp;INDEX(tblMedicationContIV,ber_IVmed!$B11,4)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INDEX(tblOplossing,ber_IVmed!I11,1)</f>
        <v>0</v>
      </c>
      <c r="G17" s="151" t="str">
        <f>IF(C17&lt;&gt;0,ber_IVmed!J11/10&amp;" ml/uur","")</f>
        <v/>
      </c>
      <c r="H17" s="149">
        <f>IF(C17&lt;&gt;0,(ber_IVmed!J11/10)*INDEX(tblBerMedContIV,10,7),0)</f>
        <v>0</v>
      </c>
      <c r="I17" s="149">
        <f>INDEX(tblMedicationContIV,ber_IVmed!$B11,2)</f>
        <v>0</v>
      </c>
      <c r="J17" s="152" t="str">
        <f>IF(C17&lt;&gt;0,24*ber_IVmed!J11/10&amp;" ml","")</f>
        <v/>
      </c>
      <c r="K17" s="168">
        <f>INDEX(tblMedicationContIV,ber_IVmed!$B11,3)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IF(C17&lt;&gt;0,INDEX(tblMedicationContIV,ber_IVmed!$B11,6)*(ber_IVmed!J11/10))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INDEX(tblMedicationContIV,ber_IVmed!$B12,1)</f>
        <v>0</v>
      </c>
      <c r="D18" s="161" t="str">
        <f>INDEX(tblBerMedContIV,11,5)&amp;" "&amp;INDEX(tblMedicationContIV,ber_IVmed!$B12,4)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INDEX(tblOplossing,ber_IVmed!I12,1)</f>
        <v>0</v>
      </c>
      <c r="G18" s="151" t="str">
        <f>IF(C18&lt;&gt;0,ber_IVmed!J12/10&amp;" ml/uur","")</f>
        <v/>
      </c>
      <c r="H18" s="149">
        <f>IF(C18&lt;&gt;0,(ber_IVmed!J12/10)*INDEX(tblBerMedContIV,11,7),0)</f>
        <v>0</v>
      </c>
      <c r="I18" s="149">
        <f>INDEX(tblMedicationContIV,ber_IVmed!$B12,2)</f>
        <v>0</v>
      </c>
      <c r="J18" s="152" t="str">
        <f>IF(C18&lt;&gt;0,24*ber_IVmed!J12/10&amp;" ml","")</f>
        <v/>
      </c>
      <c r="K18" s="168">
        <f>INDEX(tblMedicationContIV,ber_IVmed!$B12,3)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IF(C18&lt;&gt;0,INDEX(tblMedicationContIV,ber_IVmed!$B12,6)*(ber_IVmed!J12/10))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IF(C20&lt;&gt;0,ber_IVmed!E13&amp;" ml","")</f>
        <v/>
      </c>
      <c r="F20" s="227">
        <f>INDEX(tblOplossing,ber_IVmed!I13,1)</f>
        <v>0</v>
      </c>
      <c r="G20" s="155">
        <f>IF(C20&lt;&gt;"",IF(ber_IVmed!J13&lt;&gt;0,ber_IVmed!J13/10&amp;" ml/uur",0),"")</f>
        <v>0</v>
      </c>
      <c r="H20" s="155" t="str">
        <f>ber_IVmed!H13</f>
        <v/>
      </c>
      <c r="I20" s="155"/>
      <c r="J20" s="156" t="str">
        <f>IF(ber_IVmed!K13&lt;&gt;0,ber_IVmed!K13&amp;"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IF(C21&lt;&gt;0,ber_IVmed!E14&amp;" ml","")</f>
        <v/>
      </c>
      <c r="F21" s="228">
        <f>INDEX(tblOplossing,ber_IVmed!I14,1)</f>
        <v>0</v>
      </c>
      <c r="G21" s="151">
        <f>IF(C21&lt;&gt;"",IF(ber_IVmed!J14&lt;&gt;0,ber_IVmed!J14/10&amp;" ml/uur",0),"")</f>
        <v>0</v>
      </c>
      <c r="H21" s="155" t="str">
        <f>ber_IVmed!H14</f>
        <v/>
      </c>
      <c r="I21" s="155"/>
      <c r="J21" s="152" t="str">
        <f>IF(ber_IVmed!K14&lt;&gt;0,ber_IVmed!K14&amp;"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IF(C22&lt;&gt;0,ber_IVmed!E15&amp;" ml","")</f>
        <v/>
      </c>
      <c r="F22" s="228">
        <f>INDEX(tblOplossing,ber_IVmed!I15,1)</f>
        <v>0</v>
      </c>
      <c r="G22" s="151">
        <f>IF(C22&lt;&gt;"",IF(ber_IVmed!J15&lt;&gt;0,ber_IVmed!J15/10&amp;" ml/uur",0),"")</f>
        <v>0</v>
      </c>
      <c r="H22" s="155" t="str">
        <f>ber_IVmed!H15</f>
        <v/>
      </c>
      <c r="I22" s="155"/>
      <c r="J22" s="152" t="str">
        <f>IF(ber_IVmed!K15&lt;&gt;0,ber_IVmed!K15&amp;"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IF(C23&lt;&gt;0,ber_IVmed!E16&amp;" ml","")</f>
        <v/>
      </c>
      <c r="F23" s="228">
        <f>INDEX(tblOplossing,ber_IVmed!I16,1)</f>
        <v>0</v>
      </c>
      <c r="G23" s="151">
        <f>IF(C23&lt;&gt;"",IF(ber_IVmed!J16&lt;&gt;0,ber_IVmed!J16/10&amp;" ml/uur",0),"")</f>
        <v>0</v>
      </c>
      <c r="H23" s="155" t="str">
        <f>ber_IVmed!H16</f>
        <v/>
      </c>
      <c r="I23" s="155"/>
      <c r="J23" s="152" t="str">
        <f>IF(ber_IVmed!K16&lt;&gt;0,ber_IVmed!K16&amp;"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IF(C24&lt;&gt;0,ber_IVmed!E17&amp;" ml","")</f>
        <v/>
      </c>
      <c r="F24" s="228">
        <f>INDEX(tblOplossing,ber_IVmed!I17,1)</f>
        <v>0</v>
      </c>
      <c r="G24" s="151">
        <f>IF(C24&lt;&gt;"",IF(ber_IVmed!J17&lt;&gt;0,ber_IVmed!J17/10&amp;" ml/uur",0),"")</f>
        <v>0</v>
      </c>
      <c r="H24" s="155" t="str">
        <f>ber_IVmed!H17</f>
        <v/>
      </c>
      <c r="I24" s="155"/>
      <c r="J24" s="152" t="str">
        <f>IF(ber_IVmed!K17&lt;&gt;0,ber_IVmed!K17&amp;"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Intake!B34</f>
        <v>Vocht</v>
      </c>
      <c r="D26" s="165" t="str">
        <f>Intake!D34</f>
        <v>0 ml/kg</v>
      </c>
      <c r="E26" s="164" t="str">
        <f ca="1">Intake!E34</f>
        <v>100 ml/kg</v>
      </c>
      <c r="F26" s="164"/>
      <c r="G26" s="164" t="str">
        <f>Intake!H34</f>
        <v>Eiwit</v>
      </c>
      <c r="H26" s="165" t="str">
        <f>Intake!I34</f>
        <v>0  gram/kg</v>
      </c>
      <c r="I26" s="165"/>
      <c r="J26" s="164" t="str">
        <f>Intake!J34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Intake!B35</f>
        <v>Calorieen</v>
      </c>
      <c r="D27" s="165" t="str">
        <f>Intake!D35</f>
        <v>0 kCal/kg</v>
      </c>
      <c r="E27" s="164" t="str">
        <f ca="1">Intake!E35</f>
        <v>95 kCal/kg</v>
      </c>
      <c r="F27" s="164"/>
      <c r="G27" s="164" t="str">
        <f>Intake!H35</f>
        <v>Vet</v>
      </c>
      <c r="H27" s="165" t="str">
        <f>Intake!I35</f>
        <v>0 gram/kg</v>
      </c>
      <c r="I27" s="165"/>
      <c r="J27" s="164" t="str">
        <f>Intake!J35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Intake!B36</f>
        <v>Glucose/KH</v>
      </c>
      <c r="D28" s="165" t="str">
        <f>Intake!D36</f>
        <v>0 g/kg</v>
      </c>
      <c r="E28" s="164" t="str">
        <f>Intake!E36</f>
        <v>3,6 g/kg</v>
      </c>
      <c r="F28" s="164"/>
      <c r="G28" s="164" t="str">
        <f>Intake!H36</f>
        <v>Calcium</v>
      </c>
      <c r="H28" s="165" t="str">
        <f>Intake!I36</f>
        <v>0 mmol/kg</v>
      </c>
      <c r="I28" s="165"/>
      <c r="J28" s="164" t="str">
        <f>Intake!J36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Intake!B37</f>
        <v xml:space="preserve">Natrium </v>
      </c>
      <c r="D29" s="165" t="str">
        <f>Intake!D37</f>
        <v>0 mmol/kg</v>
      </c>
      <c r="E29" s="164" t="str">
        <f>Intake!E37</f>
        <v>2-4 mmol/kg</v>
      </c>
      <c r="F29" s="164"/>
      <c r="G29" s="164" t="str">
        <f>Intake!H37</f>
        <v>Magnesium</v>
      </c>
      <c r="H29" s="165" t="str">
        <f>Intake!I37</f>
        <v>0 mmol/kg</v>
      </c>
      <c r="I29" s="165"/>
      <c r="J29" s="164" t="str">
        <f>Intake!J37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Intake!B38</f>
        <v>Kalium</v>
      </c>
      <c r="D30" s="165" t="str">
        <f>Intake!D38</f>
        <v>0 mmol/kg</v>
      </c>
      <c r="E30" s="164" t="str">
        <f>Intake!E38</f>
        <v>1-2 mmol/kg</v>
      </c>
      <c r="F30" s="164"/>
      <c r="G30" s="164" t="str">
        <f>Intake!H38</f>
        <v>Fosfaat</v>
      </c>
      <c r="H30" s="165" t="str">
        <f>Intake!I38</f>
        <v>0 mmol/kg</v>
      </c>
      <c r="I30" s="165"/>
      <c r="J30" s="164" t="str">
        <f>Intake!J38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ber_Opm!C4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bL5E4EwzTeZE9sPak+jPW8zkAO35bvTuauPe+Gk7Cmvgfj4Fg9YoIUlb1sST5GFJvS33IP/LOHPLrdSCtAtOcg==" saltValue="UET1ICobF/jF7bIxpBDRVQ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IF(C9&lt;&gt;0,IF(H9&gt;=INDEX(tblMedicationContIV,ber_IVmed!$B3,21),TRUE,FALSE),FALSE)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IF(C9&lt;&gt;0,IF(AND(H9&gt;=INDEX(tblMedicationContIV,ber_IVmed!$B3,19),H9&lt;=INDEX(tblMedicationContIV,ber_IVmed!$B3,20)),TRUE,FALSE),TRUE)=FALSE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AND(INDEX(tblBerMedContIV,2,3)&gt;0,INDEX(tblBerMedContIV,2,3)&lt;&gt;INDEX(tblMedicationContIV,ber_IVmed!$B3,11))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AND(INDEX(tblBerMedContIV,3,3)&gt;0,INDEX(tblBerMedContIV,3,3)&lt;&gt;INDEX(tblMedicationContIV,ber_IVmed!$B4,11))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AND(INDEX(tblBerMedContIV,4,3)&gt;0,INDEX(tblBerMedContIV,4,3)&lt;&gt;INDEX(tblMedicationContIV,ber_IVmed!$B5,11))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AND(INDEX(tblBerMedContIV,5,3)&gt;0,INDEX(tblBerMedContIV,5,3)&lt;&gt;INDEX(tblMedicationContIV,ber_IVmed!$B6,11))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AND(INDEX(tblBerMedContIV,6,3)&gt;0,INDEX(tblBerMedContIV,6,3)&lt;&gt;INDEX(tblMedicationContIV,ber_IVmed!$B7,11))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AND(INDEX(tblBerMedContIV,7,3)&gt;0,INDEX(tblBerMedContIV,7,3)&lt;&gt;INDEX(tblMedicationContIV,ber_IVmed!$B8,11))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AND(INDEX(tblBerMedContIV,8,3)&gt;0,INDEX(tblBerMedContIV,8,3)&lt;&gt;INDEX(tblMedicationContIV,ber_IVmed!$B9,11))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AND(INDEX(tblBerMedContIV,9,3)&gt;0,INDEX(tblBerMedContIV,9,3)&lt;&gt;INDEX(tblMedicationContIV,ber_IVmed!$B10,11))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AND(INDEX(tblBerMedContIV,10,3)&gt;0,INDEX(tblBerMedContIV,10,3)&lt;&gt;INDEX(tblMedicationContIV,ber_IVmed!$B11,11))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AND(INDEX(tblBerMedContIV,11,3)&gt;0,INDEX(tblBerMedContIV,11,3)&lt;&gt;INDEX(tblMedicationContIV,ber_IVmed!$B12,11))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AND(INDEX(tblBerMedContIV,2,4)&gt;0,INDEX(tblBerMedContIV,2,4)&lt;&gt;INDEX(tblMedicationContIV,ber_IVmed!$B3,12))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AND(INDEX(tblBerMedContIV,3,4)&gt;0,INDEX(tblBerMedContIV,3,4)&lt;&gt;INDEX(tblMedicationContIV,ber_IVmed!$B4,12))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AND(INDEX(tblBerMedContIV,4,4)&gt;0,INDEX(tblBerMedContIV,4,4)&lt;&gt;INDEX(tblMedicationContIV,ber_IVmed!$B5,12))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AND(INDEX(tblBerMedContIV,5,4)&gt;0,INDEX(tblBerMedContIV,5,4)&lt;&gt;INDEX(tblMedicationContIV,ber_IVmed!$B6,12))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AND(INDEX(tblBerMedContIV,6,4)&gt;0,INDEX(tblBerMedContIV,6,4)&lt;&gt;INDEX(tblMedicationContIV,ber_IVmed!$B7,12))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AND(INDEX(tblBerMedContIV,7,4)&gt;0,INDEX(tblBerMedContIV,7,4)&lt;&gt;INDEX(tblMedicationContIV,ber_IVmed!$B8,12))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AND(INDEX(tblBerMedContIV,8,4)&gt;0,INDEX(tblBerMedContIV,8,4)&lt;&gt;INDEX(tblMedicationContIV,ber_IVmed!$B9,12))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AND(INDEX(tblBerMedContIV,9,4)&gt;0,INDEX(tblBerMedContIV,9,4)&lt;&gt;INDEX(tblMedicationContIV,ber_IVmed!$B10,12))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AND(INDEX(tblBerMedContIV,10,4)&gt;0,INDEX(tblBerMedContIV,10,4)&lt;&gt;INDEX(tblMedicationContIV,ber_IVmed!$B11,12))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AND(INDEX(tblBerMedContIV,11,4)&gt;0,INDEX(tblBerMedContIV,11,4)&lt;&gt;INDEX(tblMedicationContIV,ber_IVmed!$B12,12))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>
    <tabColor rgb="FF92D050"/>
  </sheetPr>
  <dimension ref="A1:V27"/>
  <sheetViews>
    <sheetView workbookViewId="0">
      <selection activeCell="G25" sqref="G25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2636</v>
      </c>
      <c r="G1" s="264" t="s">
        <v>2637</v>
      </c>
      <c r="H1" s="264" t="s">
        <v>2638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IF(MedicatieIV!C9&lt;&gt;0,24*J3/10,0)</f>
        <v>0</v>
      </c>
      <c r="L3">
        <f>IF(ber_IVmed!$I3=3,ber_IVmed!K3*0.05,0)</f>
        <v>0</v>
      </c>
      <c r="M3">
        <f>IF(ber_IVmed!$I3=4,ber_IVmed!K3*0.1,0)</f>
        <v>0</v>
      </c>
      <c r="N3">
        <f>IF(ber_IVmed!$I3=2,ber_IVmed!K3*0.155,0)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IF(MedicatieIV!C10&lt;&gt;0,24*J4/10,0)</f>
        <v>0</v>
      </c>
      <c r="L4">
        <f>IF(ber_IVmed!$I4=3,ber_IVmed!K4*0.05,0)</f>
        <v>0</v>
      </c>
      <c r="M4">
        <f>IF(ber_IVmed!$I4=4,ber_IVmed!K4*0.1,0)</f>
        <v>0</v>
      </c>
      <c r="N4">
        <f>IF(ber_IVmed!$I4=2,ber_IVmed!K4*0.155,0)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IF(MedicatieIV!C11&lt;&gt;0,24*J5/10,0)</f>
        <v>0</v>
      </c>
      <c r="L5">
        <f>IF(ber_IVmed!$I5=3,ber_IVmed!K5*0.05,0)</f>
        <v>0</v>
      </c>
      <c r="M5">
        <f>IF(ber_IVmed!$I5=4,ber_IVmed!K5*0.1,0)</f>
        <v>0</v>
      </c>
      <c r="N5">
        <f>IF(ber_IVmed!$I5=2,ber_IVmed!K5*0.155,0)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IF(MedicatieIV!C12&lt;&gt;0,24*J6/10,0)</f>
        <v>0</v>
      </c>
      <c r="L6">
        <f>IF(ber_IVmed!$I6=3,ber_IVmed!K6*0.05,0)</f>
        <v>0</v>
      </c>
      <c r="M6">
        <f>IF(ber_IVmed!$I6=4,ber_IVmed!K6*0.1,0)</f>
        <v>0</v>
      </c>
      <c r="N6">
        <f>IF(ber_IVmed!$I6=2,ber_IVmed!K6*0.155,0)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IF(MedicatieIV!C13&lt;&gt;0,24*J7/10,0)</f>
        <v>0</v>
      </c>
      <c r="L7">
        <f>IF(ber_IVmed!$I7=3,ber_IVmed!K7*0.05,0)</f>
        <v>0</v>
      </c>
      <c r="M7">
        <f>IF(ber_IVmed!$I7=4,ber_IVmed!K7*0.1,0)</f>
        <v>0</v>
      </c>
      <c r="N7">
        <f>IF(ber_IVmed!$I7=2,ber_IVmed!K7*0.155,0)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IF(MedicatieIV!C14&lt;&gt;0,24*J8/10,0)</f>
        <v>0</v>
      </c>
      <c r="L8">
        <f>IF(ber_IVmed!$I8=3,ber_IVmed!K8*0.05,0)</f>
        <v>0</v>
      </c>
      <c r="M8">
        <f>IF(ber_IVmed!$I8=4,ber_IVmed!K8*0.1,0)</f>
        <v>0</v>
      </c>
      <c r="N8">
        <f>IF(ber_IVmed!$I8=2,ber_IVmed!K8*0.155,0)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IF(MedicatieIV!C15&lt;&gt;0,24*J9/10,0)</f>
        <v>0</v>
      </c>
      <c r="L9">
        <f>IF(ber_IVmed!$I9=3,ber_IVmed!K9*0.05,0)</f>
        <v>0</v>
      </c>
      <c r="M9">
        <f>IF(ber_IVmed!$I9=4,ber_IVmed!K9*0.1,0)</f>
        <v>0</v>
      </c>
      <c r="N9">
        <f>IF(ber_IVmed!$I9=2,ber_IVmed!K9*0.155,0)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IF(MedicatieIV!C16&lt;&gt;0,24*J10/10,0)</f>
        <v>0</v>
      </c>
      <c r="L10">
        <f>IF(ber_IVmed!$I10=3,ber_IVmed!K10*0.05,0)</f>
        <v>0</v>
      </c>
      <c r="M10">
        <f>IF(ber_IVmed!$I10=4,ber_IVmed!K10*0.1,0)</f>
        <v>0</v>
      </c>
      <c r="N10">
        <f>IF(ber_IVmed!$I10=2,ber_IVmed!K10*0.155,0)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IF(MedicatieIV!C17&lt;&gt;0,24*J11/10,0)</f>
        <v>0</v>
      </c>
      <c r="L11">
        <f>IF(ber_IVmed!$I11=3,ber_IVmed!K11*0.05,0)</f>
        <v>0</v>
      </c>
      <c r="M11">
        <f>IF(ber_IVmed!$I11=4,ber_IVmed!K11*0.1,0)</f>
        <v>0</v>
      </c>
      <c r="N11">
        <f>IF(ber_IVmed!$I11=2,ber_IVmed!K11*0.155,0)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IF(MedicatieIV!C18&lt;&gt;0,24*J12/10,0)</f>
        <v>0</v>
      </c>
      <c r="L12">
        <f>IF(ber_IVmed!$I12=3,ber_IVmed!K12*0.05,0)</f>
        <v>0</v>
      </c>
      <c r="M12">
        <f>IF(ber_IVmed!$I12=4,ber_IVmed!K12*0.1,0)</f>
        <v>0</v>
      </c>
      <c r="N12">
        <f>IF(ber_IVmed!$I12=2,ber_IVmed!K12*0.155,0)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IF(MedicatieIV!C20&lt;&gt;"",J13/10*24,0)</f>
        <v>0</v>
      </c>
      <c r="L13">
        <f>IF(ber_IVmed!$I13=3,ber_IVmed!K13*0.05,0)</f>
        <v>0</v>
      </c>
      <c r="M13">
        <f>IF(ber_IVmed!$I13=4,ber_IVmed!K13*0.1,0)</f>
        <v>0</v>
      </c>
      <c r="N13">
        <f>IF(ber_IVmed!$I13=2,ber_IVmed!K13*0.155,0)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IF(MedicatieIV!C21&lt;&gt;"",J14/10*24,0)</f>
        <v>0</v>
      </c>
      <c r="L14">
        <f>IF(ber_IVmed!$I14=3,ber_IVmed!K14*0.05,0)</f>
        <v>0</v>
      </c>
      <c r="M14">
        <f>IF(ber_IVmed!$I14=4,ber_IVmed!K14*0.1,0)</f>
        <v>0</v>
      </c>
      <c r="N14">
        <f>IF(ber_IVmed!$I14=2,ber_IVmed!K14*0.155,0)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IF(MedicatieIV!C22&lt;&gt;"",J15/10*24,0)</f>
        <v>0</v>
      </c>
      <c r="L15">
        <f>IF(ber_IVmed!$I15=3,ber_IVmed!K15*0.05,0)</f>
        <v>0</v>
      </c>
      <c r="M15">
        <f>IF(ber_IVmed!$I15=4,ber_IVmed!K15*0.1,0)</f>
        <v>0</v>
      </c>
      <c r="N15">
        <f>IF(ber_IVmed!$I15=2,ber_IVmed!K15*0.155,0)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IF(MedicatieIV!C23&lt;&gt;"",J16/10*24,0)</f>
        <v>0</v>
      </c>
      <c r="L16">
        <f>IF(ber_IVmed!$I16=3,ber_IVmed!K16*0.05,0)</f>
        <v>0</v>
      </c>
      <c r="M16">
        <f>IF(ber_IVmed!$I16=4,ber_IVmed!K16*0.1,0)</f>
        <v>0</v>
      </c>
      <c r="N16">
        <f>IF(ber_IVmed!$I16=2,ber_IVmed!K16*0.155,0)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IF(MedicatieIV!C24&lt;&gt;"",J17/10*24,0)</f>
        <v>0</v>
      </c>
      <c r="L17">
        <f>IF(ber_IVmed!$I17=3,ber_IVmed!K17*0.05,0)</f>
        <v>0</v>
      </c>
      <c r="M17">
        <f>IF(ber_IVmed!$I17=4,ber_IVmed!K17*0.1,0)</f>
        <v>0</v>
      </c>
      <c r="N17">
        <f>IF(ber_IVmed!$I17=2,ber_IVmed!K17*0.155,0)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3" spans="1:22" x14ac:dyDescent="0.35">
      <c r="B23" t="s">
        <v>2635</v>
      </c>
    </row>
    <row r="26" spans="1:22" x14ac:dyDescent="0.35">
      <c r="B26" s="518" t="s">
        <v>2647</v>
      </c>
      <c r="C26" t="str">
        <f>LEFT(B26,FIND(" ",B26))</f>
        <v xml:space="preserve">100 </v>
      </c>
      <c r="D26" t="str">
        <f>MID(B26, FIND(" ",B26), LEN(B26) - FIND(" ",B26) + 1)</f>
        <v xml:space="preserve"> mcg</v>
      </c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0.46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ber_Med_disc!C2</f>
        <v>0</v>
      </c>
      <c r="E6" s="870"/>
      <c r="F6" s="870"/>
      <c r="G6" s="870"/>
      <c r="H6" s="121" t="str">
        <f>IF(INDEX(tblMedDiscTijdenValues,ber_Med_disc!I2,1)=0,"",INDEX(tblMedDiscTijdenValues,ber_Med_disc!I2,1))</f>
        <v/>
      </c>
      <c r="I6" s="122" t="str">
        <f>IF(ber_Med_disc!C2&gt;1,ber_Med_disc!H2,"")</f>
        <v/>
      </c>
      <c r="J6" s="123" t="str">
        <f>IF(ber_Med_disc!C2&gt;1,ber_Med_disc!F2,"")</f>
        <v/>
      </c>
      <c r="K6" s="124">
        <f>ber_Med_disc!L2</f>
        <v>0</v>
      </c>
      <c r="L6" s="117" t="str">
        <f>IF(AND(ber_Med_disc!C2&gt;1,ber_Med_disc!O2&gt;1),ber_Med_disc!N2,"")</f>
        <v/>
      </c>
      <c r="M6" s="117" t="str">
        <f>IF(AND(ber_Med_disc!C2&gt;1,L6&lt;&gt;0,ber_Med_disc!O2&gt;1),"ml","")</f>
        <v/>
      </c>
      <c r="N6" s="117"/>
      <c r="O6" s="117" t="str">
        <f>IF(AND(L6&lt;&gt;"",ber_Med_disc!Q2&gt;0),ber_Med_disc!Q2&amp;"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ber_Opm!C16</f>
        <v>0</v>
      </c>
      <c r="E7" s="128"/>
      <c r="F7" s="128"/>
      <c r="G7" s="128"/>
      <c r="H7" s="127" t="str">
        <f>IF(ber_Med_disc!C2&gt;1,"Dosering/kg/dag: ","")</f>
        <v/>
      </c>
      <c r="I7" s="126"/>
      <c r="J7" s="128" t="str">
        <f>IF(ber_Med_disc!C2&gt;1,ber_Med_disc!M2,"")</f>
        <v/>
      </c>
      <c r="K7" s="126" t="str">
        <f>IF(AND(ber_Med_disc!C2&gt;1),J6&amp;"/kg/dag ","")</f>
        <v/>
      </c>
      <c r="L7" s="126"/>
      <c r="M7" s="126" t="str">
        <f>IF(AND(ber_Med_disc!C2&gt;1,ber_Med_disc!O2&gt;1,ber_Med_disc!N2&gt;0),"Oplossing:","")</f>
        <v/>
      </c>
      <c r="N7" s="126" t="str">
        <f>IF(AND(ber_Med_disc!C2&gt;1,ber_Med_disc!O2&gt;1,ber_Med_disc!N2&gt;0),ROUND(ber_Med_disc!H2/ber_Med_disc!N2,2)&amp;" "&amp;ber_Med_disc!F2&amp;"/ml","")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ber_Med_disc!C3</f>
        <v>0</v>
      </c>
      <c r="E8" s="870"/>
      <c r="F8" s="870"/>
      <c r="G8" s="870"/>
      <c r="H8" s="121" t="str">
        <f>IF(INDEX(tblMedDiscTijdenValues,ber_Med_disc!I3,1)=0,"",INDEX(tblMedDiscTijdenValues,ber_Med_disc!I3,1))</f>
        <v/>
      </c>
      <c r="I8" s="122" t="str">
        <f>IF(ber_Med_disc!C3&gt;1,ber_Med_disc!H3,"")</f>
        <v/>
      </c>
      <c r="J8" s="123" t="str">
        <f>IF(ber_Med_disc!C3&gt;1,ber_Med_disc!F3,"")</f>
        <v/>
      </c>
      <c r="K8" s="124">
        <f>ber_Med_disc!L3</f>
        <v>0</v>
      </c>
      <c r="L8" s="117" t="str">
        <f>IF(AND(ber_Med_disc!C3&gt;1,ber_Med_disc!O3&gt;1,H8&lt;&gt;"STOP"),ber_Med_disc!N3,"")</f>
        <v/>
      </c>
      <c r="M8" s="117" t="str">
        <f>IF(AND(ber_Med_disc!C3&gt;1,L8&lt;&gt;0,ber_Med_disc!O3&gt;1,H8&lt;&gt;"STOP"),"ml","")</f>
        <v/>
      </c>
      <c r="N8" s="117"/>
      <c r="O8" s="117" t="str">
        <f>IF(AND(L8&lt;&gt;"",ber_Med_disc!Q3&gt;0,H8&lt;&gt;"STOP"),ber_Med_disc!Q3&amp;"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ber_Opm!C17</f>
        <v>0</v>
      </c>
      <c r="E9" s="128"/>
      <c r="F9" s="128"/>
      <c r="G9" s="128"/>
      <c r="H9" s="127" t="str">
        <f>IF(AND(ber_Med_disc!C3&gt;1,H8&lt;&gt;"STOP"),"Dosering/kg/dag: ","")</f>
        <v/>
      </c>
      <c r="I9" s="126"/>
      <c r="J9" s="128" t="str">
        <f>IF(ber_Med_disc!C3&gt;1,ber_Med_disc!M3,"")</f>
        <v/>
      </c>
      <c r="K9" s="126" t="str">
        <f>IF(AND(ber_Med_disc!C3&gt;1,H8&lt;&gt;"STOP"),J8&amp;"/kg/dag ","")</f>
        <v/>
      </c>
      <c r="L9" s="126"/>
      <c r="M9" s="126" t="str">
        <f>IF(AND(ber_Med_disc!C3&gt;1,ber_Med_disc!O3&gt;1,ber_Med_disc!N3&gt;0,H8&lt;&gt;"STOP"),"Oplossing:","")</f>
        <v/>
      </c>
      <c r="N9" s="126" t="str">
        <f>IF(AND(ber_Med_disc!C3&gt;1,ber_Med_disc!O3&gt;1,ber_Med_disc!N3&gt;0,H8&lt;&gt;"STOP"),ROUND(ber_Med_disc!H3/ber_Med_disc!N3,2)&amp;" "&amp;ber_Med_disc!F3&amp;"/ml","")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ber_Med_disc!C4</f>
        <v>0</v>
      </c>
      <c r="E10" s="870"/>
      <c r="F10" s="870"/>
      <c r="G10" s="870"/>
      <c r="H10" s="121" t="str">
        <f>IF(INDEX(tblMedDiscTijdenValues,ber_Med_disc!I4,1)=0,"",INDEX(tblMedDiscTijdenValues,ber_Med_disc!I4,1))</f>
        <v/>
      </c>
      <c r="I10" s="122" t="str">
        <f>IF(ber_Med_disc!C4&gt;1,ber_Med_disc!H4,"")</f>
        <v/>
      </c>
      <c r="J10" s="123" t="str">
        <f>IF(ber_Med_disc!C4&gt;1,ber_Med_disc!F4,"")</f>
        <v/>
      </c>
      <c r="K10" s="124">
        <f>ber_Med_disc!L4</f>
        <v>0</v>
      </c>
      <c r="L10" s="117" t="str">
        <f>IF(AND(ber_Med_disc!C4&gt;1,ber_Med_disc!O4&gt;1,H10&lt;&gt;"STOP"),ber_Med_disc!N4,"")</f>
        <v/>
      </c>
      <c r="M10" s="117" t="str">
        <f>IF(AND(ber_Med_disc!C4&gt;1,L10&lt;&gt;0,ber_Med_disc!O4&gt;1,H10&lt;&gt;"STOP"),"ml","")</f>
        <v/>
      </c>
      <c r="N10" s="117"/>
      <c r="O10" s="117" t="str">
        <f>IF(AND(L10&lt;&gt;"",ber_Med_disc!Q4&gt;0,H10&lt;&gt;"STOP"),ber_Med_disc!Q4&amp;"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ber_Opm!C18</f>
        <v>0</v>
      </c>
      <c r="E11" s="128"/>
      <c r="F11" s="128"/>
      <c r="G11" s="128"/>
      <c r="H11" s="127" t="str">
        <f>IF(AND(ber_Med_disc!C4&gt;1,H10&lt;&gt;"STOP"),"Dosering/kg/dag: ","")</f>
        <v/>
      </c>
      <c r="I11" s="126"/>
      <c r="J11" s="128" t="str">
        <f>IF(ber_Med_disc!C4&gt;1,ber_Med_disc!M4,"")</f>
        <v/>
      </c>
      <c r="K11" s="126" t="str">
        <f>IF(AND(ber_Med_disc!C4&gt;1,H10&lt;&gt;"STOP"),J10&amp;"/kg/dag ","")</f>
        <v/>
      </c>
      <c r="L11" s="126"/>
      <c r="M11" s="126" t="str">
        <f>IF(AND(ber_Med_disc!C4&gt;1,ber_Med_disc!O4&gt;1,ber_Med_disc!N4&gt;0,H10&lt;&gt;"STOP"),"Oplossing:","")</f>
        <v/>
      </c>
      <c r="N11" s="126" t="str">
        <f>IF(AND(ber_Med_disc!C4&gt;1,ber_Med_disc!O4&gt;1,ber_Med_disc!N4&gt;0,H10&lt;&gt;"STOP"),ROUND(ber_Med_disc!H4/ber_Med_disc!N4,2)&amp;" "&amp;ber_Med_disc!F4&amp;"/ml","")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ber_Med_disc!C5</f>
        <v>0</v>
      </c>
      <c r="E12" s="870"/>
      <c r="F12" s="870"/>
      <c r="G12" s="870"/>
      <c r="H12" s="121" t="str">
        <f>IF(INDEX(tblMedDiscTijdenValues,ber_Med_disc!I5,1)=0,"",INDEX(tblMedDiscTijdenValues,ber_Med_disc!I5,1))</f>
        <v/>
      </c>
      <c r="I12" s="122" t="str">
        <f>IF(ber_Med_disc!C5&gt;1,ber_Med_disc!H5,"")</f>
        <v/>
      </c>
      <c r="J12" s="123" t="str">
        <f>IF(ber_Med_disc!C5&gt;1,ber_Med_disc!F5,"")</f>
        <v/>
      </c>
      <c r="K12" s="124">
        <f>ber_Med_disc!L5</f>
        <v>0</v>
      </c>
      <c r="L12" s="117" t="str">
        <f>IF(AND(ber_Med_disc!C5&gt;1,ber_Med_disc!O5&gt;1,H12&lt;&gt;"STOP"),ber_Med_disc!N5,"")</f>
        <v/>
      </c>
      <c r="M12" s="117" t="str">
        <f>IF(AND(ber_Med_disc!C5&gt;1,L12&lt;&gt;0,ber_Med_disc!O5&gt;1,H12&lt;&gt;"STOP"),"ml","")</f>
        <v/>
      </c>
      <c r="N12" s="117"/>
      <c r="O12" s="117" t="str">
        <f>IF(AND(L12&lt;&gt;"",ber_Med_disc!Q5&gt;0,H12&lt;&gt;"STOP"),ber_Med_disc!Q5&amp;"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ber_Opm!C19</f>
        <v>0</v>
      </c>
      <c r="E13" s="128"/>
      <c r="F13" s="128"/>
      <c r="G13" s="128"/>
      <c r="H13" s="127" t="str">
        <f>IF(AND(ber_Med_disc!C5&gt;1,H12&lt;&gt;"STOP"),"Dosering/kg/dag: ","")</f>
        <v/>
      </c>
      <c r="I13" s="126"/>
      <c r="J13" s="128" t="str">
        <f>IF(ber_Med_disc!C5&gt;1,ber_Med_disc!M5,"")</f>
        <v/>
      </c>
      <c r="K13" s="126" t="str">
        <f>IF(AND(ber_Med_disc!C5&gt;1,H12&lt;&gt;"STOP"),J12&amp;"/kg/dag ","")</f>
        <v/>
      </c>
      <c r="L13" s="126"/>
      <c r="M13" s="126" t="str">
        <f>IF(AND(ber_Med_disc!C5&gt;1,ber_Med_disc!O5&gt;1,ber_Med_disc!N5&gt;0,H12&lt;&gt;"STOP"),"Oplossing:","")</f>
        <v/>
      </c>
      <c r="N13" s="126" t="str">
        <f>IF(AND(ber_Med_disc!C5&gt;1,ber_Med_disc!O5&gt;1,ber_Med_disc!N5&gt;0,H12&lt;&gt;"STOP"),ROUND(ber_Med_disc!H5/ber_Med_disc!N5,2)&amp;" "&amp;ber_Med_disc!F5&amp;"/ml","")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ber_Med_disc!C6</f>
        <v>0</v>
      </c>
      <c r="E14" s="870"/>
      <c r="F14" s="870"/>
      <c r="G14" s="870"/>
      <c r="H14" s="121" t="str">
        <f>IF(INDEX(tblMedDiscTijdenValues,ber_Med_disc!I6,1)=0,"",INDEX(tblMedDiscTijdenValues,ber_Med_disc!I6,1))</f>
        <v/>
      </c>
      <c r="I14" s="122" t="str">
        <f>IF(ber_Med_disc!C6&gt;1,ber_Med_disc!H6,"")</f>
        <v/>
      </c>
      <c r="J14" s="123" t="str">
        <f>IF(ber_Med_disc!C6&gt;1,ber_Med_disc!F6,"")</f>
        <v/>
      </c>
      <c r="K14" s="124">
        <f>ber_Med_disc!L6</f>
        <v>0</v>
      </c>
      <c r="L14" s="117" t="str">
        <f>IF(AND(ber_Med_disc!C6&gt;1,ber_Med_disc!O6&gt;1,H14&lt;&gt;"STOP"),ber_Med_disc!N6,"")</f>
        <v/>
      </c>
      <c r="M14" s="117" t="str">
        <f>IF(AND(ber_Med_disc!C6&gt;1,L14&lt;&gt;0,ber_Med_disc!O6&gt;1,H14&lt;&gt;"STOP"),"ml","")</f>
        <v/>
      </c>
      <c r="N14" s="117"/>
      <c r="O14" s="117" t="str">
        <f>IF(AND(L14&lt;&gt;"",ber_Med_disc!Q6&gt;0,H14&lt;&gt;"STOP"),ber_Med_disc!Q6&amp;"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ber_Opm!C20</f>
        <v>0</v>
      </c>
      <c r="E15" s="128"/>
      <c r="F15" s="128"/>
      <c r="G15" s="128"/>
      <c r="H15" s="127" t="str">
        <f>IF(AND(ber_Med_disc!C6&gt;1,H14&lt;&gt;"STOP"),"Dosering/kg/dag: ","")</f>
        <v/>
      </c>
      <c r="I15" s="126"/>
      <c r="J15" s="128" t="str">
        <f>IF(ber_Med_disc!C6&gt;1,ber_Med_disc!M6,"")</f>
        <v/>
      </c>
      <c r="K15" s="126" t="str">
        <f>IF(AND(ber_Med_disc!C6&gt;1,H14&lt;&gt;"STOP"),J14&amp;"/kg/dag ","")</f>
        <v/>
      </c>
      <c r="L15" s="126"/>
      <c r="M15" s="126" t="str">
        <f>IF(AND(ber_Med_disc!C6&gt;1,ber_Med_disc!O6&gt;1,ber_Med_disc!N6&gt;0,H14&lt;&gt;"STOP"),"Oplossing:","")</f>
        <v/>
      </c>
      <c r="N15" s="126" t="str">
        <f>IF(AND(ber_Med_disc!C6&gt;1,ber_Med_disc!O6&gt;1,ber_Med_disc!N6&gt;0,H14&lt;&gt;"STOP"),ROUND(ber_Med_disc!H6/ber_Med_disc!N6,2)&amp;" "&amp;ber_Med_disc!F6&amp;"/ml","")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ber_Med_disc!C7</f>
        <v>0</v>
      </c>
      <c r="E16" s="870"/>
      <c r="F16" s="870"/>
      <c r="G16" s="870"/>
      <c r="H16" s="121" t="str">
        <f>IF(INDEX(tblMedDiscTijdenValues,ber_Med_disc!I7,1)=0,"",INDEX(tblMedDiscTijdenValues,ber_Med_disc!I7,1))</f>
        <v/>
      </c>
      <c r="I16" s="122" t="str">
        <f>IF(ber_Med_disc!C7&gt;1,ber_Med_disc!H7,"")</f>
        <v/>
      </c>
      <c r="J16" s="123" t="str">
        <f>IF(ber_Med_disc!C7&gt;1,ber_Med_disc!F7,"")</f>
        <v/>
      </c>
      <c r="K16" s="124">
        <f>ber_Med_disc!L7</f>
        <v>0</v>
      </c>
      <c r="L16" s="117" t="str">
        <f>IF(AND(ber_Med_disc!C7&gt;1,ber_Med_disc!O7&gt;1,H16&lt;&gt;"STOP"),ber_Med_disc!N7,"")</f>
        <v/>
      </c>
      <c r="M16" s="117" t="str">
        <f>IF(AND(ber_Med_disc!C7&gt;1,L16&lt;&gt;0,ber_Med_disc!O7&gt;1,H16&lt;&gt;"STOP"),"ml","")</f>
        <v/>
      </c>
      <c r="N16" s="117"/>
      <c r="O16" s="117" t="str">
        <f>IF(AND(L16&lt;&gt;"",ber_Med_disc!Q7&gt;0,H16&lt;&gt;"STOP"),ber_Med_disc!Q7&amp;"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ber_Opm!C21</f>
        <v>0</v>
      </c>
      <c r="E17" s="128"/>
      <c r="F17" s="128"/>
      <c r="G17" s="128"/>
      <c r="H17" s="127" t="str">
        <f>IF(AND(ber_Med_disc!C7&gt;1,H16&lt;&gt;"STOP"),"Dosering/kg/dag: ","")</f>
        <v/>
      </c>
      <c r="I17" s="126"/>
      <c r="J17" s="128" t="str">
        <f>IF(ber_Med_disc!C7&gt;1,ber_Med_disc!M7,"")</f>
        <v/>
      </c>
      <c r="K17" s="126" t="str">
        <f>IF(AND(ber_Med_disc!C7&gt;1,H16&lt;&gt;"STOP"),J16&amp;"/kg/dag ","")</f>
        <v/>
      </c>
      <c r="L17" s="126"/>
      <c r="M17" s="126" t="str">
        <f>IF(AND(ber_Med_disc!C7&gt;1,ber_Med_disc!O7&gt;1,ber_Med_disc!N7&gt;0,H16&lt;&gt;"STOP"),"Oplossing:","")</f>
        <v/>
      </c>
      <c r="N17" s="126" t="str">
        <f>IF(AND(ber_Med_disc!C7&gt;1,ber_Med_disc!O7&gt;1,ber_Med_disc!N7&gt;0,H16&lt;&gt;"STOP"),ROUND(ber_Med_disc!H7/ber_Med_disc!N7,2)&amp;" "&amp;ber_Med_disc!F7&amp;"/ml","")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ber_Med_disc!C8</f>
        <v>0</v>
      </c>
      <c r="E18" s="870"/>
      <c r="F18" s="870"/>
      <c r="G18" s="870"/>
      <c r="H18" s="121" t="str">
        <f>IF(INDEX(tblMedDiscTijdenValues,ber_Med_disc!I8,1)=0,"",INDEX(tblMedDiscTijdenValues,ber_Med_disc!I8,1))</f>
        <v/>
      </c>
      <c r="I18" s="122" t="str">
        <f>IF(ber_Med_disc!C8&gt;1,ber_Med_disc!H8,"")</f>
        <v/>
      </c>
      <c r="J18" s="123" t="str">
        <f>IF(ber_Med_disc!C8&gt;1,ber_Med_disc!F8,"")</f>
        <v/>
      </c>
      <c r="K18" s="124">
        <f>ber_Med_disc!L8</f>
        <v>0</v>
      </c>
      <c r="L18" s="117" t="str">
        <f>IF(AND(ber_Med_disc!C8&gt;1,ber_Med_disc!O8&gt;1,H18&lt;&gt;"STOP"),ber_Med_disc!N8,"")</f>
        <v/>
      </c>
      <c r="M18" s="117" t="str">
        <f>IF(AND(ber_Med_disc!C8&gt;1,L18&lt;&gt;0,ber_Med_disc!O8&gt;1,H18&lt;&gt;"STOP"),"ml","")</f>
        <v/>
      </c>
      <c r="N18" s="117"/>
      <c r="O18" s="117" t="str">
        <f>IF(AND(L18&lt;&gt;"",ber_Med_disc!Q8&gt;0,H18&lt;&gt;"STOP"),ber_Med_disc!Q8&amp;"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ber_Opm!C22</f>
        <v>0</v>
      </c>
      <c r="E19" s="128"/>
      <c r="F19" s="128"/>
      <c r="G19" s="128"/>
      <c r="H19" s="127" t="str">
        <f>IF(AND(ber_Med_disc!C8&gt;1,H18&lt;&gt;"STOP"),"Dosering/kg/dag: ","")</f>
        <v/>
      </c>
      <c r="I19" s="126"/>
      <c r="J19" s="128" t="str">
        <f>IF(ber_Med_disc!C8&gt;1,ber_Med_disc!M8,"")</f>
        <v/>
      </c>
      <c r="K19" s="126" t="str">
        <f>IF(AND(ber_Med_disc!C8&gt;1,H18&lt;&gt;"STOP"),J18&amp;"/kg/dag ","")</f>
        <v/>
      </c>
      <c r="L19" s="126"/>
      <c r="M19" s="126" t="str">
        <f>IF(AND(ber_Med_disc!C8&gt;1,ber_Med_disc!O8&gt;1,ber_Med_disc!N8&gt;0,H18&lt;&gt;"STOP"),"Oplossing:","")</f>
        <v/>
      </c>
      <c r="N19" s="126" t="str">
        <f>IF(AND(ber_Med_disc!C8&gt;1,ber_Med_disc!O8&gt;1,ber_Med_disc!N8&gt;0,H18&lt;&gt;"STOP"),ROUND(ber_Med_disc!H8/ber_Med_disc!N8,2)&amp;" "&amp;ber_Med_disc!F8&amp;"/ml","")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ber_Med_disc!C9</f>
        <v>0</v>
      </c>
      <c r="E20" s="870"/>
      <c r="F20" s="870"/>
      <c r="G20" s="870"/>
      <c r="H20" s="121" t="str">
        <f>IF(INDEX(tblMedDiscTijdenValues,ber_Med_disc!I9,1)=0,"",INDEX(tblMedDiscTijdenValues,ber_Med_disc!I9,1))</f>
        <v/>
      </c>
      <c r="I20" s="122" t="str">
        <f>IF(ber_Med_disc!C9&gt;1,ber_Med_disc!H9,"")</f>
        <v/>
      </c>
      <c r="J20" s="123" t="str">
        <f>IF(ber_Med_disc!C9&gt;1,ber_Med_disc!F9,"")</f>
        <v/>
      </c>
      <c r="K20" s="124">
        <f>ber_Med_disc!L9</f>
        <v>0</v>
      </c>
      <c r="L20" s="117" t="str">
        <f>IF(AND(ber_Med_disc!C9&gt;1,ber_Med_disc!O9&gt;1,H20&lt;&gt;"STOP"),ber_Med_disc!N9,"")</f>
        <v/>
      </c>
      <c r="M20" s="117" t="str">
        <f>IF(AND(ber_Med_disc!C9&gt;1,L20&lt;&gt;0,ber_Med_disc!O9&gt;1,H20&lt;&gt;"STOP"),"ml","")</f>
        <v/>
      </c>
      <c r="N20" s="117"/>
      <c r="O20" s="117" t="str">
        <f>IF(AND(L20&lt;&gt;"",ber_Med_disc!Q9&gt;0,H20&lt;&gt;"STOP"),ber_Med_disc!Q9&amp;"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ber_Opm!C23</f>
        <v>0</v>
      </c>
      <c r="E21" s="128"/>
      <c r="F21" s="128"/>
      <c r="G21" s="128"/>
      <c r="H21" s="127" t="str">
        <f>IF(AND(ber_Med_disc!C9&gt;1,H20&lt;&gt;"STOP"),"Dosering/kg/dag: ","")</f>
        <v/>
      </c>
      <c r="I21" s="126"/>
      <c r="J21" s="128" t="str">
        <f>IF(ber_Med_disc!C9&gt;1,ber_Med_disc!M9,"")</f>
        <v/>
      </c>
      <c r="K21" s="126" t="str">
        <f>IF(AND(ber_Med_disc!C9&gt;1,H20&lt;&gt;"STOP"),J20&amp;"/kg/dag ","")</f>
        <v/>
      </c>
      <c r="L21" s="126"/>
      <c r="M21" s="126" t="str">
        <f>IF(AND(ber_Med_disc!C9&gt;1,ber_Med_disc!O9&gt;1,ber_Med_disc!N9&gt;0,H20&lt;&gt;"STOP"),"Oplossing:","")</f>
        <v/>
      </c>
      <c r="N21" s="126" t="str">
        <f>IF(AND(ber_Med_disc!C9&gt;1,ber_Med_disc!O9&gt;1,ber_Med_disc!N9&gt;0,H20&lt;&gt;"STOP"),ROUND(ber_Med_disc!H9/ber_Med_disc!N9,2)&amp;" "&amp;ber_Med_disc!F9&amp;"/ml","")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ber_Med_disc!C10</f>
        <v>0</v>
      </c>
      <c r="E22" s="870"/>
      <c r="F22" s="870"/>
      <c r="G22" s="870"/>
      <c r="H22" s="121" t="str">
        <f>IF(INDEX(tblMedDiscTijdenValues,ber_Med_disc!I10,1)=0,"",INDEX(tblMedDiscTijdenValues,ber_Med_disc!I10,1))</f>
        <v/>
      </c>
      <c r="I22" s="122" t="str">
        <f>IF(ber_Med_disc!C10&gt;1,ber_Med_disc!H10,"")</f>
        <v/>
      </c>
      <c r="J22" s="123" t="str">
        <f>IF(ber_Med_disc!C10&gt;1,ber_Med_disc!F10,"")</f>
        <v/>
      </c>
      <c r="K22" s="124">
        <f>ber_Med_disc!L10</f>
        <v>0</v>
      </c>
      <c r="L22" s="117" t="str">
        <f>IF(AND(ber_Med_disc!C10&gt;1,ber_Med_disc!O10&gt;1,H22&lt;&gt;"STOP"),ber_Med_disc!N10,"")</f>
        <v/>
      </c>
      <c r="M22" s="117" t="str">
        <f>IF(AND(ber_Med_disc!C10&gt;1,L22&lt;&gt;0,ber_Med_disc!O10&gt;1,H22&lt;&gt;"STOP"),"ml","")</f>
        <v/>
      </c>
      <c r="N22" s="117"/>
      <c r="O22" s="117" t="str">
        <f>IF(AND(L22&lt;&gt;"",ber_Med_disc!Q10&gt;0,H22&lt;&gt;"STOP"),ber_Med_disc!Q10&amp;"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ber_Opm!C24</f>
        <v>0</v>
      </c>
      <c r="E23" s="128"/>
      <c r="F23" s="128"/>
      <c r="G23" s="128"/>
      <c r="H23" s="127" t="str">
        <f>IF(AND(ber_Med_disc!C10&gt;1,H22&lt;&gt;"STOP"),"Dosering/kg/dag: ","")</f>
        <v/>
      </c>
      <c r="I23" s="126"/>
      <c r="J23" s="128" t="str">
        <f>IF(ber_Med_disc!C10&gt;1,ber_Med_disc!M10,"")</f>
        <v/>
      </c>
      <c r="K23" s="126" t="str">
        <f>IF(AND(ber_Med_disc!C10&gt;1,H22&lt;&gt;"STOP"),J22&amp;"/kg/dag ","")</f>
        <v/>
      </c>
      <c r="L23" s="126"/>
      <c r="M23" s="126" t="str">
        <f>IF(AND(ber_Med_disc!C10&gt;1,ber_Med_disc!O10&gt;1,ber_Med_disc!N10&gt;0,H22&lt;&gt;"STOP"),"Oplossing:","")</f>
        <v/>
      </c>
      <c r="N23" s="126" t="str">
        <f>IF(AND(ber_Med_disc!C10&gt;1,ber_Med_disc!O10&gt;1,ber_Med_disc!N10&gt;0,H22&lt;&gt;"STOP"),ROUND(ber_Med_disc!H10/ber_Med_disc!N10,2)&amp;" "&amp;ber_Med_disc!F10&amp;"/ml","")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ber_Med_disc!C11</f>
        <v>0</v>
      </c>
      <c r="E24" s="870"/>
      <c r="F24" s="870"/>
      <c r="G24" s="870"/>
      <c r="H24" s="121" t="str">
        <f>IF(INDEX(tblMedDiscTijdenValues,ber_Med_disc!I11,1)=0,"",INDEX(tblMedDiscTijdenValues,ber_Med_disc!I11,1))</f>
        <v/>
      </c>
      <c r="I24" s="122" t="str">
        <f>IF(ber_Med_disc!C11&gt;1,ber_Med_disc!H11,"")</f>
        <v/>
      </c>
      <c r="J24" s="123" t="str">
        <f>IF(ber_Med_disc!C11&gt;1,ber_Med_disc!F11,"")</f>
        <v/>
      </c>
      <c r="K24" s="124">
        <f>ber_Med_disc!L11</f>
        <v>0</v>
      </c>
      <c r="L24" s="117" t="str">
        <f>IF(AND(ber_Med_disc!C11&gt;1,ber_Med_disc!O11&gt;1,H23&lt;&gt;"STOP"),ber_Med_disc!N11,"")</f>
        <v/>
      </c>
      <c r="M24" s="117" t="str">
        <f>IF(AND(ber_Med_disc!C11&gt;1,L23&lt;&gt;0,ber_Med_disc!O11&gt;1,H23&lt;&gt;"STOP"),"ml","")</f>
        <v/>
      </c>
      <c r="N24" s="117"/>
      <c r="O24" s="117" t="str">
        <f>IF(AND(L23&lt;&gt;"",ber_Med_disc!Q11&gt;0,H23&lt;&gt;"STOP"),ber_Med_disc!Q11&amp;"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ber_Opm!C25</f>
        <v>0</v>
      </c>
      <c r="E25" s="128"/>
      <c r="F25" s="128"/>
      <c r="G25" s="128"/>
      <c r="H25" s="127" t="str">
        <f>IF(AND(ber_Med_disc!C11&gt;1,H23&lt;&gt;"STOP"),"Dosering/kg/dag: ","")</f>
        <v/>
      </c>
      <c r="I25" s="126"/>
      <c r="J25" s="128" t="str">
        <f>IF(ber_Med_disc!C11&gt;1,ber_Med_disc!M11,"")</f>
        <v/>
      </c>
      <c r="K25" s="126" t="str">
        <f>IF(AND(ber_Med_disc!C11&gt;1,H24&lt;&gt;"STOP"),J24&amp;"/kg/dag ","")</f>
        <v/>
      </c>
      <c r="L25" s="126"/>
      <c r="M25" s="126" t="str">
        <f>IF(AND(ber_Med_disc!C11&gt;1,ber_Med_disc!O11&gt;1,ber_Med_disc!N11&gt;0,H23&lt;&gt;"STOP"),"Oplossing:","")</f>
        <v/>
      </c>
      <c r="N25" s="126" t="str">
        <f>IF(AND(ber_Med_disc!C11&gt;1,ber_Med_disc!O11&gt;1,ber_Med_disc!N11&gt;0,H23&lt;&gt;"STOP"),ROUND(ber_Med_disc!H11/ber_Med_disc!N11,2)&amp;" "&amp;ber_Med_disc!F11&amp;"/ml","")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ber_Med_disc!C12</f>
        <v>0</v>
      </c>
      <c r="E26" s="870"/>
      <c r="F26" s="870"/>
      <c r="G26" s="870"/>
      <c r="H26" s="121" t="str">
        <f>IF(INDEX(tblMedDiscTijdenValues,ber_Med_disc!I12,1)=0,"",INDEX(tblMedDiscTijdenValues,ber_Med_disc!I12,1))</f>
        <v/>
      </c>
      <c r="I26" s="122" t="str">
        <f>IF(ber_Med_disc!C12&gt;1,ber_Med_disc!H12,"")</f>
        <v/>
      </c>
      <c r="J26" s="123" t="str">
        <f>IF(ber_Med_disc!C12&gt;1,ber_Med_disc!F12,"")</f>
        <v/>
      </c>
      <c r="K26" s="124">
        <f>ber_Med_disc!L12</f>
        <v>0</v>
      </c>
      <c r="L26" s="117" t="str">
        <f>IF(AND(ber_Med_disc!C12&gt;1,ber_Med_disc!O12&gt;1,H26&lt;&gt;"STOP"),ber_Med_disc!N12,"")</f>
        <v/>
      </c>
      <c r="M26" s="117" t="str">
        <f>IF(AND(ber_Med_disc!C12&gt;1,L26&lt;&gt;0,ber_Med_disc!O12&gt;1,H26&lt;&gt;"STOP"),"ml","")</f>
        <v/>
      </c>
      <c r="N26" s="117"/>
      <c r="O26" s="117" t="str">
        <f>IF(AND(L26&lt;&gt;"",ber_Med_disc!Q12&gt;0,H26&lt;&gt;"STOP"),ber_Med_disc!Q12&amp;"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ber_Opm!C26</f>
        <v>0</v>
      </c>
      <c r="E27" s="128"/>
      <c r="F27" s="128"/>
      <c r="G27" s="128"/>
      <c r="H27" s="127" t="str">
        <f>IF(AND(ber_Med_disc!C12&gt;1,H26&lt;&gt;"STOP"),"Dosering/kg/dag: ","")</f>
        <v/>
      </c>
      <c r="I27" s="126"/>
      <c r="J27" s="128" t="str">
        <f>IF(ber_Med_disc!C12&gt;1,ber_Med_disc!M12,"")</f>
        <v/>
      </c>
      <c r="K27" s="126" t="str">
        <f>IF(AND(ber_Med_disc!C12&gt;1,H26&lt;&gt;"STOP"),J26&amp;"/kg/dag ","")</f>
        <v/>
      </c>
      <c r="L27" s="126"/>
      <c r="M27" s="126" t="str">
        <f>IF(AND(ber_Med_disc!C12&gt;1,ber_Med_disc!O12&gt;1,ber_Med_disc!N12&gt;0,H26&lt;&gt;"STOP"),"Oplossing:","")</f>
        <v/>
      </c>
      <c r="N27" s="126" t="str">
        <f>IF(AND(ber_Med_disc!C12&gt;1,ber_Med_disc!O12&gt;1,ber_Med_disc!N12&gt;0,H26&lt;&gt;"STOP"),ROUND(ber_Med_disc!H12/ber_Med_disc!N12,2)&amp;" "&amp;ber_Med_disc!F12&amp;"/ml","")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ber_Med_disc!C13</f>
        <v>0</v>
      </c>
      <c r="E28" s="870"/>
      <c r="F28" s="870"/>
      <c r="G28" s="870"/>
      <c r="H28" s="121" t="str">
        <f>IF(INDEX(tblMedDiscTijdenValues,ber_Med_disc!I13,1)=0,"",INDEX(tblMedDiscTijdenValues,ber_Med_disc!I13,1))</f>
        <v/>
      </c>
      <c r="I28" s="122" t="str">
        <f>IF(ber_Med_disc!C13&gt;1,ber_Med_disc!H13,"")</f>
        <v/>
      </c>
      <c r="J28" s="123" t="str">
        <f>IF(ber_Med_disc!C13&gt;1,ber_Med_disc!F13,"")</f>
        <v/>
      </c>
      <c r="K28" s="124">
        <f>ber_Med_disc!L13</f>
        <v>0</v>
      </c>
      <c r="L28" s="117" t="str">
        <f>IF(AND(ber_Med_disc!C13&gt;1,ber_Med_disc!O13&gt;1,H28&lt;&gt;"STOP"),ber_Med_disc!N13,"")</f>
        <v/>
      </c>
      <c r="M28" s="117" t="str">
        <f>IF(AND(ber_Med_disc!C13&gt;1,L28&lt;&gt;0,ber_Med_disc!O13&gt;1,H28&lt;&gt;"STOP"),"ml","")</f>
        <v/>
      </c>
      <c r="N28" s="117"/>
      <c r="O28" s="117" t="str">
        <f>IF(AND(L28&lt;&gt;"",ber_Med_disc!Q13&gt;0,H28&lt;&gt;"STOP"),ber_Med_disc!Q13&amp;"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ber_Opm!C27</f>
        <v>0</v>
      </c>
      <c r="E29" s="128"/>
      <c r="F29" s="128"/>
      <c r="G29" s="128"/>
      <c r="H29" s="127" t="str">
        <f>IF(AND(ber_Med_disc!C13&gt;1,H28&lt;&gt;"STOP"),"Dosering/kg/dag: ","")</f>
        <v/>
      </c>
      <c r="I29" s="126"/>
      <c r="J29" s="128" t="str">
        <f>IF(ber_Med_disc!C13&gt;1,ber_Med_disc!M13,"")</f>
        <v/>
      </c>
      <c r="K29" s="126" t="str">
        <f>IF(AND(ber_Med_disc!C13&gt;1,H28&lt;&gt;"STOP"),J28&amp;"/kg/dag ","")</f>
        <v/>
      </c>
      <c r="L29" s="126"/>
      <c r="M29" s="126" t="str">
        <f>IF(AND(ber_Med_disc!C13&gt;1,ber_Med_disc!O13&gt;1,ber_Med_disc!N13&gt;0,H28&lt;&gt;"STOP"),"Oplossing:","")</f>
        <v/>
      </c>
      <c r="N29" s="126" t="str">
        <f>IF(AND(ber_Med_disc!C13&gt;1,ber_Med_disc!O13&gt;1,ber_Med_disc!N13&gt;0,H28&lt;&gt;"STOP"),ROUND(ber_Med_disc!H13/ber_Med_disc!N13,2)&amp;" "&amp;ber_Med_disc!F13&amp;"/ml","")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ber_Med_disc!C14</f>
        <v>0</v>
      </c>
      <c r="E30" s="870"/>
      <c r="F30" s="870"/>
      <c r="G30" s="870"/>
      <c r="H30" s="121" t="str">
        <f>IF(INDEX(tblMedDiscTijdenValues,ber_Med_disc!I14,1)=0,"",INDEX(tblMedDiscTijdenValues,ber_Med_disc!I14,1))</f>
        <v/>
      </c>
      <c r="I30" s="122" t="str">
        <f>IF(ber_Med_disc!C14&gt;1,ber_Med_disc!H14,"")</f>
        <v/>
      </c>
      <c r="J30" s="123" t="str">
        <f>IF(ber_Med_disc!C14&gt;1,ber_Med_disc!F14,"")</f>
        <v/>
      </c>
      <c r="K30" s="124">
        <f>ber_Med_disc!L14</f>
        <v>0</v>
      </c>
      <c r="L30" s="117" t="str">
        <f>IF(AND(ber_Med_disc!C14&gt;1,ber_Med_disc!O14&gt;1,H30&lt;&gt;"STOP"),ber_Med_disc!N14,"")</f>
        <v/>
      </c>
      <c r="M30" s="117" t="str">
        <f>IF(AND(ber_Med_disc!C14&gt;1,L30&lt;&gt;0,ber_Med_disc!O14&gt;1,H30&lt;&gt;"STOP"),"ml","")</f>
        <v/>
      </c>
      <c r="N30" s="117"/>
      <c r="O30" s="117" t="str">
        <f>IF(AND(L30&lt;&gt;"",ber_Med_disc!Q14&gt;0,H30&lt;&gt;"STOP"),ber_Med_disc!Q14&amp;"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ber_Opm!C28</f>
        <v>0</v>
      </c>
      <c r="E31" s="128"/>
      <c r="F31" s="128"/>
      <c r="G31" s="128"/>
      <c r="H31" s="127" t="str">
        <f>IF(AND(ber_Med_disc!C14&gt;1,H30&lt;&gt;"STOP"),"Dosering/kg/dag: ","")</f>
        <v/>
      </c>
      <c r="I31" s="126"/>
      <c r="J31" s="128" t="str">
        <f>IF(ber_Med_disc!C14&gt;1,ber_Med_disc!M14,"")</f>
        <v/>
      </c>
      <c r="K31" s="126" t="str">
        <f>IF(AND(ber_Med_disc!C14&gt;1,H30&lt;&gt;"STOP"),J30&amp;"/kg/dag ","")</f>
        <v/>
      </c>
      <c r="L31" s="126"/>
      <c r="M31" s="126" t="str">
        <f>IF(AND(ber_Med_disc!C14&gt;1,ber_Med_disc!O14&gt;1,ber_Med_disc!N14&gt;0,H30&lt;&gt;"STOP"),"Oplossing:","")</f>
        <v/>
      </c>
      <c r="N31" s="126" t="str">
        <f>IF(AND(ber_Med_disc!C14&gt;1,ber_Med_disc!O14&gt;1,ber_Med_disc!N14&gt;0,H30&lt;&gt;"STOP"),ROUND(ber_Med_disc!H14/ber_Med_disc!N14,2)&amp;" "&amp;ber_Med_disc!F14&amp;"/ml","")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ber_Med_disc!C15</f>
        <v>0</v>
      </c>
      <c r="E32" s="870"/>
      <c r="F32" s="870"/>
      <c r="G32" s="870"/>
      <c r="H32" s="121" t="str">
        <f>IF(INDEX(tblMedDiscTijdenValues,ber_Med_disc!I15,1)=0,"",INDEX(tblMedDiscTijdenValues,ber_Med_disc!I15,1))</f>
        <v/>
      </c>
      <c r="I32" s="122" t="str">
        <f>IF(ber_Med_disc!C15&gt;1,ber_Med_disc!H15,"")</f>
        <v/>
      </c>
      <c r="J32" s="123" t="str">
        <f>IF(ber_Med_disc!C15&gt;1,ber_Med_disc!F15,"")</f>
        <v/>
      </c>
      <c r="K32" s="124">
        <f>ber_Med_disc!L15</f>
        <v>0</v>
      </c>
      <c r="L32" s="117" t="str">
        <f>IF(AND(ber_Med_disc!C15&gt;1,ber_Med_disc!O15&gt;1,H32&lt;&gt;"STOP"),ber_Med_disc!N15,"")</f>
        <v/>
      </c>
      <c r="M32" s="117" t="str">
        <f>IF(AND(ber_Med_disc!C15&gt;1,L32&lt;&gt;0,ber_Med_disc!O15&gt;1,H32&lt;&gt;"STOP"),"ml","")</f>
        <v/>
      </c>
      <c r="N32" s="117"/>
      <c r="O32" s="117" t="str">
        <f>IF(AND(L32&lt;&gt;"",ber_Med_disc!Q15&gt;0,H32&lt;&gt;"STOP"),ber_Med_disc!Q15&amp;"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ber_Opm!C29</f>
        <v>0</v>
      </c>
      <c r="E33" s="128"/>
      <c r="F33" s="128"/>
      <c r="G33" s="128"/>
      <c r="H33" s="127" t="str">
        <f>IF(AND(ber_Med_disc!C15&gt;1,H32&lt;&gt;"STOP"),"Dosering/kg/dag: ","")</f>
        <v/>
      </c>
      <c r="I33" s="126"/>
      <c r="J33" s="128" t="str">
        <f>IF(ber_Med_disc!C15&gt;1,ber_Med_disc!M15,"")</f>
        <v/>
      </c>
      <c r="K33" s="126" t="str">
        <f>IF(AND(ber_Med_disc!C15&gt;1,H32&lt;&gt;"STOP"),J32&amp;"/kg/dag ","")</f>
        <v/>
      </c>
      <c r="L33" s="126"/>
      <c r="M33" s="126" t="str">
        <f>IF(AND(ber_Med_disc!C15&gt;1,ber_Med_disc!O15&gt;1,ber_Med_disc!N15&gt;0,H32&lt;&gt;"STOP"),"Oplossing:","")</f>
        <v/>
      </c>
      <c r="N33" s="126" t="str">
        <f>IF(AND(ber_Med_disc!C15&gt;1,ber_Med_disc!O15&gt;1,ber_Med_disc!N15&gt;0,H32&lt;&gt;"STOP"),ROUND(ber_Med_disc!H15/ber_Med_disc!N15,2)&amp;" "&amp;ber_Med_disc!F15&amp;"/ml","")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ber_Med_disc!C16</f>
        <v>0</v>
      </c>
      <c r="E34" s="870"/>
      <c r="F34" s="870"/>
      <c r="G34" s="870"/>
      <c r="H34" s="121" t="str">
        <f>IF(INDEX(tblMedDiscTijdenValues,ber_Med_disc!I16,1)=0,"",INDEX(tblMedDiscTijdenValues,ber_Med_disc!I16,1))</f>
        <v/>
      </c>
      <c r="I34" s="122" t="str">
        <f>IF(ber_Med_disc!C16&gt;1,ber_Med_disc!H16,"")</f>
        <v/>
      </c>
      <c r="J34" s="123" t="str">
        <f>IF(ber_Med_disc!C16&gt;1,ber_Med_disc!F16,"")</f>
        <v/>
      </c>
      <c r="K34" s="124">
        <f>ber_Med_disc!L16</f>
        <v>0</v>
      </c>
      <c r="L34" s="117" t="str">
        <f>IF(AND(ber_Med_disc!C16&gt;1,ber_Med_disc!O16&gt;1,H34&lt;&gt;"STOP"),ber_Med_disc!N16,"")</f>
        <v/>
      </c>
      <c r="M34" s="117" t="str">
        <f>IF(AND(ber_Med_disc!C16&gt;1,L34&lt;&gt;0,ber_Med_disc!O16&gt;1,H34&lt;&gt;"STOP"),"ml","")</f>
        <v/>
      </c>
      <c r="N34" s="117"/>
      <c r="O34" s="117" t="str">
        <f>IF(AND(L34&lt;&gt;"",ber_Med_disc!Q16&gt;0,H34&lt;&gt;"STOP"),ber_Med_disc!Q16&amp;"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ber_Opm!C30</f>
        <v>0</v>
      </c>
      <c r="E35" s="128"/>
      <c r="F35" s="128"/>
      <c r="G35" s="128"/>
      <c r="H35" s="127" t="str">
        <f>IF(AND(ber_Med_disc!C16&gt;1,H34&lt;&gt;"STOP"),"Dosering/kg/dag: ","")</f>
        <v/>
      </c>
      <c r="I35" s="126"/>
      <c r="J35" s="128" t="str">
        <f>IF(ber_Med_disc!C16&gt;1,ber_Med_disc!M16,"")</f>
        <v/>
      </c>
      <c r="K35" s="126" t="str">
        <f>IF(AND(ber_Med_disc!C16&gt;1,H34&lt;&gt;"STOP"),J34&amp;"/kg/dag ","")</f>
        <v/>
      </c>
      <c r="L35" s="126"/>
      <c r="M35" s="126" t="str">
        <f>IF(AND(ber_Med_disc!C16&gt;1,ber_Med_disc!O16&gt;1,ber_Med_disc!N16&gt;0,H34&lt;&gt;"STOP"),"Oplossing:","")</f>
        <v/>
      </c>
      <c r="N35" s="126" t="str">
        <f>IF(AND(ber_Med_disc!C16&gt;1,ber_Med_disc!O16&gt;1,ber_Med_disc!N16&gt;0,H34&lt;&gt;"STOP"),ROUND(ber_Med_disc!H16/ber_Med_disc!N16,2)&amp;" "&amp;ber_Med_disc!F16&amp;"/ml","")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ber_Med_disc!C17</f>
        <v>0</v>
      </c>
      <c r="E36" s="870"/>
      <c r="F36" s="870"/>
      <c r="G36" s="870"/>
      <c r="H36" s="121" t="str">
        <f>IF(INDEX(tblMedDiscTijdenValues,ber_Med_disc!I17,1)=0,"",INDEX(tblMedDiscTijdenValues,ber_Med_disc!I17,1))</f>
        <v/>
      </c>
      <c r="I36" s="122" t="str">
        <f>IF(ber_Med_disc!C17&gt;1,ber_Med_disc!H17,"")</f>
        <v/>
      </c>
      <c r="J36" s="123" t="str">
        <f>IF(ber_Med_disc!C17&gt;1,ber_Med_disc!F17,"")</f>
        <v/>
      </c>
      <c r="K36" s="124">
        <f>ber_Med_disc!L17</f>
        <v>0</v>
      </c>
      <c r="L36" s="117" t="str">
        <f>IF(AND(ber_Med_disc!C17&gt;1,ber_Med_disc!O17&gt;1),ber_Med_disc!N17,"")</f>
        <v/>
      </c>
      <c r="M36" s="117" t="str">
        <f>IF(AND(ber_Med_disc!C17&gt;1,L36&lt;&gt;0,ber_Med_disc!O17&gt;1),"ml","")</f>
        <v/>
      </c>
      <c r="N36" s="117"/>
      <c r="O36" s="117" t="str">
        <f>IF(AND(L36&lt;&gt;"",ber_Med_disc!Q17&gt;0),ber_Med_disc!Q17&amp;"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ber_Opm!C31</f>
        <v>0</v>
      </c>
      <c r="E37" s="128"/>
      <c r="F37" s="128"/>
      <c r="G37" s="128"/>
      <c r="H37" s="127" t="str">
        <f>IF(ber_Med_disc!C17&gt;1,"Dosering/kg/dag: ","")</f>
        <v/>
      </c>
      <c r="I37" s="126"/>
      <c r="J37" s="128" t="str">
        <f>IF(ber_Med_disc!C17&gt;1,ber_Med_disc!M17,"")</f>
        <v/>
      </c>
      <c r="K37" s="126" t="str">
        <f>IF(AND(ber_Med_disc!C17&gt;1,H36&lt;&gt;"STOP"),J36&amp;"/kg/dag ","")</f>
        <v/>
      </c>
      <c r="L37" s="126"/>
      <c r="M37" s="126" t="str">
        <f>IF(AND(ber_Med_disc!C17&gt;1,ber_Med_disc!O17&gt;1,ber_Med_disc!N17&gt;0),"Oplossing:","")</f>
        <v/>
      </c>
      <c r="N37" s="126" t="str">
        <f>IF(AND(ber_Med_disc!C17&gt;1,ber_Med_disc!O17&gt;1,ber_Med_disc!N17&gt;0),ROUND(ber_Med_disc!H17/ber_Med_disc!N17,2)&amp;" "&amp;ber_Med_disc!F17&amp;"/ml","")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ber_Med_disc!C18</f>
        <v>0</v>
      </c>
      <c r="E38" s="870"/>
      <c r="F38" s="870"/>
      <c r="G38" s="870"/>
      <c r="H38" s="121" t="str">
        <f>IF(INDEX(tblMedDiscTijdenValues,ber_Med_disc!I18,1)=0,"",INDEX(tblMedDiscTijdenValues,ber_Med_disc!I18,1))</f>
        <v/>
      </c>
      <c r="I38" s="122" t="str">
        <f>IF(ber_Med_disc!C18&gt;1,ber_Med_disc!H18,"")</f>
        <v/>
      </c>
      <c r="J38" s="123" t="str">
        <f>IF(ber_Med_disc!C18&gt;1,ber_Med_disc!F18,"")</f>
        <v/>
      </c>
      <c r="K38" s="124">
        <f>ber_Med_disc!L18</f>
        <v>0</v>
      </c>
      <c r="L38" s="117" t="str">
        <f>IF(AND(ber_Med_disc!C18&gt;1,ber_Med_disc!O18&gt;1),ber_Med_disc!N18,"")</f>
        <v/>
      </c>
      <c r="M38" s="117" t="str">
        <f>IF(AND(ber_Med_disc!C18&gt;1,L38&lt;&gt;0,ber_Med_disc!O18&gt;1),"ml","")</f>
        <v/>
      </c>
      <c r="N38" s="117"/>
      <c r="O38" s="117" t="str">
        <f>IF(AND(L38&lt;&gt;"",ber_Med_disc!Q18&gt;0),ber_Med_disc!Q18&amp;"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ber_Opm!C32</f>
        <v>0</v>
      </c>
      <c r="E39" s="128"/>
      <c r="F39" s="128"/>
      <c r="G39" s="128"/>
      <c r="H39" s="127" t="str">
        <f>IF(ber_Med_disc!C18&gt;1,"Dosering/kg/dag: ","")</f>
        <v/>
      </c>
      <c r="I39" s="126"/>
      <c r="J39" s="128" t="str">
        <f>IF(ber_Med_disc!C18&gt;1,ber_Med_disc!M18,"")</f>
        <v/>
      </c>
      <c r="K39" s="126" t="str">
        <f>IF(AND(ber_Med_disc!C18&gt;1,H38&lt;&gt;"STOP"),J38&amp;"/kg/dag ","")</f>
        <v/>
      </c>
      <c r="L39" s="126"/>
      <c r="M39" s="126" t="str">
        <f>IF(AND(ber_Med_disc!C18&gt;1,ber_Med_disc!O18&gt;1,ber_Med_disc!N18&gt;0),"Oplossing:","")</f>
        <v/>
      </c>
      <c r="N39" s="126" t="str">
        <f>IF(AND(ber_Med_disc!C18&gt;1,ber_Med_disc!O18&gt;1,ber_Med_disc!N18&gt;0),ROUND(ber_Med_disc!H18/ber_Med_disc!N18,2)&amp;" "&amp;ber_Med_disc!F18&amp;"/ml","")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ber_Med_disc!C19</f>
        <v>0</v>
      </c>
      <c r="E40" s="870"/>
      <c r="F40" s="870"/>
      <c r="G40" s="870"/>
      <c r="H40" s="121" t="str">
        <f>IF(INDEX(tblMedDiscTijdenValues,ber_Med_disc!I19,1)=0,"",INDEX(tblMedDiscTijdenValues,ber_Med_disc!I19,1))</f>
        <v/>
      </c>
      <c r="I40" s="122" t="str">
        <f>IF(ber_Med_disc!C19&gt;1,ber_Med_disc!H19,"")</f>
        <v/>
      </c>
      <c r="J40" s="123" t="str">
        <f>IF(ber_Med_disc!C19&gt;1,ber_Med_disc!F19,"")</f>
        <v/>
      </c>
      <c r="K40" s="124">
        <f>ber_Med_disc!L19</f>
        <v>0</v>
      </c>
      <c r="L40" s="117" t="str">
        <f>IF(AND(ber_Med_disc!C19&gt;1,ber_Med_disc!O19&gt;1),ber_Med_disc!N19,"")</f>
        <v/>
      </c>
      <c r="M40" s="117" t="str">
        <f>IF(AND(ber_Med_disc!C19&gt;1,L40&lt;&gt;0,ber_Med_disc!O19&gt;1),"ml","")</f>
        <v/>
      </c>
      <c r="N40" s="117"/>
      <c r="O40" s="117" t="str">
        <f>IF(AND(L40&lt;&gt;"",ber_Med_disc!Q19&gt;0),ber_Med_disc!Q19&amp;"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ber_Opm!C33</f>
        <v>0</v>
      </c>
      <c r="E41" s="128"/>
      <c r="F41" s="128"/>
      <c r="G41" s="128"/>
      <c r="H41" s="127" t="str">
        <f>IF(ber_Med_disc!C19&gt;1,"Dosering/kg/dag: ","")</f>
        <v/>
      </c>
      <c r="I41" s="126"/>
      <c r="J41" s="128" t="str">
        <f>IF(ber_Med_disc!C19&gt;1,ber_Med_disc!M19,"")</f>
        <v/>
      </c>
      <c r="K41" s="126" t="str">
        <f>IF(AND(ber_Med_disc!C19&gt;1,H40&lt;&gt;"STOP"),J40&amp;"/kg/dag ","")</f>
        <v/>
      </c>
      <c r="L41" s="126"/>
      <c r="M41" s="126" t="str">
        <f>IF(AND(ber_Med_disc!C19&gt;1,ber_Med_disc!O19&gt;1,ber_Med_disc!N19&gt;0),"Oplossing:","")</f>
        <v/>
      </c>
      <c r="N41" s="126" t="str">
        <f>IF(AND(ber_Med_disc!C19&gt;1,ber_Med_disc!O19&gt;1,ber_Med_disc!N19&gt;0),ROUND(ber_Med_disc!H19/ber_Med_disc!N19,2)&amp;" "&amp;ber_Med_disc!F19&amp;"/ml","")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ber_Med_disc!C20</f>
        <v>0</v>
      </c>
      <c r="E42" s="870"/>
      <c r="F42" s="870"/>
      <c r="G42" s="870"/>
      <c r="H42" s="121" t="str">
        <f>IF(INDEX(tblMedDiscTijdenValues,ber_Med_disc!I20,1)=0,"",INDEX(tblMedDiscTijdenValues,ber_Med_disc!I20,1))</f>
        <v/>
      </c>
      <c r="I42" s="122" t="str">
        <f>IF(ber_Med_disc!C20&gt;1,ber_Med_disc!H20,"")</f>
        <v/>
      </c>
      <c r="J42" s="123" t="str">
        <f>IF(ber_Med_disc!C20&gt;1,ber_Med_disc!F20,"")</f>
        <v/>
      </c>
      <c r="K42" s="124">
        <f>ber_Med_disc!L20</f>
        <v>0</v>
      </c>
      <c r="L42" s="117" t="str">
        <f>IF(AND(ber_Med_disc!C20&gt;1,ber_Med_disc!O20&gt;1),ber_Med_disc!N20,"")</f>
        <v/>
      </c>
      <c r="M42" s="117" t="str">
        <f>IF(AND(ber_Med_disc!C20&gt;1,L42&lt;&gt;0,ber_Med_disc!O20&gt;1),"ml","")</f>
        <v/>
      </c>
      <c r="N42" s="117"/>
      <c r="O42" s="117" t="str">
        <f>IF(AND(L42&lt;&gt;"",ber_Med_disc!Q20&gt;0),ber_Med_disc!Q20&amp;"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ber_Opm!C34</f>
        <v>0</v>
      </c>
      <c r="E43" s="128"/>
      <c r="F43" s="128"/>
      <c r="G43" s="128"/>
      <c r="H43" s="127" t="str">
        <f>IF(ber_Med_disc!C20&gt;1,"Dosering/kg/dag: ","")</f>
        <v/>
      </c>
      <c r="I43" s="126"/>
      <c r="J43" s="128" t="str">
        <f>IF(ber_Med_disc!C20&gt;1,ber_Med_disc!M20,"")</f>
        <v/>
      </c>
      <c r="K43" s="126" t="str">
        <f>IF(AND(ber_Med_disc!C20&gt;1,H42&lt;&gt;"STOP"),J42&amp;"/kg/dag ","")</f>
        <v/>
      </c>
      <c r="L43" s="126"/>
      <c r="M43" s="126" t="str">
        <f>IF(AND(ber_Med_disc!C20&gt;1,ber_Med_disc!O20&gt;1,ber_Med_disc!N20&gt;0),"Oplossing:","")</f>
        <v/>
      </c>
      <c r="N43" s="126" t="str">
        <f>IF(AND(ber_Med_disc!C20&gt;1,ber_Med_disc!O20&gt;1,ber_Med_disc!N20&gt;0),ROUND(ber_Med_disc!H20/ber_Med_disc!N20,2)&amp;" "&amp;ber_Med_disc!F20&amp;"/ml","")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ber_Med_disc!C21</f>
        <v>0</v>
      </c>
      <c r="E44" s="870"/>
      <c r="F44" s="870"/>
      <c r="G44" s="870"/>
      <c r="H44" s="121" t="str">
        <f>IF(INDEX(tblMedDiscTijdenValues,ber_Med_disc!I21,1)=0,"",INDEX(tblMedDiscTijdenValues,ber_Med_disc!I21,1))</f>
        <v/>
      </c>
      <c r="I44" s="122" t="str">
        <f>IF(ber_Med_disc!C21&gt;1,ber_Med_disc!H21,"")</f>
        <v/>
      </c>
      <c r="J44" s="123" t="str">
        <f>IF(ber_Med_disc!C21&gt;1,ber_Med_disc!F21,"")</f>
        <v/>
      </c>
      <c r="K44" s="124">
        <f>ber_Med_disc!L21</f>
        <v>0</v>
      </c>
      <c r="L44" s="117" t="str">
        <f>IF(AND(ber_Med_disc!C21&gt;1,ber_Med_disc!O21&gt;1),ber_Med_disc!N21,"")</f>
        <v/>
      </c>
      <c r="M44" s="117" t="str">
        <f>IF(AND(ber_Med_disc!C21&gt;1,L44&lt;&gt;0,ber_Med_disc!O21&gt;1),"ml","")</f>
        <v/>
      </c>
      <c r="N44" s="117"/>
      <c r="O44" s="117" t="str">
        <f>IF(AND(L44&lt;&gt;"",ber_Med_disc!Q21&gt;0),ber_Med_disc!Q21&amp;"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ber_Opm!C35</f>
        <v>0</v>
      </c>
      <c r="E45" s="128"/>
      <c r="F45" s="128"/>
      <c r="G45" s="128"/>
      <c r="H45" s="127" t="str">
        <f>IF(ber_Med_disc!C21&gt;1,"Dosering/kg/dag: ","")</f>
        <v/>
      </c>
      <c r="I45" s="126"/>
      <c r="J45" s="128" t="str">
        <f>IF(ber_Med_disc!C21&gt;1,ber_Med_disc!M21,"")</f>
        <v/>
      </c>
      <c r="K45" s="126" t="str">
        <f>IF(AND(ber_Med_disc!C21&gt;1,H44&lt;&gt;"STOP"),J44&amp;"/kg/dag ","")</f>
        <v/>
      </c>
      <c r="L45" s="126"/>
      <c r="M45" s="126" t="str">
        <f>IF(AND(ber_Med_disc!C21&gt;1,ber_Med_disc!O21&gt;1,ber_Med_disc!N21&gt;0),"Oplossing:","")</f>
        <v/>
      </c>
      <c r="N45" s="126" t="str">
        <f>IF(AND(ber_Med_disc!C21&gt;1,ber_Med_disc!O21&gt;1,ber_Med_disc!N21&gt;0),ROUND(ber_Med_disc!H21/ber_Med_disc!N21,2)&amp;" "&amp;ber_Med_disc!F21&amp;"/ml","")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ber_Med_disc!C22</f>
        <v>0</v>
      </c>
      <c r="E46" s="870"/>
      <c r="F46" s="870"/>
      <c r="G46" s="870"/>
      <c r="H46" s="121" t="str">
        <f>IF(INDEX(tblMedDiscTijdenValues,ber_Med_disc!I22,1)=0,"",INDEX(tblMedDiscTijdenValues,ber_Med_disc!I22,1))</f>
        <v/>
      </c>
      <c r="I46" s="122" t="str">
        <f>IF(ber_Med_disc!C22&gt;1,ber_Med_disc!H22,"")</f>
        <v/>
      </c>
      <c r="J46" s="123" t="str">
        <f>IF(ber_Med_disc!C22&gt;1,ber_Med_disc!F22,"")</f>
        <v/>
      </c>
      <c r="K46" s="124">
        <f>ber_Med_disc!L22</f>
        <v>0</v>
      </c>
      <c r="L46" s="117" t="str">
        <f>IF(AND(ber_Med_disc!C22&gt;1,ber_Med_disc!O22&gt;1),ber_Med_disc!N22,"")</f>
        <v/>
      </c>
      <c r="M46" s="117" t="str">
        <f>IF(AND(ber_Med_disc!C22&gt;1,L46&lt;&gt;0,ber_Med_disc!O22&gt;1),"ml","")</f>
        <v/>
      </c>
      <c r="N46" s="117"/>
      <c r="O46" s="117" t="str">
        <f>IF(AND(L46&lt;&gt;"",ber_Med_disc!Q22&gt;0),ber_Med_disc!Q22&amp;"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ber_Opm!C37</f>
        <v>0</v>
      </c>
      <c r="E47" s="128"/>
      <c r="F47" s="128"/>
      <c r="G47" s="128"/>
      <c r="H47" s="127" t="str">
        <f>IF(ber_Med_disc!C22&gt;1,"Dosering/kg/dag: ","")</f>
        <v/>
      </c>
      <c r="I47" s="126"/>
      <c r="J47" s="128" t="str">
        <f>IF(ber_Med_disc!C22&gt;1,ber_Med_disc!M22,"")</f>
        <v/>
      </c>
      <c r="K47" s="126" t="str">
        <f>IF(AND(ber_Med_disc!C22&gt;1,H46&lt;&gt;"STOP"),J46&amp;"/kg/dag ","")</f>
        <v/>
      </c>
      <c r="L47" s="126"/>
      <c r="M47" s="126" t="str">
        <f>IF(AND(ber_Med_disc!C22&gt;1,ber_Med_disc!O22&gt;1,ber_Med_disc!N22&gt;0),"Oplossing:","")</f>
        <v/>
      </c>
      <c r="N47" s="126" t="str">
        <f>IF(AND(ber_Med_disc!C22&gt;1,ber_Med_disc!O22&gt;1,ber_Med_disc!N22&gt;0),ROUND(ber_Med_disc!H22/ber_Med_disc!N22,2)&amp;" "&amp;ber_Med_disc!F22&amp;"/ml","")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ber_Med_disc!C23</f>
        <v>0</v>
      </c>
      <c r="E48" s="870"/>
      <c r="F48" s="870"/>
      <c r="G48" s="870"/>
      <c r="H48" s="121" t="str">
        <f>IF(INDEX(tblMedDiscTijdenValues,ber_Med_disc!I23,1)=0,"",INDEX(tblMedDiscTijdenValues,ber_Med_disc!I23,1))</f>
        <v/>
      </c>
      <c r="I48" s="122" t="str">
        <f>IF(ber_Med_disc!C23&gt;1,ber_Med_disc!H23,"")</f>
        <v/>
      </c>
      <c r="J48" s="123" t="str">
        <f>IF(ber_Med_disc!C23&gt;1,ber_Med_disc!F23,"")</f>
        <v/>
      </c>
      <c r="K48" s="124">
        <f>ber_Med_disc!L23</f>
        <v>0</v>
      </c>
      <c r="L48" s="117" t="str">
        <f>IF(AND(ber_Med_disc!C23&gt;1,ber_Med_disc!O23&gt;1),ber_Med_disc!N23,"")</f>
        <v/>
      </c>
      <c r="M48" s="117" t="str">
        <f>IF(AND(ber_Med_disc!C23&gt;1,L48&lt;&gt;0,ber_Med_disc!O23&gt;1),"ml","")</f>
        <v/>
      </c>
      <c r="N48" s="117"/>
      <c r="O48" s="117" t="str">
        <f>IF(AND(L48&lt;&gt;"",ber_Med_disc!Q23&gt;0),ber_Med_disc!Q23&amp;"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ber_Opm!C38</f>
        <v>0</v>
      </c>
      <c r="E49" s="128"/>
      <c r="F49" s="128"/>
      <c r="G49" s="128"/>
      <c r="H49" s="127" t="str">
        <f>IF(ber_Med_disc!C23&gt;1,"Dosering/kg/dag: ","")</f>
        <v/>
      </c>
      <c r="I49" s="126"/>
      <c r="J49" s="128" t="str">
        <f>IF(ber_Med_disc!C23&gt;1,ber_Med_disc!M23,"")</f>
        <v/>
      </c>
      <c r="K49" s="126" t="str">
        <f>IF(AND(ber_Med_disc!C23&gt;1,H48&lt;&gt;"STOP"),J48&amp;"/kg/dag ","")</f>
        <v/>
      </c>
      <c r="L49" s="126"/>
      <c r="M49" s="126" t="str">
        <f>IF(AND(ber_Med_disc!C23&gt;1,ber_Med_disc!O23&gt;1,ber_Med_disc!N23&gt;0),"Oplossing:","")</f>
        <v/>
      </c>
      <c r="N49" s="126" t="str">
        <f>IF(AND(ber_Med_disc!C23&gt;1,ber_Med_disc!O23&gt;1,ber_Med_disc!N23&gt;0),ROUND(ber_Med_disc!H23/ber_Med_disc!N23,2)&amp;" "&amp;ber_Med_disc!F23&amp;"/ml","")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ber_Med_disc!C24</f>
        <v>0</v>
      </c>
      <c r="E50" s="870"/>
      <c r="F50" s="870"/>
      <c r="G50" s="870"/>
      <c r="H50" s="121" t="str">
        <f>IF(INDEX(tblMedDiscTijdenValues,ber_Med_disc!I24,1)=0,"",INDEX(tblMedDiscTijdenValues,ber_Med_disc!I24,1))</f>
        <v/>
      </c>
      <c r="I50" s="122" t="str">
        <f>IF(ber_Med_disc!C24&gt;1,ber_Med_disc!H24,"")</f>
        <v/>
      </c>
      <c r="J50" s="123" t="str">
        <f>IF(ber_Med_disc!C24&gt;1,ber_Med_disc!F24,"")</f>
        <v/>
      </c>
      <c r="K50" s="124">
        <f>ber_Med_disc!L24</f>
        <v>0</v>
      </c>
      <c r="L50" s="117" t="str">
        <f>IF(AND(ber_Med_disc!C24&gt;1,ber_Med_disc!O24&gt;1),ber_Med_disc!N24,"")</f>
        <v/>
      </c>
      <c r="M50" s="117" t="str">
        <f>IF(AND(ber_Med_disc!C24&gt;1,L50&lt;&gt;0,ber_Med_disc!O24&gt;1),"ml","")</f>
        <v/>
      </c>
      <c r="N50" s="117"/>
      <c r="O50" s="117" t="str">
        <f>IF(AND(L50&lt;&gt;"",ber_Med_disc!Q24&gt;0),ber_Med_disc!Q24&amp;"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ber_Opm!C39</f>
        <v>0</v>
      </c>
      <c r="E51" s="128"/>
      <c r="F51" s="128"/>
      <c r="G51" s="128"/>
      <c r="H51" s="127" t="str">
        <f>IF(ber_Med_disc!C24&gt;1,"Dosering/kg/dag: ","")</f>
        <v/>
      </c>
      <c r="I51" s="126"/>
      <c r="J51" s="128" t="str">
        <f>IF(ber_Med_disc!C24&gt;1,ber_Med_disc!M24,"")</f>
        <v/>
      </c>
      <c r="K51" s="126" t="str">
        <f>IF(AND(ber_Med_disc!C24&gt;1,H50&lt;&gt;"STOP"),J50&amp;"/kg/dag ","")</f>
        <v/>
      </c>
      <c r="L51" s="126"/>
      <c r="M51" s="126" t="str">
        <f>IF(AND(ber_Med_disc!C24&gt;1,ber_Med_disc!O24&gt;1,ber_Med_disc!N24&gt;0),"Oplossing:","")</f>
        <v/>
      </c>
      <c r="N51" s="126" t="str">
        <f>IF(AND(ber_Med_disc!C24&gt;1,ber_Med_disc!O24&gt;1,ber_Med_disc!N24&gt;0),ROUND(ber_Med_disc!H24/ber_Med_disc!N24,2)&amp;" "&amp;ber_Med_disc!F24&amp;"/ml","")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ber_Med_disc!C25</f>
        <v>0</v>
      </c>
      <c r="E52" s="870"/>
      <c r="F52" s="870"/>
      <c r="G52" s="870"/>
      <c r="H52" s="121" t="str">
        <f>IF(INDEX(tblMedDiscTijdenValues,ber_Med_disc!I25,1)=0,"",INDEX(tblMedDiscTijdenValues,ber_Med_disc!I25,1))</f>
        <v/>
      </c>
      <c r="I52" s="122" t="str">
        <f>IF(ber_Med_disc!C25&gt;1,ber_Med_disc!H25,"")</f>
        <v/>
      </c>
      <c r="J52" s="123" t="str">
        <f>IF(ber_Med_disc!C25&gt;1,ber_Med_disc!F25,"")</f>
        <v/>
      </c>
      <c r="K52" s="124">
        <f>ber_Med_disc!L25</f>
        <v>0</v>
      </c>
      <c r="L52" s="117" t="str">
        <f>IF(AND(ber_Med_disc!C25&gt;1,ber_Med_disc!O25&gt;1),ber_Med_disc!N25,"")</f>
        <v/>
      </c>
      <c r="M52" s="117" t="str">
        <f>IF(AND(ber_Med_disc!C25&gt;1,L52&lt;&gt;0,ber_Med_disc!O25&gt;1),"ml","")</f>
        <v/>
      </c>
      <c r="N52" s="117"/>
      <c r="O52" s="117" t="str">
        <f>IF(AND(L52&lt;&gt;"",ber_Med_disc!Q25&gt;0),ber_Med_disc!Q25&amp;"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ber_Opm!C40</f>
        <v>0</v>
      </c>
      <c r="E53" s="128"/>
      <c r="F53" s="128"/>
      <c r="G53" s="128"/>
      <c r="H53" s="127" t="str">
        <f>IF(ber_Med_disc!C25&gt;1,"Dosering/kg/dag: ","")</f>
        <v/>
      </c>
      <c r="I53" s="126"/>
      <c r="J53" s="128" t="str">
        <f>IF(ber_Med_disc!C25&gt;1,ber_Med_disc!M25,"")</f>
        <v/>
      </c>
      <c r="K53" s="126" t="str">
        <f>IF(AND(ber_Med_disc!C25&gt;1,H52&lt;&gt;"STOP"),J52&amp;"/kg/dag ","")</f>
        <v/>
      </c>
      <c r="L53" s="126"/>
      <c r="M53" s="126" t="str">
        <f>IF(AND(ber_Med_disc!C25&gt;1,ber_Med_disc!O25&gt;1,ber_Med_disc!N25&gt;0),"Oplossing:","")</f>
        <v/>
      </c>
      <c r="N53" s="126" t="str">
        <f>IF(AND(ber_Med_disc!C25&gt;1,ber_Med_disc!O25&gt;1,ber_Med_disc!N25&gt;0),ROUND(ber_Med_disc!H25/ber_Med_disc!N25,2)&amp;" "&amp;ber_Med_disc!F25&amp;"/ml","")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ber_Med_disc!C26</f>
        <v>0</v>
      </c>
      <c r="E54" s="870"/>
      <c r="F54" s="870"/>
      <c r="G54" s="870"/>
      <c r="H54" s="121" t="str">
        <f>IF(INDEX(tblMedDiscTijdenValues,ber_Med_disc!I26,1)=0,"",INDEX(tblMedDiscTijdenValues,ber_Med_disc!I26,1))</f>
        <v/>
      </c>
      <c r="I54" s="122" t="str">
        <f>IF(ber_Med_disc!C26&gt;1,ber_Med_disc!H26,"")</f>
        <v/>
      </c>
      <c r="J54" s="123" t="str">
        <f>IF(ber_Med_disc!C26&gt;1,ber_Med_disc!F26,"")</f>
        <v/>
      </c>
      <c r="K54" s="124">
        <f>ber_Med_disc!L26</f>
        <v>0</v>
      </c>
      <c r="L54" s="117" t="str">
        <f>IF(AND(ber_Med_disc!C26&gt;1,ber_Med_disc!O26&gt;1),ber_Med_disc!N26,"")</f>
        <v/>
      </c>
      <c r="M54" s="117" t="str">
        <f>IF(AND(ber_Med_disc!C26&gt;1,L54&lt;&gt;0,ber_Med_disc!O26&gt;1),"ml","")</f>
        <v/>
      </c>
      <c r="N54" s="117"/>
      <c r="O54" s="117" t="str">
        <f>IF(AND(L54&lt;&gt;"",ber_Med_disc!Q26&gt;0),ber_Med_disc!Q26&amp;"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ber_Opm!C41</f>
        <v>0</v>
      </c>
      <c r="E55" s="128"/>
      <c r="F55" s="128"/>
      <c r="G55" s="128"/>
      <c r="H55" s="127" t="str">
        <f>IF(ber_Med_disc!C26&gt;1,"Dosering/kg/dag: ","")</f>
        <v/>
      </c>
      <c r="I55" s="126"/>
      <c r="J55" s="128" t="str">
        <f>IF(ber_Med_disc!C26&gt;1,ber_Med_disc!M26,"")</f>
        <v/>
      </c>
      <c r="K55" s="126" t="str">
        <f>IF(AND(ber_Med_disc!C26&gt;1,H54&lt;&gt;"STOP"),J54&amp;"/kg/dag ","")</f>
        <v/>
      </c>
      <c r="L55" s="126"/>
      <c r="M55" s="126" t="str">
        <f>IF(AND(ber_Med_disc!C26&gt;1,ber_Med_disc!O26&gt;1,ber_Med_disc!N26&gt;0),"Oplossing:","")</f>
        <v/>
      </c>
      <c r="N55" s="126" t="str">
        <f>IF(AND(ber_Med_disc!C26&gt;1,ber_Med_disc!O26&gt;1,ber_Med_disc!N26&gt;0),ROUND(ber_Med_disc!H26/ber_Med_disc!N26,2)&amp;" "&amp;ber_Med_disc!F26&amp;"/ml","")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ber_Med_disc!C27</f>
        <v>0</v>
      </c>
      <c r="E56" s="870"/>
      <c r="F56" s="870"/>
      <c r="G56" s="870"/>
      <c r="H56" s="121" t="str">
        <f>IF(INDEX(tblMedDiscTijdenValues,ber_Med_disc!I27,1)=0,"",INDEX(tblMedDiscTijdenValues,ber_Med_disc!I27,1))</f>
        <v/>
      </c>
      <c r="I56" s="122" t="str">
        <f>IF(ber_Med_disc!C27&gt;1,ber_Med_disc!H27,"")</f>
        <v/>
      </c>
      <c r="J56" s="123" t="str">
        <f>IF(ber_Med_disc!C27&gt;1,ber_Med_disc!F27,"")</f>
        <v/>
      </c>
      <c r="K56" s="124">
        <f>ber_Med_disc!L27</f>
        <v>0</v>
      </c>
      <c r="L56" s="117" t="str">
        <f>IF(AND(ber_Med_disc!C27&gt;1,ber_Med_disc!O27&gt;1),ber_Med_disc!N27,"")</f>
        <v/>
      </c>
      <c r="M56" s="117" t="str">
        <f>IF(AND(ber_Med_disc!C27&gt;1,L56&lt;&gt;0,ber_Med_disc!O27&gt;1),"ml","")</f>
        <v/>
      </c>
      <c r="N56" s="117"/>
      <c r="O56" s="117" t="str">
        <f>IF(AND(L56&lt;&gt;"",ber_Med_disc!Q27&gt;0),ber_Med_disc!Q27&amp;"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ber_Opm!C42</f>
        <v>0</v>
      </c>
      <c r="E57" s="128"/>
      <c r="F57" s="128"/>
      <c r="G57" s="128"/>
      <c r="H57" s="127" t="str">
        <f>IF(ber_Med_disc!C27&gt;1,"Dosering/kg/dag: ","")</f>
        <v/>
      </c>
      <c r="I57" s="126"/>
      <c r="J57" s="128" t="str">
        <f>IF(ber_Med_disc!C27&gt;1,ber_Med_disc!M27,"")</f>
        <v/>
      </c>
      <c r="K57" s="126" t="str">
        <f>IF(AND(ber_Med_disc!C27&gt;1,H56&lt;&gt;"STOP"),J56&amp;"/kg/dag ","")</f>
        <v/>
      </c>
      <c r="L57" s="126"/>
      <c r="M57" s="126" t="str">
        <f>IF(AND(ber_Med_disc!C27&gt;1,ber_Med_disc!O27&gt;1,ber_Med_disc!N27&gt;0),"Oplossing:","")</f>
        <v/>
      </c>
      <c r="N57" s="126" t="str">
        <f>IF(AND(ber_Med_disc!C27&gt;1,ber_Med_disc!O27&gt;1,ber_Med_disc!N27&gt;0),ROUND(ber_Med_disc!H27/ber_Med_disc!N27,2)&amp;" "&amp;ber_Med_disc!F27&amp;"/ml","")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ber_Med_disc!C28</f>
        <v>0</v>
      </c>
      <c r="E58" s="870"/>
      <c r="F58" s="870"/>
      <c r="G58" s="870"/>
      <c r="H58" s="121" t="str">
        <f>IF(INDEX(tblMedDiscTijdenValues,ber_Med_disc!I28,1)=0,"",INDEX(tblMedDiscTijdenValues,ber_Med_disc!I28,1))</f>
        <v/>
      </c>
      <c r="I58" s="122" t="str">
        <f>IF(ber_Med_disc!C28&gt;1,ber_Med_disc!H28,"")</f>
        <v/>
      </c>
      <c r="J58" s="123" t="str">
        <f>IF(ber_Med_disc!C28&gt;1,ber_Med_disc!F28,"")</f>
        <v/>
      </c>
      <c r="K58" s="124">
        <f>ber_Med_disc!L28</f>
        <v>0</v>
      </c>
      <c r="L58" s="117" t="str">
        <f>IF(AND(ber_Med_disc!C28&gt;1,ber_Med_disc!O28&gt;1),ber_Med_disc!N28,"")</f>
        <v/>
      </c>
      <c r="M58" s="117" t="str">
        <f>IF(AND(ber_Med_disc!C28&gt;1,L58&lt;&gt;0,ber_Med_disc!O28&gt;1),"ml","")</f>
        <v/>
      </c>
      <c r="N58" s="117"/>
      <c r="O58" s="117" t="str">
        <f>IF(AND(L58&lt;&gt;"",ber_Med_disc!Q28&gt;0),ber_Med_disc!Q28&amp;"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ber_Opm!C43</f>
        <v>0</v>
      </c>
      <c r="E59" s="128"/>
      <c r="F59" s="128"/>
      <c r="G59" s="128"/>
      <c r="H59" s="127" t="str">
        <f>IF(ber_Med_disc!C28&gt;1,"Dosering/kg/dag: ","")</f>
        <v/>
      </c>
      <c r="I59" s="126"/>
      <c r="J59" s="128" t="str">
        <f>IF(ber_Med_disc!C28&gt;1,ber_Med_disc!M28,"")</f>
        <v/>
      </c>
      <c r="K59" s="126" t="str">
        <f>IF(AND(ber_Med_disc!C28&gt;1,H58&lt;&gt;"STOP"),J58&amp;"/kg/dag ","")</f>
        <v/>
      </c>
      <c r="L59" s="126"/>
      <c r="M59" s="126" t="str">
        <f>IF(AND(ber_Med_disc!C28&gt;1,ber_Med_disc!O28&gt;1,ber_Med_disc!N28&gt;0),"Oplossing:","")</f>
        <v/>
      </c>
      <c r="N59" s="126" t="str">
        <f>IF(AND(ber_Med_disc!C28&gt;1,ber_Med_disc!O28&gt;1,ber_Med_disc!N28&gt;0),ROUND(ber_Med_disc!H28/ber_Med_disc!N28,2)&amp;" "&amp;ber_Med_disc!F28&amp;"/ml","")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ber_Med_disc!C29</f>
        <v>0</v>
      </c>
      <c r="E60" s="870"/>
      <c r="F60" s="870"/>
      <c r="G60" s="870"/>
      <c r="H60" s="121" t="str">
        <f>IF(INDEX(tblMedDiscTijdenValues,ber_Med_disc!I29,1)=0,"",INDEX(tblMedDiscTijdenValues,ber_Med_disc!I29,1))</f>
        <v/>
      </c>
      <c r="I60" s="122" t="str">
        <f>IF(ber_Med_disc!C29&gt;1,ber_Med_disc!H29,"")</f>
        <v/>
      </c>
      <c r="J60" s="123" t="str">
        <f>IF(ber_Med_disc!C29&gt;1,ber_Med_disc!F29,"")</f>
        <v/>
      </c>
      <c r="K60" s="124">
        <f>ber_Med_disc!L29</f>
        <v>0</v>
      </c>
      <c r="L60" s="117" t="str">
        <f>IF(AND(ber_Med_disc!C29&gt;1,ber_Med_disc!O29&gt;1),ber_Med_disc!N29,"")</f>
        <v/>
      </c>
      <c r="M60" s="117" t="str">
        <f>IF(AND(ber_Med_disc!C29&gt;1,L60&lt;&gt;0,ber_Med_disc!O29&gt;1),"ml","")</f>
        <v/>
      </c>
      <c r="N60" s="117"/>
      <c r="O60" s="117" t="str">
        <f>IF(AND(L60&lt;&gt;"",ber_Med_disc!Q29&gt;0),ber_Med_disc!Q29&amp;"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ber_Opm!C44</f>
        <v>0</v>
      </c>
      <c r="E61" s="128"/>
      <c r="F61" s="128"/>
      <c r="G61" s="128"/>
      <c r="H61" s="127" t="str">
        <f>IF(ber_Med_disc!C29&gt;1,"Dosering/kg/dag: ","")</f>
        <v/>
      </c>
      <c r="I61" s="126"/>
      <c r="J61" s="128" t="str">
        <f>IF(ber_Med_disc!C29&gt;1,ber_Med_disc!M29,"")</f>
        <v/>
      </c>
      <c r="K61" s="126" t="str">
        <f>IF(AND(ber_Med_disc!C29&gt;1,H60&lt;&gt;"STOP"),J60&amp;"/kg/dag ","")</f>
        <v/>
      </c>
      <c r="L61" s="126"/>
      <c r="M61" s="126" t="str">
        <f>IF(AND(ber_Med_disc!C29&gt;1,ber_Med_disc!O29&gt;1,ber_Med_disc!N29&gt;0),"Oplossing:","")</f>
        <v/>
      </c>
      <c r="N61" s="126" t="str">
        <f>IF(AND(ber_Med_disc!C29&gt;1,ber_Med_disc!O29&gt;1,ber_Med_disc!N29&gt;0),ROUND(ber_Med_disc!H29/ber_Med_disc!N29,2)&amp;" "&amp;ber_Med_disc!F29&amp;"/ml","")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ber_Med_disc!C30</f>
        <v>0</v>
      </c>
      <c r="E62" s="870"/>
      <c r="F62" s="870"/>
      <c r="G62" s="870"/>
      <c r="H62" s="121" t="str">
        <f>IF(INDEX(tblMedDiscTijdenValues,ber_Med_disc!I30,1)=0,"",INDEX(tblMedDiscTijdenValues,ber_Med_disc!I30,1))</f>
        <v/>
      </c>
      <c r="I62" s="122" t="str">
        <f>IF(ber_Med_disc!C30&gt;1,ber_Med_disc!H30,"")</f>
        <v/>
      </c>
      <c r="J62" s="123" t="str">
        <f>IF(ber_Med_disc!C30&gt;1,ber_Med_disc!F30,"")</f>
        <v/>
      </c>
      <c r="K62" s="124">
        <f>ber_Med_disc!L30</f>
        <v>0</v>
      </c>
      <c r="L62" s="117" t="str">
        <f>IF(AND(ber_Med_disc!C30&gt;1,ber_Med_disc!O30&gt;1),ber_Med_disc!N30,"")</f>
        <v/>
      </c>
      <c r="M62" s="117" t="str">
        <f>IF(AND(ber_Med_disc!C30&gt;1,L62&lt;&gt;0,ber_Med_disc!O30&gt;1),"ml","")</f>
        <v/>
      </c>
      <c r="N62" s="117"/>
      <c r="O62" s="117" t="str">
        <f>IF(AND(L62&lt;&gt;"",ber_Med_disc!Q30&gt;0),ber_Med_disc!Q30&amp;"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ber_Opm!C45</f>
        <v>0</v>
      </c>
      <c r="E63" s="128"/>
      <c r="F63" s="128"/>
      <c r="G63" s="128"/>
      <c r="H63" s="127" t="str">
        <f>IF(ber_Med_disc!C30&gt;1,"Dosering/kg/dag: ","")</f>
        <v/>
      </c>
      <c r="I63" s="126"/>
      <c r="J63" s="128" t="str">
        <f>IF(ber_Med_disc!C30&gt;1,ber_Med_disc!M30,"")</f>
        <v/>
      </c>
      <c r="K63" s="126" t="str">
        <f>IF(AND(ber_Med_disc!C30&gt;1,H62&lt;&gt;"STOP"),J62&amp;"/kg/dag ","")</f>
        <v/>
      </c>
      <c r="L63" s="126"/>
      <c r="M63" s="126" t="str">
        <f>IF(AND(ber_Med_disc!C30&gt;1,ber_Med_disc!O30&gt;1,ber_Med_disc!N30&gt;0),"Oplossing:","")</f>
        <v/>
      </c>
      <c r="N63" s="126" t="str">
        <f>IF(AND(ber_Med_disc!C30&gt;1,ber_Med_disc!O30&gt;1,ber_Med_disc!N30&gt;0),ROUND(ber_Med_disc!H30/ber_Med_disc!N30,2)&amp;" "&amp;ber_Med_disc!F30&amp;"/ml","")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ber_Med_disc!C31</f>
        <v>0</v>
      </c>
      <c r="E64" s="870"/>
      <c r="F64" s="870"/>
      <c r="G64" s="870"/>
      <c r="H64" s="121" t="str">
        <f>IF(INDEX(tblMedDiscTijdenValues,ber_Med_disc!I31,1)=0,"",INDEX(tblMedDiscTijdenValues,ber_Med_disc!I31,1))</f>
        <v/>
      </c>
      <c r="I64" s="122" t="str">
        <f>IF(ber_Med_disc!C31&gt;1,ber_Med_disc!H31,"")</f>
        <v/>
      </c>
      <c r="J64" s="123" t="str">
        <f>IF(ber_Med_disc!C31&gt;1,ber_Med_disc!F31,"")</f>
        <v/>
      </c>
      <c r="K64" s="124">
        <f>ber_Med_disc!L31</f>
        <v>0</v>
      </c>
      <c r="L64" s="117" t="str">
        <f>IF(AND(ber_Med_disc!C31&gt;1,ber_Med_disc!O31&gt;1),ber_Med_disc!N31,"")</f>
        <v/>
      </c>
      <c r="M64" s="117" t="str">
        <f>IF(AND(ber_Med_disc!C31&gt;1,L64&lt;&gt;0,ber_Med_disc!O31&gt;1),"ml","")</f>
        <v/>
      </c>
      <c r="N64" s="117"/>
      <c r="O64" s="117" t="str">
        <f>IF(AND(L64&lt;&gt;"",ber_Med_disc!Q31&gt;0),ber_Med_disc!Q31&amp;"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ber_Opm!C46</f>
        <v>0</v>
      </c>
      <c r="E65" s="128"/>
      <c r="F65" s="128"/>
      <c r="G65" s="128"/>
      <c r="H65" s="127" t="str">
        <f>IF(ber_Med_disc!C31&gt;1,"Dosering/kg/dag: ","")</f>
        <v/>
      </c>
      <c r="I65" s="126"/>
      <c r="J65" s="128" t="str">
        <f>IF(ber_Med_disc!C31&gt;1,ber_Med_disc!M31,"")</f>
        <v/>
      </c>
      <c r="K65" s="126" t="str">
        <f>IF(AND(ber_Med_disc!C31&gt;1,H64&lt;&gt;"STOP"),J64&amp;"/kg/dag ","")</f>
        <v/>
      </c>
      <c r="L65" s="126"/>
      <c r="M65" s="126" t="str">
        <f>IF(AND(ber_Med_disc!C31&gt;1,ber_Med_disc!O31&gt;1,ber_Med_disc!N31&gt;0),"Oplossing:","")</f>
        <v/>
      </c>
      <c r="N65" s="126" t="str">
        <f>IF(AND(ber_Med_disc!C31&gt;1,ber_Med_disc!O31&gt;1,ber_Med_disc!N31&gt;0),ROUND(ber_Med_disc!H31/ber_Med_disc!N31,2)&amp;" "&amp;ber_Med_disc!F31&amp;"/ml","")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k7YNxpl1iGVTgG84iIeCeiQD9VeOZ1cCIXvZC3N36+/fi+3oJcwr3o6hEm7ndMlhm/fkRA+Da2f50lRQjACB3w==" saltValue="Ob4ft6FkNJYrBWMiKKlNug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>
    <tabColor rgb="FF92D050"/>
  </sheetPr>
  <dimension ref="A1:AE41"/>
  <sheetViews>
    <sheetView zoomScaleNormal="100" workbookViewId="0">
      <selection activeCell="B26" sqref="B26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1" x14ac:dyDescent="0.35">
      <c r="A1" s="577"/>
      <c r="B1" s="518" t="s">
        <v>2646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2645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</row>
    <row r="2" spans="1:31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1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1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1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1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1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1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1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1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1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1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1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1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1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1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"&amp;IF(Q22=0,"","("&amp;ROUND(ber_Med_disc!H22/ber_Med_disc!N22,2)&amp;" "&amp;ber_Med_disc!F22&amp;"/ml)"))</f>
        <v/>
      </c>
      <c r="AA22" s="517" t="str">
        <f t="shared" ref="AA22:AA31" si="27">IF(OR(Q22=0,Z22=""),"","in "&amp;Q22&amp;" min")</f>
        <v/>
      </c>
      <c r="AB22" s="517" t="str">
        <f>IF(ber_Opm!C36=0,"",ber_Opm!C36)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"&amp;IF(Q23=0,"","("&amp;ROUND(ber_Med_disc!H23/ber_Med_disc!N23,2)&amp;" "&amp;ber_Med_disc!F23&amp;"/ml)"))</f>
        <v/>
      </c>
      <c r="AA23" s="517" t="str">
        <f t="shared" si="27"/>
        <v/>
      </c>
      <c r="AB23" s="517" t="str">
        <f>IF(ber_Opm!C37=0,"",ber_Opm!C37)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"&amp;IF(Q24=0,"","("&amp;ROUND(ber_Med_disc!H24/ber_Med_disc!N24,2)&amp;" "&amp;ber_Med_disc!F24&amp;"/ml)"))</f>
        <v/>
      </c>
      <c r="AA24" s="517" t="str">
        <f t="shared" si="27"/>
        <v/>
      </c>
      <c r="AB24" s="517" t="str">
        <f>IF(ber_Opm!C38=0,"",ber_Opm!C38)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"&amp;IF(Q25=0,"","("&amp;ROUND(ber_Med_disc!H25/ber_Med_disc!N25,2)&amp;" "&amp;ber_Med_disc!F25&amp;"/ml)"))</f>
        <v/>
      </c>
      <c r="AA25" s="517" t="str">
        <f t="shared" si="27"/>
        <v/>
      </c>
      <c r="AB25" s="517" t="str">
        <f>IF(ber_Opm!C39=0,"",ber_Opm!C39)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"&amp;IF(Q26=0,"","("&amp;ROUND(ber_Med_disc!H26/ber_Med_disc!N26,2)&amp;" "&amp;ber_Med_disc!F26&amp;"/ml)"))</f>
        <v/>
      </c>
      <c r="AA26" s="517" t="str">
        <f t="shared" si="27"/>
        <v/>
      </c>
      <c r="AB26" s="517" t="str">
        <f>IF(ber_Opm!C40=0,"",ber_Opm!C40)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"&amp;IF(Q27=0,"","("&amp;ROUND(ber_Med_disc!H27/ber_Med_disc!N27,2)&amp;" "&amp;ber_Med_disc!F27&amp;"/ml)"))</f>
        <v/>
      </c>
      <c r="AA27" s="517" t="str">
        <f t="shared" si="27"/>
        <v/>
      </c>
      <c r="AB27" s="517" t="str">
        <f>IF(ber_Opm!C41=0,"",ber_Opm!C41)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"&amp;IF(Q28=0,"","("&amp;ROUND(ber_Med_disc!H28/ber_Med_disc!N28,2)&amp;" "&amp;ber_Med_disc!F28&amp;"/ml)"))</f>
        <v/>
      </c>
      <c r="AA28" s="517" t="str">
        <f t="shared" si="27"/>
        <v/>
      </c>
      <c r="AB28" s="517" t="str">
        <f>IF(ber_Opm!C42=0,"",ber_Opm!C42)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"&amp;IF(Q29=0,"","("&amp;ROUND(ber_Med_disc!H29/ber_Med_disc!N29,2)&amp;" "&amp;ber_Med_disc!F29&amp;"/ml)"))</f>
        <v/>
      </c>
      <c r="AA29" s="517" t="str">
        <f t="shared" si="27"/>
        <v/>
      </c>
      <c r="AB29" s="517" t="str">
        <f>IF(ber_Opm!C43=0,"",ber_Opm!C43)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"&amp;IF(Q30=0,"","("&amp;ROUND(ber_Med_disc!H30/ber_Med_disc!N30,2)&amp;" "&amp;ber_Med_disc!F30&amp;"/ml)"))</f>
        <v/>
      </c>
      <c r="AA30" s="517" t="str">
        <f t="shared" si="27"/>
        <v/>
      </c>
      <c r="AB30" s="517" t="str">
        <f>IF(ber_Opm!C44=0,"",ber_Opm!C44)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"&amp;IF(Q31=0,"","("&amp;ROUND(ber_Med_disc!H31/ber_Med_disc!N31,2)&amp;" "&amp;ber_Med_disc!F31&amp;"/ml)"))</f>
        <v/>
      </c>
      <c r="AA31" s="517" t="str">
        <f t="shared" si="27"/>
        <v/>
      </c>
      <c r="AB31" s="517" t="str">
        <f>IF(ber_Opm!C45=0,"",ber_Opm!C45)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0.46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IF(INDEX(tblInfusenBer,ber_Infusen!B2,2)&lt;&gt;0,INDEX(tblInfusenBer,ber_Infusen!B2,2)&amp;" ml","")</f>
        <v/>
      </c>
      <c r="H8" s="628"/>
      <c r="I8" s="628" t="b">
        <f>IF(INDEX(tblInfusenBer,ber_Infusen!B2,2)&lt;&gt;0,INDEX(tblInfusenBer,ber_Infusen!B2,3))</f>
        <v>0</v>
      </c>
      <c r="J8" s="628">
        <f>IF(INDEX(tblInfusenBer,ber_Infusen!B2,2)&lt;&gt;0,INDEX(tblInfusenBer,ber_Infusen!B2,2),0)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IF(INDEX(tblInfusenBer,ber_Infusen!B3,2)&lt;&gt;0,INDEX(tblInfusenBer,ber_Infusen!B3,2)&amp;" ml","")</f>
        <v/>
      </c>
      <c r="H9" s="628"/>
      <c r="I9" s="628" t="b">
        <f>IF(INDEX(tblInfusenBer,ber_Infusen!B3,2)&lt;&gt;0,INDEX(tblInfusenBer,ber_Infusen!B3,3))</f>
        <v>0</v>
      </c>
      <c r="J9" s="628">
        <f>IF(INDEX(tblInfusenBer,ber_Infusen!B3,2)&lt;&gt;0,INDEX(tblInfusenBer,ber_Infusen!B3,2),0)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IF(INDEX(tblInfusenBer,ber_Infusen!B4,2)&lt;&gt;0,INDEX(tblInfusenBer,ber_Infusen!B4,2)&amp;" ml","")</f>
        <v/>
      </c>
      <c r="H10" s="628"/>
      <c r="I10" s="628" t="b">
        <f>IF(INDEX(tblInfusenBer,ber_Infusen!B4,2)&lt;&gt;0,INDEX(tblInfusenBer,ber_Infusen!B4,3))</f>
        <v>0</v>
      </c>
      <c r="J10" s="628">
        <f>IF(INDEX(tblInfusenBer,ber_Infusen!B4,2)&lt;&gt;0,INDEX(tblInfusenBer,ber_Infusen!B4,2),0)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IF(INDEX(tblInfusenBer,ber_Infusen!B5,2)&lt;&gt;0,INDEX(tblInfusenBer,ber_Infusen!B5,2)&amp;" ml","")</f>
        <v/>
      </c>
      <c r="H11" s="628"/>
      <c r="I11" s="628" t="b">
        <f>IF(INDEX(tblInfusenBer,ber_Infusen!B5,2)&lt;&gt;0,INDEX(tblInfusenBer,ber_Infusen!B5,3))</f>
        <v>0</v>
      </c>
      <c r="J11" s="628">
        <f>IF(INDEX(tblInfusenBer,ber_Infusen!B5,2)&lt;&gt;0,INDEX(tblInfusenBer,ber_Infusen!B5,2),0)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IF(INDEX(tblInfusenBer,ber_Infusen!B6,2)&lt;&gt;0,INDEX(tblInfusenBer,ber_Infusen!B6,2)&amp;" ml","")</f>
        <v/>
      </c>
      <c r="H12" s="628"/>
      <c r="I12" s="628" t="b">
        <f>IF(INDEX(tblInfusenBer,ber_Infusen!B6,2)&lt;&gt;0,INDEX(tblInfusenBer,ber_Infusen!B6,3))</f>
        <v>0</v>
      </c>
      <c r="J12" s="628">
        <f>IF(INDEX(tblInfusenBer,ber_Infusen!B6,2)&lt;&gt;0,INDEX(tblInfusenBer,ber_Infusen!B6,2),0)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IF(INDEX(tblInfusenBer,ber_Infusen!B7,2)&lt;&gt;0,INDEX(tblInfusenBer,ber_Infusen!B7,2)&amp;" ml","")</f>
        <v/>
      </c>
      <c r="H13" s="628"/>
      <c r="I13" s="628" t="b">
        <f>IF(INDEX(tblInfusenBer,ber_Infusen!B7,2)&lt;&gt;0,INDEX(tblInfusenBer,ber_Infusen!B7,3))</f>
        <v>0</v>
      </c>
      <c r="J13" s="628">
        <f>IF(INDEX(tblInfusenBer,ber_Infusen!B7,2)&lt;&gt;0,INDEX(tblInfusenBer,ber_Infusen!B7,2),0)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ber_Opm!C3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IF(ber_Infusen!D1&gt;1,ber_Infusen!G1&amp;"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IF(ber_Infusen!D1&gt;1,(ber_Infusen!G2/10)&amp;" V","")</f>
        <v>0 V</v>
      </c>
    </row>
    <row r="25" spans="2:10" ht="17.25" customHeight="1" x14ac:dyDescent="0.4">
      <c r="B25" s="133" t="s">
        <v>108</v>
      </c>
      <c r="C25" s="199" t="str">
        <f>IF(ber_Infusen!D1&gt;1,(ber_Infusen!G3/10)&amp;"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IF(ber_Infusen!D1&gt;1,ber_Infusen!G4&amp;"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IF(ber_Infusen!D1&gt;1,ber_Infusen!G5/10&amp;" mV","")</f>
        <v>0 mV</v>
      </c>
    </row>
    <row r="30" spans="2:10" ht="17.25" customHeight="1" x14ac:dyDescent="0.4">
      <c r="B30" s="133" t="s">
        <v>111</v>
      </c>
      <c r="C30" s="199" t="str">
        <f>IF(ber_Infusen!D1&gt;1,(ber_Infusen!G6/10)&amp;" mV","")</f>
        <v>0 mV</v>
      </c>
    </row>
    <row r="31" spans="2:10" ht="17.25" customHeight="1" x14ac:dyDescent="0.35"/>
  </sheetData>
  <sheetProtection algorithmName="SHA-512" hashValue="v2r2SUoYS3s1Q8+38ZQLV86Y15nKGUQ1UTyaHO2XW0NQ71G4T0pxg2FtekSW8GLeVIoy16UQKfRuZXtI8NqIwQ==" saltValue="pWu15Vd7GTXhTZ2HUmgUfg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>
    <tabColor rgb="FF92D050"/>
  </sheetPr>
  <dimension ref="A1:H33"/>
  <sheetViews>
    <sheetView workbookViewId="0">
      <selection activeCell="H1" sqref="H1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Infusen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I13" sqref="I13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0.46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IF(ber_PO!M2&lt;&gt;0,ber_PO!J2&amp;" dd","")</f>
        <v/>
      </c>
      <c r="D9" s="203" t="str">
        <f>IF(ber_PO!M2&lt;&gt;0,ber_PO!L2&amp;" ml","")</f>
        <v/>
      </c>
      <c r="E9" s="196"/>
      <c r="F9" s="196"/>
      <c r="G9" s="196" t="str">
        <f>IF(C9="24 dd","continue drip","")</f>
        <v/>
      </c>
      <c r="H9" s="196" t="str">
        <f>IF(ber_PO!N2&gt;1,ber_PO!M2&amp;" ml per dag","")</f>
        <v/>
      </c>
      <c r="I9" s="196"/>
      <c r="J9" s="24"/>
      <c r="L9" s="133"/>
      <c r="M9" s="191" t="s">
        <v>375</v>
      </c>
      <c r="N9" s="224">
        <f>ber_PO!H2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ber_PO!H3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IF(ber_PO!N3&gt;1,ber_PO!J3&amp;" dd","")</f>
        <v/>
      </c>
      <c r="D11" s="203" t="str">
        <f>IF(ber_PO!N3&gt;1,ber_PO!L3&amp;" gram","")</f>
        <v/>
      </c>
      <c r="E11" s="196"/>
      <c r="F11" s="196"/>
      <c r="G11" s="196"/>
      <c r="H11" s="196" t="str">
        <f>IF(ber_PO!N3&gt;1,ber_PO!M3&amp;" gram/dag","")</f>
        <v/>
      </c>
      <c r="I11" s="197" t="str">
        <f>IF(AND(ber_PO!M3&lt;&gt;0,ber_PO!M2&lt;&gt;0),"= "&amp;ROUND(ber_PO!M3*100/ber_PO!M2,1)&amp;"% extra","")</f>
        <v/>
      </c>
      <c r="J11" s="24"/>
      <c r="L11" s="133"/>
      <c r="M11" s="191" t="s">
        <v>376</v>
      </c>
      <c r="N11" s="224">
        <f>ber_PO!H4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IF(ber_PO!N4&gt;1,ber_PO!J4&amp;" dd","")</f>
        <v/>
      </c>
      <c r="D12" s="203" t="str">
        <f>IF(ber_PO!N4&gt;1,ber_PO!L4&amp;" gram","")</f>
        <v/>
      </c>
      <c r="E12" s="196"/>
      <c r="F12" s="196"/>
      <c r="G12" s="196"/>
      <c r="H12" s="196" t="str">
        <f>IF(ber_PO!N4&gt;1,ber_PO!M4&amp;" gram per dag","")</f>
        <v/>
      </c>
      <c r="I12" s="197" t="str">
        <f>IF(AND(ber_PO!M4&lt;&gt;0,ber_PO!M3&lt;&gt;0),"= "&amp;ROUND(ber_PO!M4*100/ber_PO!M2,1)&amp;"% extra","")</f>
        <v/>
      </c>
      <c r="J12" s="24"/>
      <c r="L12" s="133"/>
      <c r="M12" s="217" t="s">
        <v>466</v>
      </c>
      <c r="N12" s="224">
        <f>ber_PO!H5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IF(ber_PO!N5&gt;1,ber_PO!J5&amp;" dd","")</f>
        <v/>
      </c>
      <c r="D13" s="203" t="str">
        <f>IF(ber_PO!N5&gt;1,ber_PO!L5&amp;" gram","")</f>
        <v/>
      </c>
      <c r="E13" s="196"/>
      <c r="F13" s="196"/>
      <c r="G13" s="196"/>
      <c r="H13" s="196" t="str">
        <f>IF(ber_PO!N5&gt;1,ber_PO!M5&amp;" gram per dag","")</f>
        <v/>
      </c>
      <c r="I13" s="197" t="str">
        <f>IF(AND(ber_PO!M5&lt;&gt;0,ber_PO!M4&lt;&gt;0),"= "&amp;ROUND(ber_PO!M5*100/ber_PO!M2,1)&amp;"% extra","")</f>
        <v/>
      </c>
      <c r="J13" s="24"/>
      <c r="L13" s="133"/>
      <c r="M13" s="217" t="s">
        <v>377</v>
      </c>
      <c r="N13" s="224">
        <f>ber_PO!H6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ber_PO!H7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ber_Opm!C15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ber_PO!H8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ber_PO!H9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IF(ber_TPN!F3&lt;&gt;0,IF(ber_TPN!F3/24&gt;=10,ROUND(ber_TPN!F3/24,1),ROUND(ber_TPN!F3/24,1))&amp;" ml/uur","")</f>
        <v/>
      </c>
      <c r="E17" s="71" t="str">
        <f>IF(D17&lt;&gt;"",ber_TPN!F3&amp;" ml per dag","")</f>
        <v/>
      </c>
      <c r="F17" s="24"/>
      <c r="G17" s="196"/>
      <c r="H17" s="226" t="s">
        <v>696</v>
      </c>
      <c r="I17" s="194" t="str">
        <f>IF(ber_TPN!D19&lt;&gt;0,ber_TPN!E19&amp;" ml/uur","")</f>
        <v/>
      </c>
      <c r="J17" s="71" t="str">
        <f>IF(I17&lt;&gt;"",ber_TPN!F19&amp;" ml per dag","")</f>
        <v/>
      </c>
      <c r="K17" s="24"/>
      <c r="L17" s="163"/>
      <c r="M17" s="217" t="s">
        <v>643</v>
      </c>
      <c r="N17" s="224">
        <f>ber_PO!H10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IF(AND(ber_TPN!E4&lt;&gt;0,ber_TPN!E4&lt;&gt;"",ber_TPN!B4&lt;&gt;1,ber_TPN!F4&lt;&gt;0),ber_TPN!F4&amp;" ml","")</f>
        <v/>
      </c>
      <c r="F18" s="193" t="str">
        <f>IF(AND(Gewicht/10&gt;=16,TPN=2),"Peditrace","")</f>
        <v/>
      </c>
      <c r="G18" s="206" t="str">
        <f>IF(AND(Gewicht/10&gt;=16,ber_TPN!F5&gt;0),ber_TPN!F5&amp;"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IF(ber_TPN!F6&lt;&gt;0,ROUND(ber_TPN!F6,1)&amp;" ml","")</f>
        <v/>
      </c>
      <c r="F19" s="871" t="str">
        <f>IF(AND(Gewicht/10&gt;50,TPN=2),"in 100 ml glucose 10%, "&amp;ROUND((ber_TPN!F5+ber_TPN!F17)/24,1)&amp;" ml/uur","")</f>
        <v/>
      </c>
      <c r="G19" s="871"/>
      <c r="H19" s="163"/>
      <c r="I19" s="24"/>
      <c r="J19" s="194" t="str">
        <f>IF(ber_TPN!F20&lt;&gt;0,ROUND(ber_TPN!F20,1)&amp;"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IF(ber_TPN!C7,ber_TPN!F7&amp;" ml","")</f>
        <v/>
      </c>
      <c r="F20" s="24"/>
      <c r="G20" s="24"/>
      <c r="H20" s="216" t="s">
        <v>688</v>
      </c>
      <c r="I20" s="24"/>
      <c r="J20" s="194" t="str">
        <f>IF(ber_TPN!C21,ber_TPN!F21&amp;"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IF(ber_TPN!C8,ber_TPN!F8&amp;" ml","")</f>
        <v/>
      </c>
      <c r="F21" s="24"/>
      <c r="G21" s="24"/>
      <c r="H21" s="216" t="s">
        <v>469</v>
      </c>
      <c r="I21" s="24"/>
      <c r="J21" s="194" t="str">
        <f>IF(ber_TPN!C22,ber_TPN!F22&amp;"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IF(ber_TPN!C9,ber_TPN!D9&amp;" ml","")</f>
        <v/>
      </c>
      <c r="F23" s="24"/>
      <c r="G23" s="194" t="str">
        <f>IF(AND(Gewicht/10&lt;=50,SSTglucose&lt;11,TPN=2),"in "&amp;ber_TPN!F17&amp;" ml glucose 10% ="&amp;ROUND((ber_TPN!F17+ber_TPN!F10+ber_TPN!F9)/24,1)&amp;"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IF(ber_TPN!C10,ber_TPN!D10&amp;"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IF(ber_TPN!C11,ber_TPN!F11&amp;" ml","")</f>
        <v/>
      </c>
      <c r="F26" s="196"/>
      <c r="G26" s="196" t="str">
        <f>IF(ber_TPN!F11&gt;0,ROUND(ber_TPN!F11*1.5/(Gewicht/10),2)&amp;" mmol/kg","")</f>
        <v/>
      </c>
      <c r="H26" s="19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IF(ber_TPN!D12&lt;&gt;0,ber_TPN!E12&amp;" ml/uur","")</f>
        <v/>
      </c>
      <c r="E27" s="194"/>
      <c r="F27" s="24"/>
      <c r="G27" s="24"/>
      <c r="H27" s="24" t="str">
        <f>IF(ber_TPN!F12&lt;&gt;0,ber_TPN!F12&amp;"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IF(ber_TPN!F13&lt;&gt;0,ROUND(ber_TPN!F13,0)&amp;"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IF(ber_TPN!C14,ber_TPN!F14&amp;"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IF(ber_TPN!C15,ber_TPN!F15&amp;"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ber_Opm!C9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ROUND(ber_totalen!C2,0)&amp;" ml/kg"</f>
        <v>0 ml/kg</v>
      </c>
      <c r="E34" s="220" t="str">
        <f ca="1">ROUND(ber_normaal!$A$18,0)&amp;" ml/kg"</f>
        <v>100 ml/kg</v>
      </c>
      <c r="F34" s="220" t="str">
        <f>"= "&amp;ROUND(ber_totalen!C2*Gewicht/10,0)&amp;" ml/dag"</f>
        <v>= 0 ml/dag</v>
      </c>
      <c r="G34" s="220"/>
      <c r="H34" s="220" t="s">
        <v>465</v>
      </c>
      <c r="I34" s="221" t="str">
        <f>ROUND(ber_totalen!$C$9,1)&amp;"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ROUND(ber_totalen!E44,0)&amp;" kCal/kg"</f>
        <v>0 kCal/kg</v>
      </c>
      <c r="E35" s="220" t="str">
        <f ca="1">ber_normaal!$A$21&amp;" kCal/kg"</f>
        <v>95 kCal/kg</v>
      </c>
      <c r="F35" s="220"/>
      <c r="G35" s="220"/>
      <c r="H35" s="220" t="s">
        <v>466</v>
      </c>
      <c r="I35" s="221" t="str">
        <f>ROUND(ber_totalen!$C$13,1)&amp;"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ROUND(ber_totalen!C5,1)&amp;" g/kg"</f>
        <v>0 g/kg</v>
      </c>
      <c r="E36" s="220" t="s">
        <v>726</v>
      </c>
      <c r="F36" s="220" t="str">
        <f>"= "&amp;ROUND(ber_totalen!C5/1.4,1)&amp;" mg/kg/min"</f>
        <v>= 0 mg/kg/min</v>
      </c>
      <c r="G36" s="220"/>
      <c r="H36" s="220" t="s">
        <v>467</v>
      </c>
      <c r="I36" s="221" t="str">
        <f>ROUND(ber_totalen!$C$27,1)&amp;"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ROUND(ber_totalen!C17,1)&amp;"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ROUND(ber_totalen!$C$33,1)&amp;"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ROUND(ber_totalen!C23,1)&amp;"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ROUND(ber_totalen!$C$30,1)&amp;"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uX5kVJmAMFlREGB1WMcpvRmtX0SvvYReCgNdx2XYORE+G0sOQHpfE1it9PENUNIeGmRwLotzLt9bACAJrg435Q==" saltValue="crcwEg6dKFB6tT45foV7cw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353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IF(ber_PO!$M$2&lt;&gt;0,INDEX(tblPerOs,KeuzePO_1,A2+1)*ber_PO!$M$2,0)</f>
        <v>0</v>
      </c>
      <c r="D2" s="26">
        <f>IF(ber_PO!$M$3&lt;&gt;0,INDEX(tblPoeder,ber_PO!$N$3,$A2+1)*ber_PO!$M$3,0)</f>
        <v>0</v>
      </c>
      <c r="E2" s="26">
        <f>IF(ber_PO!$M$4&lt;&gt;0,INDEX(tblPoeder,ber_PO!$N$4,$A2+1)*ber_PO!$M$4,0)</f>
        <v>0</v>
      </c>
      <c r="F2" s="26">
        <f>IF(ber_PO!$M$5&lt;&gt;0,INDEX(tblPoeder,ber_PO!$N$5,$A2+1)*ber_PO!$M$5,0)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IF(ber_PO!$M$2&lt;&gt;0,INDEX(tblPerOs,KeuzePO_1,A3+1)*ber_PO!$M$2,0)</f>
        <v>0</v>
      </c>
      <c r="D3" s="26">
        <f>IF(ber_PO!$M$3&lt;&gt;0,INDEX(tblPoeder,ber_PO!$N$3,$A3+1)*ber_PO!$M$3,0)</f>
        <v>0</v>
      </c>
      <c r="E3" s="26">
        <f>IF(ber_PO!$M$4&lt;&gt;0,INDEX(tblPoeder,ber_PO!$N$4,$A3+1)*ber_PO!$M$4,0)</f>
        <v>0</v>
      </c>
      <c r="F3" s="26">
        <f>IF(ber_PO!$M$5&lt;&gt;0,INDEX(tblPoeder,ber_PO!$N$5,$A3+1)*ber_PO!$M$5,0)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IF(ber_PO!$M$2&lt;&gt;0,INDEX(tblPerOs,KeuzePO_1,A4+1)*ber_PO!$M$2,0)</f>
        <v>0</v>
      </c>
      <c r="D4" s="26">
        <f>IF(ber_PO!$M$3&lt;&gt;0,INDEX(tblPoeder,ber_PO!$N$3,$A4+1)*ber_PO!$M$3,0)</f>
        <v>0</v>
      </c>
      <c r="E4" s="26">
        <f>IF(ber_PO!$M$4&lt;&gt;0,INDEX(tblPoeder,ber_PO!$N$4,$A4+1)*ber_PO!$M$4,0)</f>
        <v>0</v>
      </c>
      <c r="F4" s="26">
        <f>IF(ber_PO!$M$5&lt;&gt;0,INDEX(tblPoeder,ber_PO!$N$5,$A4+1)*ber_PO!$M$5,0)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IF(ber_PO!$M$2&lt;&gt;0,INDEX(tblPerOs,KeuzePO_1,A5+1)*ber_PO!$M$2,0)</f>
        <v>0</v>
      </c>
      <c r="D5" s="26">
        <f>IF(ber_PO!$M$3&lt;&gt;0,INDEX(tblPoeder,ber_PO!$N$3,$A5+1)*ber_PO!$M$3,0)</f>
        <v>0</v>
      </c>
      <c r="E5" s="26">
        <f>IF(ber_PO!$M$4&lt;&gt;0,INDEX(tblPoeder,ber_PO!$N$4,$A5+1)*ber_PO!$M$4,0)</f>
        <v>0</v>
      </c>
      <c r="F5" s="26">
        <f>IF(ber_PO!$M$5&lt;&gt;0,INDEX(tblPoeder,ber_PO!$N$5,$A5+1)*ber_PO!$M$5,0)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IF(ber_PO!$M$2&lt;&gt;0,INDEX(tblPerOs,KeuzePO_1,A6+1)*ber_PO!$M$2,0)</f>
        <v>0</v>
      </c>
      <c r="D6" s="26">
        <f>IF(ber_PO!$M$3&lt;&gt;0,INDEX(tblPoeder,ber_PO!$N$3,$A6+1)*ber_PO!$M$3,0)</f>
        <v>0</v>
      </c>
      <c r="E6" s="26">
        <f>IF(ber_PO!$M$4&lt;&gt;0,INDEX(tblPoeder,ber_PO!$N$4,$A6+1)*ber_PO!$M$4,0)</f>
        <v>0</v>
      </c>
      <c r="F6" s="26">
        <f>IF(ber_PO!$M$5&lt;&gt;0,INDEX(tblPoeder,ber_PO!$N$5,$A6+1)*ber_PO!$M$5,0)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IF(ber_PO!$M$2&lt;&gt;0,INDEX(tblPerOs,KeuzePO_1,A7+1)*ber_PO!$M$2,0)</f>
        <v>0</v>
      </c>
      <c r="D7" s="26">
        <f>IF(ber_PO!$M$3&lt;&gt;0,INDEX(tblPoeder,ber_PO!$N$3,$A7+1)*ber_PO!$M$3,0)</f>
        <v>0</v>
      </c>
      <c r="E7" s="26">
        <f>IF(ber_PO!$M$4&lt;&gt;0,INDEX(tblPoeder,ber_PO!$N$4,$A7+1)*ber_PO!$M$4,0)</f>
        <v>0</v>
      </c>
      <c r="F7" s="26">
        <f>IF(ber_PO!$M$5&lt;&gt;0,INDEX(tblPoeder,ber_PO!$N$5,$A7+1)*ber_PO!$M$5,0)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IF(ber_PO!$M$2&lt;&gt;0,INDEX(tblPerOs,KeuzePO_1,A8+1)*ber_PO!$M$2,0)</f>
        <v>0</v>
      </c>
      <c r="D8" s="26">
        <f>IF(ber_PO!$M$3&lt;&gt;0,INDEX(tblPoeder,ber_PO!$N$3,$A8+1)*ber_PO!$M$3,0)</f>
        <v>0</v>
      </c>
      <c r="E8" s="26">
        <f>IF(ber_PO!$M$4&lt;&gt;0,INDEX(tblPoeder,ber_PO!$N$4,$A8+1)*ber_PO!$M$4,0)</f>
        <v>0</v>
      </c>
      <c r="F8" s="26">
        <f>IF(ber_PO!$M$5&lt;&gt;0,INDEX(tblPoeder,ber_PO!$N$5,$A8+1)*ber_PO!$M$5,0)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IF(ber_PO!$M$2&lt;&gt;0,INDEX(tblPerOs,KeuzePO_1,A9+1)*ber_PO!$M$2,0)</f>
        <v>0</v>
      </c>
      <c r="D9" s="26">
        <f>IF(ber_PO!$M$3&lt;&gt;0,INDEX(tblPoeder,ber_PO!$N$3,$A9+1)*ber_PO!$M$3,0)</f>
        <v>0</v>
      </c>
      <c r="E9" s="26">
        <f>IF(ber_PO!$M$4&lt;&gt;0,INDEX(tblPoeder,ber_PO!$N$4,$A9+1)*ber_PO!$M$4,0)</f>
        <v>0</v>
      </c>
      <c r="F9" s="26">
        <f>IF(ber_PO!$M$5&lt;&gt;0,INDEX(tblPoeder,ber_PO!$N$5,$A9+1)*ber_PO!$M$5,0)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IF(ber_PO!$M$2&lt;&gt;0,INDEX(tblPerOs,KeuzePO_1,A10+1)*ber_PO!$M$2,0)</f>
        <v>0</v>
      </c>
      <c r="D10" s="26">
        <f>IF(ber_PO!$M$3&lt;&gt;0,INDEX(tblPoeder,ber_PO!$N$3,$A10+1)*ber_PO!$M$3,0)</f>
        <v>0</v>
      </c>
      <c r="E10" s="26">
        <f>IF(ber_PO!$M$4&lt;&gt;0,INDEX(tblPoeder,ber_PO!$N$4,$A10+1)*ber_PO!$M$4,0)</f>
        <v>0</v>
      </c>
      <c r="F10" s="26">
        <f>IF(ber_PO!$M$5&lt;&gt;0,INDEX(tblPoeder,ber_PO!$N$5,$A10+1)*ber_PO!$M$5,0)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IF(ber_PO!$M$2&lt;&gt;0,INDEX(tblPerOs,KeuzePO_1,A11+1)*ber_PO!$M$2,0)</f>
        <v>0</v>
      </c>
      <c r="D11" s="26">
        <f>IF(ber_PO!$M$3&lt;&gt;0,INDEX(tblPoeder,ber_PO!$N$3,$A11+1)*ber_PO!$M$3,0)</f>
        <v>0</v>
      </c>
      <c r="E11" s="26">
        <f>IF(ber_PO!$M$4&lt;&gt;0,INDEX(tblPoeder,ber_PO!$N$4,$A11+1)*ber_PO!$M$4,0)</f>
        <v>0</v>
      </c>
      <c r="F11" s="26">
        <f>IF(ber_PO!$M$5&lt;&gt;0,INDEX(tblPoeder,ber_PO!$N$5,$A11+1)*ber_PO!$M$5,0)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IF(ber_PO!$M$2&lt;&gt;0,INDEX(tblPerOs,KeuzePO_1,A12+1)*ber_PO!$M$2,0)</f>
        <v>0</v>
      </c>
      <c r="D12" s="26">
        <f>IF(ber_PO!$M$3&lt;&gt;0,INDEX(tblPoeder,ber_PO!$N$3,$A12+1)*ber_PO!$M$3,0)</f>
        <v>0</v>
      </c>
      <c r="E12" s="26">
        <f>IF(ber_PO!$M$4&lt;&gt;0,INDEX(tblPoeder,ber_PO!$N$4,$A12+1)*ber_PO!$M$4,0)</f>
        <v>0</v>
      </c>
      <c r="F12" s="26">
        <f>IF(ber_PO!$M$5&lt;&gt;0,INDEX(tblPoeder,ber_PO!$N$5,$A12+1)*ber_PO!$M$5,0)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IF(ber_PO!$M$2&lt;&gt;0,INDEX(tblPerOs,KeuzePO_1,A13+1)*ber_PO!$M$2,0)</f>
        <v>0</v>
      </c>
      <c r="D13" s="26">
        <f>IF(ber_PO!$M$3&lt;&gt;0,INDEX(tblPoeder,ber_PO!$N$3,$A13+1)*ber_PO!$M$3,0)</f>
        <v>0</v>
      </c>
      <c r="E13" s="26">
        <f>IF(ber_PO!$M$4&lt;&gt;0,INDEX(tblPoeder,ber_PO!$N$4,$A13+1)*ber_PO!$M$4,0)</f>
        <v>0</v>
      </c>
      <c r="F13" s="26">
        <f>IF(ber_PO!$M$5&lt;&gt;0,INDEX(tblPoeder,ber_PO!$N$5,$A13+1)*ber_PO!$M$5,0)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ber_PO!M2</f>
        <v>0</v>
      </c>
    </row>
    <row r="4" spans="1:5" x14ac:dyDescent="0.35">
      <c r="A4" s="5" t="s">
        <v>436</v>
      </c>
      <c r="B4">
        <f>(ber_IVmed!K18+ber_TPN!F24+Infusen!J15+ber_Med_disc!P33)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ber_PO!G4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ber_Med_disc!S33+ber_IVmed!L18+ber_IVmed!M18</f>
        <v>0</v>
      </c>
      <c r="D7">
        <f>B7*4</f>
        <v>0</v>
      </c>
    </row>
    <row r="8" spans="1:5" ht="13.2" x14ac:dyDescent="0.4">
      <c r="A8" s="5" t="s">
        <v>478</v>
      </c>
      <c r="B8">
        <f>ber_TPN!G24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ber_PO!G3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ber_TPN!H24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ber_IVmed!Q18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ber_PO!G5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ber_TPN!O24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ber_IVmed!R18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ber_PO!G6</f>
        <v>0</v>
      </c>
      <c r="C18">
        <f>B18/(Gewicht/10)</f>
        <v>0</v>
      </c>
    </row>
    <row r="19" spans="1:5" x14ac:dyDescent="0.35">
      <c r="A19" s="5" t="s">
        <v>509</v>
      </c>
      <c r="B19">
        <f>Infusen!I15</f>
        <v>0</v>
      </c>
      <c r="C19">
        <f>B19/(Gewicht/10)</f>
        <v>0</v>
      </c>
    </row>
    <row r="20" spans="1:5" x14ac:dyDescent="0.35">
      <c r="A20" s="5" t="s">
        <v>442</v>
      </c>
      <c r="B20">
        <f>ber_Med_disc!R33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ber_IVmed!O18</f>
        <v>0</v>
      </c>
      <c r="C21">
        <f>B21/(Gewicht/10)</f>
        <v>0</v>
      </c>
    </row>
    <row r="22" spans="1:5" x14ac:dyDescent="0.35">
      <c r="A22" s="4" t="s">
        <v>478</v>
      </c>
      <c r="B22">
        <f>ber_TPN!I24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ber_PO!G7</f>
        <v>0</v>
      </c>
      <c r="C24">
        <f>B24/(Gewicht/10)</f>
        <v>0</v>
      </c>
    </row>
    <row r="25" spans="1:5" x14ac:dyDescent="0.35">
      <c r="A25" s="5" t="s">
        <v>478</v>
      </c>
      <c r="B25">
        <f>ber_TPN!J24</f>
        <v>0</v>
      </c>
      <c r="C25">
        <f>B25/(Gewicht/10)</f>
        <v>0</v>
      </c>
    </row>
    <row r="26" spans="1:5" x14ac:dyDescent="0.35">
      <c r="A26" s="5" t="s">
        <v>442</v>
      </c>
      <c r="B26">
        <f>ber_IVmed!P18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ber_PO!G8</f>
        <v>0</v>
      </c>
      <c r="C28">
        <f>B28/(Gewicht/10)</f>
        <v>0</v>
      </c>
    </row>
    <row r="29" spans="1:5" x14ac:dyDescent="0.35">
      <c r="A29" s="5" t="s">
        <v>478</v>
      </c>
      <c r="B29">
        <f>ber_TPN!K24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ber_PO!G9</f>
        <v>0</v>
      </c>
      <c r="C31">
        <f>B31/(Gewicht/10)</f>
        <v>0</v>
      </c>
    </row>
    <row r="32" spans="1:5" x14ac:dyDescent="0.35">
      <c r="A32" s="5" t="s">
        <v>478</v>
      </c>
      <c r="B32">
        <f>ber_TPN!M24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ber_PO!G10</f>
        <v>0</v>
      </c>
      <c r="C34">
        <f>B34/(Gewicht/10)</f>
        <v>0</v>
      </c>
    </row>
    <row r="35" spans="1:5" x14ac:dyDescent="0.35">
      <c r="A35" s="5" t="s">
        <v>436</v>
      </c>
      <c r="B35">
        <f>ber_TPN!L24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ber_PO!G11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ber_PO!G12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ber_PO!G13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ber_TPN!N24+ber_PO!G2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TPOSheet1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UA8N1sL0uj54juXQ5ftBtefygFtDBznx7b7JMNdwU6CVT380z4XtEnKJteAkrUZvYOaVMH9zfyvXIQ9+/gkrtg==" saltValue="tSPb6f6weP/RFcb0cJ/ezA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Ped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0.46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IF(ber_AanvullendeAfsprakenPed!C7=0,"",ber_AanvullendeAfsprakenPed!C7)</f>
        <v/>
      </c>
      <c r="G8" s="574"/>
      <c r="Q8" s="560"/>
    </row>
    <row r="9" spans="1:17" ht="18" customHeight="1" x14ac:dyDescent="0.35">
      <c r="C9" s="615" t="str">
        <f>IF(ber_AanvullendeAfsprakenPed!C8=0,"",ber_AanvullendeAfsprakenPed!C8)</f>
        <v/>
      </c>
      <c r="G9" s="548" t="str">
        <f>CONCATENATE("à ",ber_AanvullendeAfsprakenPed!G16," uur")</f>
        <v>à  uur</v>
      </c>
      <c r="H9"/>
    </row>
    <row r="10" spans="1:17" ht="18" customHeight="1" x14ac:dyDescent="0.35">
      <c r="C10" s="615" t="str">
        <f>IF(ber_AanvullendeAfsprakenPed!C9=0,"",ber_AanvullendeAfsprakenPed!C9)</f>
        <v/>
      </c>
      <c r="G10" s="548" t="str">
        <f>CONCATENATE("à ",ber_AanvullendeAfsprakenPed!G18,"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CONCATENATE(ber_AanvullendeAfsprakenPed!$B$12,"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CONCATENATE(ber_AanvullendeAfsprakenPed!$C$42,"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CONCATENATE(ber_AanvullendeAfsprakenPed!$C$43,"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ber_AanvullendeAfsprakenPed!D40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CZdfbFg7rhMSbOtJGzzQIYE9Y+yJWeqJn++2O9tDTOIx3hZpHWuFC/Jn4M7FahgSKiqp7vBrPbm9QE9VilFJEA==" saltValue="OV8bh/IvakNFGrWrHPNXDQ==" spinCount="10000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Ped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Tbl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"&amp;VLOOKUP(C5+D5/12,HEIGHTNL.CRF!A2:D45,4)&amp;"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"&amp;VLOOKUP(C5+D5/12,WEIGHTNL.CRF!A2:T49,20)&amp;"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2.5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0.2 mg iv</v>
      </c>
      <c r="E16" s="876" t="str">
        <f>"= "&amp;IF(ROUND(0.02*(E5),1)&lt;0.1,0.1,IF(ROUND(0.02*(E5),1)&gt;0.5,0.5,ROUND(0.02*(E5),1)))*2&amp;" ml van 0,5 mg/ml (min 0,1 mg)"</f>
        <v>= 0.4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0.2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0.1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6.7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0.33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2.5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tabColor rgb="FF7030A0"/>
    <pageSetUpPr autoPageBreaks="0"/>
  </sheetPr>
  <dimension ref="A1:M201"/>
  <sheetViews>
    <sheetView topLeftCell="A22"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42722</v>
      </c>
      <c r="E2" s="714" t="s">
        <v>937</v>
      </c>
      <c r="F2" s="882" t="str">
        <f>_AchterNaam&amp;", "&amp;_VoorNaam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0.46 m2</v>
      </c>
    </row>
    <row r="5" spans="1:12" ht="14.15" customHeight="1" x14ac:dyDescent="0.3">
      <c r="A5" s="720"/>
      <c r="B5" s="721" t="str">
        <f>Intake!C8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INDEX(tblSonde,ber_PO!O2,1)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Intake!G9</f>
        <v/>
      </c>
      <c r="G7" s="711" t="str">
        <f>Intake!C9&amp;" "&amp;Intake!D9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"&amp;Intake!C11&amp;" "&amp;Intake!D11&amp;" "&amp;INDEX(tblPO_poederlijst,KeuzePO_2,1),"")</f>
        <v/>
      </c>
      <c r="H8" s="711" t="str">
        <f>Intake!I11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"&amp;Intake!C12&amp;" "&amp;Intake!D12&amp;" "&amp;INDEX(tblPO_poederlijst,KeuzePO_3,1),"")</f>
        <v/>
      </c>
      <c r="H9" s="711" t="str">
        <f>Intake!I12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"&amp;Intake!C13&amp;" "&amp;Intake!D13&amp;" "&amp;INDEX(tblPO_poederlijst,KeuzePO_4,1),"")</f>
        <v/>
      </c>
      <c r="H10" s="711" t="str">
        <f>Intake!I13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ber_Opm!C15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TRIM(Ber_Lab!B4&amp;" "&amp;Ber_Lab!B5&amp;"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"&amp;Ber_Lab!B31&amp;" "&amp;Ber_Lab!B32&amp;" "&amp;Ber_Lab!B33&amp;" "&amp;Ber_Lab!B34&amp;" "&amp;Ber_Lab!B35)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TRIM(Ber_Lab!D4&amp;" "&amp;Ber_Lab!D5&amp;"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"&amp;Ber_Lab!D31&amp;" "&amp;Ber_Lab!D32&amp;" "&amp;Ber_Lab!D33&amp;" "&amp;Ber_Lab!D34)</f>
        <v>A</v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TRIM(Ber_Lab!F4&amp;" "&amp;Ber_Lab!F5&amp;"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"&amp;Ber_Lab!F31&amp;" "&amp;Ber_Lab!F32&amp;" "&amp;Ber_Lab!F33&amp;" "&amp;Ber_Lab!F34)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TRIM(Ber_Lab!H4&amp;" "&amp;Ber_Lab!H5&amp;"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"&amp;Ber_Lab!H31&amp;" "&amp;Ber_Lab!H32&amp;" "&amp;Ber_Lab!H33&amp;" "&amp;Ber_Lab!H34)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TRIM(Ber_Lab!K4&amp;" "&amp;Ber_Lab!K5&amp;" "&amp;Ber_Lab!K6&amp;" "&amp;Ber_Lab!K7&amp;" "&amp;Ber_Lab!K8&amp;" "&amp;Ber_Lab!K9&amp;" "&amp;Ber_Lab!K10&amp;" "&amp;Ber_Lab!K11&amp;" "&amp;Ber_Lab!K12&amp;" "&amp;Ber_Lab!K13&amp;" "&amp;Ber_Lab!K14&amp;" "&amp;Ber_Lab!K15&amp;" "&amp;Ber_Lab!K16&amp;" "&amp;Ber_Lab!K17&amp;" "&amp;Ber_Lab!K18&amp;" "&amp;Ber_Lab!K19&amp;" "&amp;Ber_Lab!K20&amp;" "&amp;Ber_Lab!K21&amp;" "&amp;Ber_Lab!K22&amp;" "&amp;Ber_Lab!K23&amp;" "&amp;Ber_Lab!K24&amp;" "&amp;Ber_Lab!K25&amp;" "&amp;Ber_Lab!K26&amp;" "&amp;Ber_Lab!K27&amp;" "&amp;Ber_Lab!K28&amp;" "&amp;Ber_Lab!K29&amp;" "&amp;Ber_Lab!K30&amp;" "&amp;Ber_Lab!K31&amp;" "&amp;Ber_Lab!K32&amp;" "&amp;Ber_Lab!K33&amp;" "&amp;Ber_Lab!K34)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ber_Opm!C10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42722</v>
      </c>
      <c r="E34" s="714" t="s">
        <v>937</v>
      </c>
      <c r="F34" s="882" t="str">
        <f>_AchterNaam&amp;", "&amp;_VoorNaam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0.46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INDEX(tblInfusen,ber_Infusen!B2,1)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INDEX(tblInfusen,ber_Infusen!B3,1)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INDEX(tblInfusen,ber_Infusen!B4,1)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INDEX(tblInfusen,ber_Infusen!B5,1)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INDEX(tblInfusen,ber_Infusen!B6,1)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INDEX(tblInfusen,ber_Infusen!B7,1)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ber_Opm!C3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MedicatieIV!C9</f>
        <v>0</v>
      </c>
      <c r="E51" s="711" t="str">
        <f>IF(C51&lt;&gt;0,MedicatieIV!D9&amp;" in "&amp;MedicatieIV!E9&amp;IF(AND(ber_IVmed!D5&lt;&gt;4,MedicatieIV!F9&lt;&gt;0)," "&amp;MedicatieIV!F9,""),"")</f>
        <v/>
      </c>
      <c r="G51" s="711" t="str">
        <f>IF(C51&lt;&gt;0,MedicatieIV!G9&amp;" (="&amp;MedicatieIV!H9&amp;" " &amp; MedicatieIV!I9 &amp;")","")</f>
        <v/>
      </c>
      <c r="J51" s="711" t="str">
        <f>MedicatieIV!J9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MedicatieIV!C10</f>
        <v>0</v>
      </c>
      <c r="E52" s="711" t="str">
        <f>IF(C52&lt;&gt;0,MedicatieIV!D10&amp;" in "&amp;MedicatieIV!E10&amp;IF(AND(ber_IVmed!D6&lt;&gt;4,MedicatieIV!F10&lt;&gt;0)," "&amp;MedicatieIV!F10,""),"")</f>
        <v/>
      </c>
      <c r="G52" s="711" t="str">
        <f>IF(C52&lt;&gt;0,MedicatieIV!G10&amp;" (="&amp;MedicatieIV!H10&amp;" " &amp; MedicatieIV!I10 &amp;")","")</f>
        <v/>
      </c>
      <c r="J52" s="711" t="str">
        <f>MedicatieIV!J10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MedicatieIV!C11</f>
        <v>0</v>
      </c>
      <c r="E53" s="711" t="str">
        <f>IF(C53&lt;&gt;0,MedicatieIV!D11&amp;" in "&amp;MedicatieIV!E11&amp;IF(AND(ber_IVmed!D7&lt;&gt;4,MedicatieIV!F11&lt;&gt;0)," "&amp;MedicatieIV!F11,""),"")</f>
        <v/>
      </c>
      <c r="G53" s="711" t="str">
        <f>IF(C53&lt;&gt;0,MedicatieIV!G11&amp;" (="&amp;MedicatieIV!H11&amp;" " &amp; MedicatieIV!I11 &amp;")","")</f>
        <v/>
      </c>
      <c r="J53" s="711" t="str">
        <f>MedicatieIV!J11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MedicatieIV!C12</f>
        <v>0</v>
      </c>
      <c r="E54" s="711" t="str">
        <f>IF(C54&lt;&gt;0,MedicatieIV!D12&amp;" in "&amp;MedicatieIV!E12&amp;IF(AND(ber_IVmed!D8&lt;&gt;4,MedicatieIV!F12&lt;&gt;0)," "&amp;MedicatieIV!F12,""),"")</f>
        <v/>
      </c>
      <c r="G54" s="711" t="str">
        <f>IF(C54&lt;&gt;0,MedicatieIV!G12&amp;" (="&amp;MedicatieIV!H12&amp;" " &amp; MedicatieIV!I12 &amp;")","")</f>
        <v/>
      </c>
      <c r="J54" s="711" t="str">
        <f>MedicatieIV!J12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MedicatieIV!C13</f>
        <v>0</v>
      </c>
      <c r="E55" s="711" t="str">
        <f>IF(C55&lt;&gt;0,MedicatieIV!D13&amp;" in "&amp;MedicatieIV!E13&amp;IF(AND(ber_IVmed!D9&lt;&gt;4,MedicatieIV!F13&lt;&gt;0)," "&amp;MedicatieIV!F13,""),"")</f>
        <v/>
      </c>
      <c r="G55" s="711" t="str">
        <f>IF(C55&lt;&gt;0,MedicatieIV!G13&amp;" (="&amp;MedicatieIV!H13&amp;" " &amp; MedicatieIV!I13 &amp;")","")</f>
        <v/>
      </c>
      <c r="J55" s="711" t="str">
        <f>MedicatieIV!J13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MedicatieIV!C14</f>
        <v>0</v>
      </c>
      <c r="E56" s="711" t="str">
        <f>IF(C56&lt;&gt;0,MedicatieIV!D14&amp;" in "&amp;MedicatieIV!E14&amp;IF(AND(ber_IVmed!D10&lt;&gt;4,MedicatieIV!F14&lt;&gt;0)," "&amp;MedicatieIV!F14,""),"")</f>
        <v/>
      </c>
      <c r="G56" s="711" t="str">
        <f>IF(C56&lt;&gt;0,MedicatieIV!G14&amp;" (="&amp;MedicatieIV!H14&amp;" " &amp; MedicatieIV!I14 &amp;")","")</f>
        <v/>
      </c>
      <c r="J56" s="711" t="str">
        <f>MedicatieIV!J14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MedicatieIV!C15</f>
        <v>0</v>
      </c>
      <c r="E57" s="711" t="str">
        <f>IF(C57&lt;&gt;0,MedicatieIV!D15&amp;" in "&amp;MedicatieIV!E15&amp;IF(AND(ber_IVmed!D11&lt;&gt;4,MedicatieIV!F15&lt;&gt;0)," "&amp;MedicatieIV!F15,""),"")</f>
        <v/>
      </c>
      <c r="G57" s="711" t="str">
        <f>IF(C57&lt;&gt;0,MedicatieIV!G15&amp;" (="&amp;MedicatieIV!H15&amp;" " &amp; MedicatieIV!I15 &amp;")","")</f>
        <v/>
      </c>
      <c r="J57" s="711" t="str">
        <f>MedicatieIV!J15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MedicatieIV!C16</f>
        <v>0</v>
      </c>
      <c r="E58" s="711" t="str">
        <f>IF(C58&lt;&gt;0,MedicatieIV!D16&amp;" in "&amp;MedicatieIV!E16&amp;IF(AND(ber_IVmed!D12&lt;&gt;4,MedicatieIV!F16&lt;&gt;0)," "&amp;MedicatieIV!F16,""),"")</f>
        <v/>
      </c>
      <c r="G58" s="711" t="str">
        <f>IF(C58&lt;&gt;0,MedicatieIV!G16&amp;" (="&amp;MedicatieIV!H16&amp;" " &amp; MedicatieIV!I16 &amp;")","")</f>
        <v/>
      </c>
      <c r="J58" s="711" t="str">
        <f>MedicatieIV!J16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MedicatieIV!C17</f>
        <v>0</v>
      </c>
      <c r="E59" s="711" t="str">
        <f>IF(C59&lt;&gt;0,MedicatieIV!D17&amp;" in "&amp;MedicatieIV!E17&amp;IF(AND(ber_IVmed!D13&lt;&gt;4,MedicatieIV!F17&lt;&gt;0)," "&amp;MedicatieIV!F17,""),"")</f>
        <v/>
      </c>
      <c r="G59" s="711" t="str">
        <f>IF(C59&lt;&gt;0,MedicatieIV!G17&amp;" (="&amp;MedicatieIV!H17&amp;" " &amp; MedicatieIV!I17 &amp;")","")</f>
        <v/>
      </c>
      <c r="J59" s="711" t="str">
        <f>MedicatieIV!J17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MedicatieIV!C18</f>
        <v>0</v>
      </c>
      <c r="E60" s="711" t="str">
        <f>IF(C60&lt;&gt;0,MedicatieIV!D18&amp;" in "&amp;MedicatieIV!E18&amp;IF(AND(ber_IVmed!D14&lt;&gt;4,MedicatieIV!F18&lt;&gt;0)," "&amp;MedicatieIV!F18,""),"")</f>
        <v/>
      </c>
      <c r="G60" s="711" t="str">
        <f>IF(C60&lt;&gt;0,MedicatieIV!G18&amp;" (="&amp;MedicatieIV!H18&amp;" " &amp; MedicatieIV!I18 &amp;")","")</f>
        <v/>
      </c>
      <c r="J60" s="711" t="str">
        <f>MedicatieIV!J18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MedicatieIV!C20</f>
        <v>0</v>
      </c>
      <c r="E61" s="711" t="str">
        <f>IF(C61&lt;&gt;0,MedicatieIV!D20&amp;" in "&amp;MedicatieIV!E20&amp;IF(AND(ber_IVmed!D15&lt;&gt;4,MedicatieIV!F20&lt;&gt;0)," "&amp;MedicatieIV!F20,""),"")</f>
        <v/>
      </c>
      <c r="G61" s="711" t="str">
        <f>IF(C61&lt;&gt;0,MedicatieIV!G20,"")</f>
        <v/>
      </c>
      <c r="J61" s="711" t="str">
        <f>MedicatieIV!J20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MedicatieIV!C21</f>
        <v>0</v>
      </c>
      <c r="E62" s="711" t="str">
        <f>IF(C62&lt;&gt;0,MedicatieIV!D21&amp;" in "&amp;MedicatieIV!E21&amp;IF(AND(ber_IVmed!D16&lt;&gt;4,MedicatieIV!F21&lt;&gt;0)," "&amp;MedicatieIV!F21,""),"")</f>
        <v/>
      </c>
      <c r="G62" s="711" t="str">
        <f>IF(C62&lt;&gt;0,MedicatieIV!G21,"")</f>
        <v/>
      </c>
      <c r="J62" s="711" t="str">
        <f>MedicatieIV!J21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MedicatieIV!C22</f>
        <v>0</v>
      </c>
      <c r="E63" s="711" t="str">
        <f>IF(C63&lt;&gt;0,MedicatieIV!D22&amp;" in "&amp;MedicatieIV!E22&amp;IF(AND(ber_IVmed!D17&lt;&gt;4,MedicatieIV!F22&lt;&gt;0)," "&amp;MedicatieIV!F22,""),"")</f>
        <v/>
      </c>
      <c r="G63" s="711" t="str">
        <f>IF(C63&lt;&gt;0,MedicatieIV!G22,"")</f>
        <v/>
      </c>
      <c r="J63" s="711" t="str">
        <f>MedicatieIV!J22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MedicatieIV!C23</f>
        <v>0</v>
      </c>
      <c r="E64" s="711" t="str">
        <f>IF(C64&lt;&gt;0,MedicatieIV!D23&amp;" in "&amp;MedicatieIV!E23&amp;IF(AND(ber_IVmed!D18&lt;&gt;4,MedicatieIV!F23&lt;&gt;0)," "&amp;MedicatieIV!F23,""),"")</f>
        <v/>
      </c>
      <c r="G64" s="711" t="str">
        <f>IF(C64&lt;&gt;0,MedicatieIV!G23,"")</f>
        <v/>
      </c>
      <c r="J64" s="711" t="str">
        <f>MedicatieIV!J23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MedicatieIV!C24</f>
        <v>0</v>
      </c>
      <c r="E65" s="711" t="str">
        <f>IF(C65&lt;&gt;0,MedicatieIV!D24&amp;" in "&amp;MedicatieIV!E24&amp;IF(AND(ber_IVmed!D19&lt;&gt;4,MedicatieIV!F24&lt;&gt;0)," "&amp;MedicatieIV!F24,""),"")</f>
        <v/>
      </c>
      <c r="G65" s="711" t="str">
        <f>IF(C65&lt;&gt;0,MedicatieIV!G24,"")</f>
        <v/>
      </c>
      <c r="J65" s="711" t="str">
        <f>MedicatieIV!J24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ber_Opm!C4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Intake!C16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IF(E70&lt;&gt;"",Intake!C17,)</f>
        <v>0</v>
      </c>
      <c r="E70" s="735" t="str">
        <f>IF(TPN2tot6kg!G21&lt;&gt;0,TPN2tot6kg!A14&amp;" ml","")</f>
        <v/>
      </c>
      <c r="F70" s="735" t="str">
        <f>IF(TPN2tot6kg!G21&lt;&gt;0,TPN2tot6kg!G21&amp;" ml","")</f>
        <v/>
      </c>
      <c r="G70" s="736"/>
      <c r="H70" s="734">
        <f>IF(I70&lt;&gt;"",Intake!H17,)</f>
        <v>0</v>
      </c>
      <c r="I70" s="735" t="str">
        <f>Intake!I17</f>
        <v/>
      </c>
      <c r="J70" s="735" t="str">
        <f>Intake!J17</f>
        <v/>
      </c>
      <c r="L70" s="717"/>
    </row>
    <row r="71" spans="1:12" ht="12.65" customHeight="1" x14ac:dyDescent="0.3">
      <c r="B71" s="713"/>
      <c r="C71" s="716"/>
      <c r="D71" s="714" t="str">
        <f>IF(F71&lt;&gt;"",ber_TPN!A28,"")</f>
        <v/>
      </c>
      <c r="E71" s="711" t="str">
        <f>IF(ber_TPN!B4=4,ROUND(ber_TPN!D4,1)&amp;" ml/uur","")</f>
        <v/>
      </c>
      <c r="F71" s="711" t="str">
        <f>Intake!E18</f>
        <v/>
      </c>
      <c r="G71" s="716"/>
      <c r="H71" s="714">
        <f>IF(J71&lt;&gt;"",INDEX(tblSSTGlucose,SSTGlucose_2,1),)</f>
        <v>0</v>
      </c>
      <c r="J71" s="711" t="str">
        <f>Intake!J19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IF(Intake!G18&lt;&gt;"","Peditrace","")</f>
        <v/>
      </c>
      <c r="E72" s="707" t="str">
        <f>IF(Intake!G18&lt;&gt;"",Intake!G18&amp;" "&amp;Intake!F19,"")</f>
        <v/>
      </c>
      <c r="F72" s="708"/>
      <c r="G72" s="716"/>
      <c r="H72" s="714">
        <f>IF(J72&lt;&gt;"",Intake!H20,)</f>
        <v>0</v>
      </c>
      <c r="J72" s="711" t="str">
        <f>Intake!J20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IF(AND(TPN=2,SSTglucose&lt;11,Gewicht/10&lt;=50),ROUND(ber_TPN!F6,0)&amp;" ml","")</f>
        <v/>
      </c>
      <c r="G73" s="716"/>
      <c r="H73" s="714">
        <f>IF(J73&lt;&gt;"",Intake!H21,)</f>
        <v>0</v>
      </c>
      <c r="J73" s="711" t="str">
        <f>Intake!J21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IF(F74&lt;&gt;"",Intake!C20,)</f>
        <v>0</v>
      </c>
      <c r="F74" s="711" t="str">
        <f>IF(AND(TPN2tot6kg!G14&lt;&gt;"",ber_TPN!$F$4&gt;0),TPN2tot6kg!G14&amp;"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IF(F75&lt;&gt;"",Intake!C21,)</f>
        <v>0</v>
      </c>
      <c r="F75" s="711" t="str">
        <f>IF(AND(TPN2tot6kg!G15&lt;&gt;"",ber_TPN!$F$4&gt;0),TPN2tot6kg!G15&amp;"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IF(AND(Gewicht/10&gt;50,TPNboven50kg!A27&lt;&gt;""),TPNboven50kg!A27,TPN2tot6kg!A29)</f>
        <v/>
      </c>
      <c r="F77" s="720" t="str">
        <f>IF(AND(Gewicht/10&gt;50,TPNboven50kg!G35&lt;&gt;0),TPNboven50kg!G35&amp;" ml",IF(TPN2tot6kg!G36&lt;&gt;0,TPN2tot6kg!G36&amp;"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IF(AND(OR(TPN=1,AND(TPN=2,SSTglucose&gt;10),Gewicht/10&gt;50),ROUND(ber_TPN!F6,0)&lt;&gt;0,SSTglucose&lt;&gt;2),ROUND(ber_TPN!F6,0)&amp;"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Intake!E23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Intake!E24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IF(F81&lt;&gt;"",Intake!C20,)</f>
        <v>0</v>
      </c>
      <c r="F81" s="711" t="str">
        <f>IF(AND(Gewicht/10&gt;50,TPNboven50kg!G27&lt;&gt;0),TPNboven50kg!G27&amp;" ml",IF(OR(AND(TPN2tot6kg!G29&lt;&gt;0,ber_TPN!$F$4=0),AND(TPN2tot6kg!G29&lt;&gt;0,Gewicht/10&gt;50)),TPN2tot6kg!G29&amp;"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IF(F82&lt;&gt;"",Intake!C21,)</f>
        <v>0</v>
      </c>
      <c r="F82" s="711" t="str">
        <f>IF(AND(Gewicht/10&gt;51,TPNboven50kg!G28&lt;&gt;0),TPNboven50kg!G28&amp;" ml",IF(OR(AND(TPN2tot6kg!G30&lt;&gt;0,ber_TPN!$F$4=0),AND(TPN2tot6kg!G30&lt;&gt;0,Gewicht/10&gt;50)),TPN2tot6kg!G30&amp;"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IF(AND(Gewicht/10&gt;51,TPNboven50kg!G31&lt;&gt;0),TPNboven50kg!G31&amp;" ml",IF(AND(TPN2tot6kg!G33&lt;&gt;0,Gewicht/10&lt;=50),TPN2tot6kg!G33&amp;"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Intake!E26&amp;" "&amp;Intake!H26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IF(E87&lt;&gt;"",Intake!C27,)</f>
        <v>0</v>
      </c>
      <c r="E87" s="720" t="str">
        <f>Intake!D27</f>
        <v/>
      </c>
      <c r="F87" s="720" t="str">
        <f>IF(ROUND(ber_TPN!F12,0)&gt;0,ROUND(ber_TPN!F12,0)&amp;"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Intake!E28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Intake!E29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Intake!E30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ber_Opm!C9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Intake!B34</f>
        <v>Vocht</v>
      </c>
      <c r="D96" s="711" t="str">
        <f>Intake!D34</f>
        <v>0 ml/kg</v>
      </c>
      <c r="E96" s="714" t="str">
        <f>Intake!B35</f>
        <v>Calorieen</v>
      </c>
      <c r="F96" s="711" t="str">
        <f>Intake!D35</f>
        <v>0 kCal/kg</v>
      </c>
      <c r="G96" s="714" t="str">
        <f>Intake!B38</f>
        <v>Kalium</v>
      </c>
      <c r="H96" s="711" t="str">
        <f>Intake!D38</f>
        <v>0 mmol/kg</v>
      </c>
      <c r="I96" s="714" t="str">
        <f>Intake!B37</f>
        <v xml:space="preserve">Natrium </v>
      </c>
      <c r="J96" s="711" t="str">
        <f>Intake!D37</f>
        <v>0 mmol/kg</v>
      </c>
      <c r="L96" s="717"/>
    </row>
    <row r="97" spans="1:12" ht="12.65" customHeight="1" x14ac:dyDescent="0.3">
      <c r="B97" s="713"/>
      <c r="C97" s="714" t="str">
        <f>Intake!H34</f>
        <v>Eiwit</v>
      </c>
      <c r="D97" s="711" t="str">
        <f>Intake!I34</f>
        <v>0  gram/kg</v>
      </c>
      <c r="E97" s="714" t="str">
        <f>Intake!H35</f>
        <v>Vet</v>
      </c>
      <c r="F97" s="711" t="str">
        <f>Intake!I35</f>
        <v>0 gram/kg</v>
      </c>
      <c r="G97" s="714" t="str">
        <f>Intake!H36</f>
        <v>Calcium</v>
      </c>
      <c r="H97" s="711" t="str">
        <f>Intake!I36</f>
        <v>0 mmol/kg</v>
      </c>
      <c r="I97" s="714" t="str">
        <f>Intake!H38</f>
        <v>Fosfaat</v>
      </c>
      <c r="J97" s="711" t="str">
        <f>Intake!I38</f>
        <v>0 mmol/kg</v>
      </c>
      <c r="L97" s="717"/>
    </row>
    <row r="98" spans="1:12" ht="12.65" customHeight="1" x14ac:dyDescent="0.3">
      <c r="A98" s="720"/>
      <c r="B98" s="724"/>
      <c r="C98" s="743" t="str">
        <f>Intake!B36</f>
        <v>Glucose/KH</v>
      </c>
      <c r="D98" s="720" t="str">
        <f>Intake!D36</f>
        <v>0 g/kg</v>
      </c>
      <c r="E98" s="725"/>
      <c r="F98" s="720"/>
      <c r="G98" s="743" t="s">
        <v>643</v>
      </c>
      <c r="H98" s="720" t="str">
        <f>Intake!I37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42722</v>
      </c>
      <c r="E99" s="714" t="s">
        <v>937</v>
      </c>
      <c r="F99" s="882" t="str">
        <f>_AchterNaam&amp;", "&amp;_VoorNaam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0.46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KWTdRNbR86UR4XUuOu/hYJ/5a/CsqSWMyuwsf4fU41YSUwokj28/N5r7ruUTrdBJGNpV0uGsP6DsJXofT0FTEg==" saltValue="jKEMfJ66YPFKyFRMeQ3X1w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42722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dd",$D3="6 dd",$D3="8 dd",$D3="12 dd",$D3="an",$D3="1 X"),VLOOKUP($D3,ber_tijden!$A$16:$X$26,ber_tijden!B$14,FALSE),"")</f>
        <v/>
      </c>
      <c r="I3" s="15" t="str">
        <f>IF(OR($D3="1 dd",$D3="2 dd",$D3="3 dd",$D3="4 dd",$D3="6 dd",$D3="8 dd",$D3="12 dd",$D3="an",$D3="1 X"),VLOOKUP($D3,ber_tijden!$A$16:$X$26,ber_tijden!C$14,FALSE),"")</f>
        <v/>
      </c>
      <c r="J3" s="106" t="str">
        <f>IF(OR($D3="1 dd",$D3="2 dd",$D3="3 dd",$D3="4 dd",$D3="6 dd",$D3="8 dd",$D3="12 dd",$D3="an",$D3="1 X"),VLOOKUP($D3,ber_tijden!$A$16:$X$26,ber_tijden!D$14,FALSE),"")</f>
        <v/>
      </c>
      <c r="K3" s="15" t="str">
        <f>IF(OR($D3="1 dd",$D3="2 dd",$D3="3 dd",$D3="4 dd",$D3="6 dd",$D3="8 dd",$D3="12 dd",$D3="an",$D3="1 X"),VLOOKUP($D3,ber_tijden!$A$16:$X$26,ber_tijden!E$14,FALSE),"")</f>
        <v/>
      </c>
      <c r="L3" s="106" t="str">
        <f>IF(OR($D3="1 dd",$D3="2 dd",$D3="3 dd",$D3="4 dd",$D3="6 dd",$D3="8 dd",$D3="12 dd",$D3="an",$D3="1 X"),VLOOKUP($D3,ber_tijden!$A$16:$X$26,ber_tijden!F$14,FALSE),"")</f>
        <v/>
      </c>
      <c r="M3" s="15" t="str">
        <f>IF(OR($D3="1 dd",$D3="2 dd",$D3="3 dd",$D3="4 dd",$D3="6 dd",$D3="8 dd",$D3="12 dd",$D3="an",$D3="1 X"),VLOOKUP($D3,ber_tijden!$A$16:$X$26,ber_tijden!G$14,FALSE),"")</f>
        <v/>
      </c>
      <c r="N3" s="106" t="str">
        <f>IF(OR($D3="1 dd",$D3="2 dd",$D3="3 dd",$D3="4 dd",$D3="6 dd",$D3="8 dd",$D3="12 dd",$D3="an",$D3="1 X"),VLOOKUP($D3,ber_tijden!$A$16:$X$26,ber_tijden!H$14,FALSE),"")</f>
        <v/>
      </c>
      <c r="O3" s="15" t="str">
        <f>IF(OR($D3="1 dd",$D3="2 dd",$D3="3 dd",$D3="4 dd",$D3="6 dd",$D3="8 dd",$D3="12 dd",$D3="an",$D3="1 X"),VLOOKUP($D3,ber_tijden!$A$16:$X$26,ber_tijden!I$14,FALSE),"")</f>
        <v/>
      </c>
      <c r="P3" s="106" t="str">
        <f>IF(OR($D3="1 dd",$D3="2 dd",$D3="3 dd",$D3="4 dd",$D3="6 dd",$D3="8 dd",$D3="12 dd",$D3="an",$D3="1 X"),VLOOKUP($D3,ber_tijden!$A$16:$X$26,ber_tijden!J$14,FALSE),"")</f>
        <v/>
      </c>
      <c r="Q3" s="15" t="str">
        <f>IF(OR($D3="1 dd",$D3="2 dd",$D3="3 dd",$D3="4 dd",$D3="6 dd",$D3="8 dd",$D3="12 dd",$D3="an",$D3="1 X"),VLOOKUP($D3,ber_tijden!$A$16:$X$26,ber_tijden!K$14,FALSE),"")</f>
        <v/>
      </c>
      <c r="R3" s="106" t="str">
        <f>IF(OR($D3="1 dd",$D3="2 dd",$D3="3 dd",$D3="4 dd",$D3="6 dd",$D3="8 dd",$D3="12 dd",$D3="an",$D3="1 X"),VLOOKUP($D3,ber_tijden!$A$16:$X$26,ber_tijden!L$14,FALSE),"")</f>
        <v/>
      </c>
      <c r="S3" s="15" t="str">
        <f>IF(OR($D3="1 dd",$D3="2 dd",$D3="3 dd",$D3="4 dd",$D3="6 dd",$D3="8 dd",$D3="12 dd",$D3="an",$D3="1 X"),VLOOKUP($D3,ber_tijden!$A$16:$X$26,ber_tijden!M$14,FALSE),"")</f>
        <v/>
      </c>
      <c r="T3" s="106" t="str">
        <f>IF(OR($D3="1 dd",$D3="2 dd",$D3="3 dd",$D3="4 dd",$D3="6 dd",$D3="8 dd",$D3="12 dd",$D3="an",$D3="1 X"),VLOOKUP($D3,ber_tijden!$A$16:$X$26,ber_tijden!N$14,FALSE),"")</f>
        <v/>
      </c>
      <c r="U3" s="15" t="str">
        <f>IF(OR($D3="1 dd",$D3="2 dd",$D3="3 dd",$D3="4 dd",$D3="6 dd",$D3="8 dd",$D3="12 dd",$D3="an",$D3="1 X"),VLOOKUP($D3,ber_tijden!$A$16:$X$26,ber_tijden!O$14,FALSE),"")</f>
        <v/>
      </c>
      <c r="V3" s="106" t="str">
        <f>IF(OR($D3="1 dd",$D3="2 dd",$D3="3 dd",$D3="4 dd",$D3="6 dd",$D3="8 dd",$D3="12 dd",$D3="an",$D3="1 X"),VLOOKUP($D3,ber_tijden!$A$16:$X$26,ber_tijden!P$14,FALSE),"")</f>
        <v/>
      </c>
      <c r="W3" s="15" t="str">
        <f>IF(OR($D3="1 dd",$D3="2 dd",$D3="3 dd",$D3="4 dd",$D3="6 dd",$D3="8 dd",$D3="12 dd",$D3="an",$D3="1 X"),VLOOKUP($D3,ber_tijden!$A$16:$X$26,ber_tijden!Q$14,FALSE),"")</f>
        <v/>
      </c>
      <c r="X3" s="106" t="str">
        <f>IF(OR($D3="1 dd",$D3="2 dd",$D3="3 dd",$D3="4 dd",$D3="6 dd",$D3="8 dd",$D3="12 dd",$D3="an",$D3="1 X"),VLOOKUP($D3,ber_tijden!$A$16:$X$26,ber_tijden!R$14,FALSE),"")</f>
        <v/>
      </c>
      <c r="Y3" s="15" t="str">
        <f>IF(OR($D3="1 dd",$D3="2 dd",$D3="3 dd",$D3="4 dd",$D3="6 dd",$D3="8 dd",$D3="12 dd",$D3="an",$D3="1 X"),VLOOKUP($D3,ber_tijden!$A$16:$X$26,ber_tijden!S$14,FALSE),"")</f>
        <v/>
      </c>
      <c r="Z3" s="106" t="str">
        <f>IF(OR($D3="1 dd",$D3="2 dd",$D3="3 dd",$D3="4 dd",$D3="6 dd",$D3="8 dd",$D3="12 dd",$D3="an",$D3="1 X"),VLOOKUP($D3,ber_tijden!$A$16:$X$26,ber_tijden!T$14,FALSE),"")</f>
        <v/>
      </c>
      <c r="AA3" s="15" t="str">
        <f>IF(OR($D3="1 dd",$D3="2 dd",$D3="3 dd",$D3="4 dd",$D3="6 dd",$D3="8 dd",$D3="12 dd",$D3="an",$D3="1 X"),VLOOKUP($D3,ber_tijden!$A$16:$X$26,ber_tijden!U$14,FALSE),"")</f>
        <v/>
      </c>
      <c r="AB3" s="106" t="str">
        <f>IF(OR($D3="1 dd",$D3="2 dd",$D3="3 dd",$D3="4 dd",$D3="6 dd",$D3="8 dd",$D3="12 dd",$D3="an",$D3="1 X"),VLOOKUP($D3,ber_tijden!$A$16:$X$26,ber_tijden!V$14,FALSE),"")</f>
        <v/>
      </c>
      <c r="AC3" s="15" t="str">
        <f>IF(OR($D3="1 dd",$D3="2 dd",$D3="3 dd",$D3="4 dd",$D3="6 dd",$D3="8 dd",$D3="12 dd",$D3="an",$D3="1 X"),VLOOKUP($D3,ber_tijden!$A$16:$X$26,ber_tijden!W$14,FALSE),"")</f>
        <v/>
      </c>
      <c r="AD3" s="106" t="str">
        <f>IF(OR($D3="1 dd",$D3="2 dd",$D3="3 dd",$D3="4 dd",$D3="6 dd",$D3="8 dd",$D3="12 dd",$D3="an",$D3="1 X"),VLOOKUP($D3,ber_tijden!$A$16:$X$26,ber_tijden!X$14,FALSE),"")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dd",$D4="6 dd",$D4="8 dd",$D4="12 dd",$D4="an",$D4="1 X"),VLOOKUP($D4,ber_tijden!$A$16:$X$26,ber_tijden!B$14,FALSE),"")</f>
        <v/>
      </c>
      <c r="I4" s="15" t="str">
        <f>IF(OR($D4="1 dd",$D4="2 dd",$D4="3 dd",$D4="4 dd",$D4="6 dd",$D4="8 dd",$D4="12 dd",$D4="an",$D4="1 X"),VLOOKUP($D4,ber_tijden!$A$16:$X$26,ber_tijden!C$14,FALSE),"")</f>
        <v/>
      </c>
      <c r="J4" s="106" t="str">
        <f>IF(OR($D4="1 dd",$D4="2 dd",$D4="3 dd",$D4="4 dd",$D4="6 dd",$D4="8 dd",$D4="12 dd",$D4="an",$D4="1 X"),VLOOKUP($D4,ber_tijden!$A$16:$X$26,ber_tijden!D$14,FALSE),"")</f>
        <v/>
      </c>
      <c r="K4" s="15" t="str">
        <f>IF(OR($D4="1 dd",$D4="2 dd",$D4="3 dd",$D4="4 dd",$D4="6 dd",$D4="8 dd",$D4="12 dd",$D4="an",$D4="1 X"),VLOOKUP($D4,ber_tijden!$A$16:$X$26,ber_tijden!E$14,FALSE),"")</f>
        <v/>
      </c>
      <c r="L4" s="106" t="str">
        <f>IF(OR($D4="1 dd",$D4="2 dd",$D4="3 dd",$D4="4 dd",$D4="6 dd",$D4="8 dd",$D4="12 dd",$D4="an",$D4="1 X"),VLOOKUP($D4,ber_tijden!$A$16:$X$26,ber_tijden!F$14,FALSE),"")</f>
        <v/>
      </c>
      <c r="M4" s="15" t="str">
        <f>IF(OR($D4="1 dd",$D4="2 dd",$D4="3 dd",$D4="4 dd",$D4="6 dd",$D4="8 dd",$D4="12 dd",$D4="an",$D4="1 X"),VLOOKUP($D4,ber_tijden!$A$16:$X$26,ber_tijden!G$14,FALSE),"")</f>
        <v/>
      </c>
      <c r="N4" s="106" t="str">
        <f>IF(OR($D4="1 dd",$D4="2 dd",$D4="3 dd",$D4="4 dd",$D4="6 dd",$D4="8 dd",$D4="12 dd",$D4="an",$D4="1 X"),VLOOKUP($D4,ber_tijden!$A$16:$X$26,ber_tijden!H$14,FALSE),"")</f>
        <v/>
      </c>
      <c r="O4" s="15" t="str">
        <f>IF(OR($D4="1 dd",$D4="2 dd",$D4="3 dd",$D4="4 dd",$D4="6 dd",$D4="8 dd",$D4="12 dd",$D4="an",$D4="1 X"),VLOOKUP($D4,ber_tijden!$A$16:$X$26,ber_tijden!I$14,FALSE),"")</f>
        <v/>
      </c>
      <c r="P4" s="106" t="str">
        <f>IF(OR($D4="1 dd",$D4="2 dd",$D4="3 dd",$D4="4 dd",$D4="6 dd",$D4="8 dd",$D4="12 dd",$D4="an",$D4="1 X"),VLOOKUP($D4,ber_tijden!$A$16:$X$26,ber_tijden!J$14,FALSE),"")</f>
        <v/>
      </c>
      <c r="Q4" s="15" t="str">
        <f>IF(OR($D4="1 dd",$D4="2 dd",$D4="3 dd",$D4="4 dd",$D4="6 dd",$D4="8 dd",$D4="12 dd",$D4="an",$D4="1 X"),VLOOKUP($D4,ber_tijden!$A$16:$X$26,ber_tijden!K$14,FALSE),"")</f>
        <v/>
      </c>
      <c r="R4" s="106" t="str">
        <f>IF(OR($D4="1 dd",$D4="2 dd",$D4="3 dd",$D4="4 dd",$D4="6 dd",$D4="8 dd",$D4="12 dd",$D4="an",$D4="1 X"),VLOOKUP($D4,ber_tijden!$A$16:$X$26,ber_tijden!L$14,FALSE),"")</f>
        <v/>
      </c>
      <c r="S4" s="15" t="str">
        <f>IF(OR($D4="1 dd",$D4="2 dd",$D4="3 dd",$D4="4 dd",$D4="6 dd",$D4="8 dd",$D4="12 dd",$D4="an",$D4="1 X"),VLOOKUP($D4,ber_tijden!$A$16:$X$26,ber_tijden!M$14,FALSE),"")</f>
        <v/>
      </c>
      <c r="T4" s="106" t="str">
        <f>IF(OR($D4="1 dd",$D4="2 dd",$D4="3 dd",$D4="4 dd",$D4="6 dd",$D4="8 dd",$D4="12 dd",$D4="an",$D4="1 X"),VLOOKUP($D4,ber_tijden!$A$16:$X$26,ber_tijden!N$14,FALSE),"")</f>
        <v/>
      </c>
      <c r="U4" s="15" t="str">
        <f>IF(OR($D4="1 dd",$D4="2 dd",$D4="3 dd",$D4="4 dd",$D4="6 dd",$D4="8 dd",$D4="12 dd",$D4="an",$D4="1 X"),VLOOKUP($D4,ber_tijden!$A$16:$X$26,ber_tijden!O$14,FALSE),"")</f>
        <v/>
      </c>
      <c r="V4" s="106" t="str">
        <f>IF(OR($D4="1 dd",$D4="2 dd",$D4="3 dd",$D4="4 dd",$D4="6 dd",$D4="8 dd",$D4="12 dd",$D4="an",$D4="1 X"),VLOOKUP($D4,ber_tijden!$A$16:$X$26,ber_tijden!P$14,FALSE),"")</f>
        <v/>
      </c>
      <c r="W4" s="15" t="str">
        <f>IF(OR($D4="1 dd",$D4="2 dd",$D4="3 dd",$D4="4 dd",$D4="6 dd",$D4="8 dd",$D4="12 dd",$D4="an",$D4="1 X"),VLOOKUP($D4,ber_tijden!$A$16:$X$26,ber_tijden!Q$14,FALSE),"")</f>
        <v/>
      </c>
      <c r="X4" s="106" t="str">
        <f>IF(OR($D4="1 dd",$D4="2 dd",$D4="3 dd",$D4="4 dd",$D4="6 dd",$D4="8 dd",$D4="12 dd",$D4="an",$D4="1 X"),VLOOKUP($D4,ber_tijden!$A$16:$X$26,ber_tijden!R$14,FALSE),"")</f>
        <v/>
      </c>
      <c r="Y4" s="15" t="str">
        <f>IF(OR($D4="1 dd",$D4="2 dd",$D4="3 dd",$D4="4 dd",$D4="6 dd",$D4="8 dd",$D4="12 dd",$D4="an",$D4="1 X"),VLOOKUP($D4,ber_tijden!$A$16:$X$26,ber_tijden!S$14,FALSE),"")</f>
        <v/>
      </c>
      <c r="Z4" s="106" t="str">
        <f>IF(OR($D4="1 dd",$D4="2 dd",$D4="3 dd",$D4="4 dd",$D4="6 dd",$D4="8 dd",$D4="12 dd",$D4="an",$D4="1 X"),VLOOKUP($D4,ber_tijden!$A$16:$X$26,ber_tijden!T$14,FALSE),"")</f>
        <v/>
      </c>
      <c r="AA4" s="15" t="str">
        <f>IF(OR($D4="1 dd",$D4="2 dd",$D4="3 dd",$D4="4 dd",$D4="6 dd",$D4="8 dd",$D4="12 dd",$D4="an",$D4="1 X"),VLOOKUP($D4,ber_tijden!$A$16:$X$26,ber_tijden!U$14,FALSE),"")</f>
        <v/>
      </c>
      <c r="AB4" s="106" t="str">
        <f>IF(OR($D4="1 dd",$D4="2 dd",$D4="3 dd",$D4="4 dd",$D4="6 dd",$D4="8 dd",$D4="12 dd",$D4="an",$D4="1 X"),VLOOKUP($D4,ber_tijden!$A$16:$X$26,ber_tijden!V$14,FALSE),"")</f>
        <v/>
      </c>
      <c r="AC4" s="15" t="str">
        <f>IF(OR($D4="1 dd",$D4="2 dd",$D4="3 dd",$D4="4 dd",$D4="6 dd",$D4="8 dd",$D4="12 dd",$D4="an",$D4="1 X"),VLOOKUP($D4,ber_tijden!$A$16:$X$26,ber_tijden!W$14,FALSE),"")</f>
        <v/>
      </c>
      <c r="AD4" s="106" t="str">
        <f>IF(OR($D4="1 dd",$D4="2 dd",$D4="3 dd",$D4="4 dd",$D4="6 dd",$D4="8 dd",$D4="12 dd",$D4="an",$D4="1 X"),VLOOKUP($D4,ber_tijden!$A$16:$X$26,ber_tijden!X$14,FALSE),"")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dd",$D5="6 dd",$D5="8 dd",$D5="12 dd",$D5="an",$D5="1 X"),VLOOKUP($D5,ber_tijden!$A$16:$X$26,ber_tijden!B$14,FALSE),"")</f>
        <v/>
      </c>
      <c r="I5" s="15" t="str">
        <f>IF(OR($D5="1 dd",$D5="2 dd",$D5="3 dd",$D5="4 dd",$D5="6 dd",$D5="8 dd",$D5="12 dd",$D5="an",$D5="1 X"),VLOOKUP($D5,ber_tijden!$A$16:$X$26,ber_tijden!C$14,FALSE),"")</f>
        <v/>
      </c>
      <c r="J5" s="106" t="str">
        <f>IF(OR($D5="1 dd",$D5="2 dd",$D5="3 dd",$D5="4 dd",$D5="6 dd",$D5="8 dd",$D5="12 dd",$D5="an",$D5="1 X"),VLOOKUP($D5,ber_tijden!$A$16:$X$26,ber_tijden!D$14,FALSE),"")</f>
        <v/>
      </c>
      <c r="K5" s="15" t="str">
        <f>IF(OR($D5="1 dd",$D5="2 dd",$D5="3 dd",$D5="4 dd",$D5="6 dd",$D5="8 dd",$D5="12 dd",$D5="an",$D5="1 X"),VLOOKUP($D5,ber_tijden!$A$16:$X$26,ber_tijden!E$14,FALSE),"")</f>
        <v/>
      </c>
      <c r="L5" s="106" t="str">
        <f>IF(OR($D5="1 dd",$D5="2 dd",$D5="3 dd",$D5="4 dd",$D5="6 dd",$D5="8 dd",$D5="12 dd",$D5="an",$D5="1 X"),VLOOKUP($D5,ber_tijden!$A$16:$X$26,ber_tijden!F$14,FALSE),"")</f>
        <v/>
      </c>
      <c r="M5" s="15" t="str">
        <f>IF(OR($D5="1 dd",$D5="2 dd",$D5="3 dd",$D5="4 dd",$D5="6 dd",$D5="8 dd",$D5="12 dd",$D5="an",$D5="1 X"),VLOOKUP($D5,ber_tijden!$A$16:$X$26,ber_tijden!G$14,FALSE),"")</f>
        <v/>
      </c>
      <c r="N5" s="106" t="str">
        <f>IF(OR($D5="1 dd",$D5="2 dd",$D5="3 dd",$D5="4 dd",$D5="6 dd",$D5="8 dd",$D5="12 dd",$D5="an",$D5="1 X"),VLOOKUP($D5,ber_tijden!$A$16:$X$26,ber_tijden!H$14,FALSE),"")</f>
        <v/>
      </c>
      <c r="O5" s="15" t="str">
        <f>IF(OR($D5="1 dd",$D5="2 dd",$D5="3 dd",$D5="4 dd",$D5="6 dd",$D5="8 dd",$D5="12 dd",$D5="an",$D5="1 X"),VLOOKUP($D5,ber_tijden!$A$16:$X$26,ber_tijden!I$14,FALSE),"")</f>
        <v/>
      </c>
      <c r="P5" s="106" t="str">
        <f>IF(OR($D5="1 dd",$D5="2 dd",$D5="3 dd",$D5="4 dd",$D5="6 dd",$D5="8 dd",$D5="12 dd",$D5="an",$D5="1 X"),VLOOKUP($D5,ber_tijden!$A$16:$X$26,ber_tijden!J$14,FALSE),"")</f>
        <v/>
      </c>
      <c r="Q5" s="15" t="str">
        <f>IF(OR($D5="1 dd",$D5="2 dd",$D5="3 dd",$D5="4 dd",$D5="6 dd",$D5="8 dd",$D5="12 dd",$D5="an",$D5="1 X"),VLOOKUP($D5,ber_tijden!$A$16:$X$26,ber_tijden!K$14,FALSE),"")</f>
        <v/>
      </c>
      <c r="R5" s="106" t="str">
        <f>IF(OR($D5="1 dd",$D5="2 dd",$D5="3 dd",$D5="4 dd",$D5="6 dd",$D5="8 dd",$D5="12 dd",$D5="an",$D5="1 X"),VLOOKUP($D5,ber_tijden!$A$16:$X$26,ber_tijden!L$14,FALSE),"")</f>
        <v/>
      </c>
      <c r="S5" s="15" t="str">
        <f>IF(OR($D5="1 dd",$D5="2 dd",$D5="3 dd",$D5="4 dd",$D5="6 dd",$D5="8 dd",$D5="12 dd",$D5="an",$D5="1 X"),VLOOKUP($D5,ber_tijden!$A$16:$X$26,ber_tijden!M$14,FALSE),"")</f>
        <v/>
      </c>
      <c r="T5" s="106" t="str">
        <f>IF(OR($D5="1 dd",$D5="2 dd",$D5="3 dd",$D5="4 dd",$D5="6 dd",$D5="8 dd",$D5="12 dd",$D5="an",$D5="1 X"),VLOOKUP($D5,ber_tijden!$A$16:$X$26,ber_tijden!N$14,FALSE),"")</f>
        <v/>
      </c>
      <c r="U5" s="15" t="str">
        <f>IF(OR($D5="1 dd",$D5="2 dd",$D5="3 dd",$D5="4 dd",$D5="6 dd",$D5="8 dd",$D5="12 dd",$D5="an",$D5="1 X"),VLOOKUP($D5,ber_tijden!$A$16:$X$26,ber_tijden!O$14,FALSE),"")</f>
        <v/>
      </c>
      <c r="V5" s="106" t="str">
        <f>IF(OR($D5="1 dd",$D5="2 dd",$D5="3 dd",$D5="4 dd",$D5="6 dd",$D5="8 dd",$D5="12 dd",$D5="an",$D5="1 X"),VLOOKUP($D5,ber_tijden!$A$16:$X$26,ber_tijden!P$14,FALSE),"")</f>
        <v/>
      </c>
      <c r="W5" s="15" t="str">
        <f>IF(OR($D5="1 dd",$D5="2 dd",$D5="3 dd",$D5="4 dd",$D5="6 dd",$D5="8 dd",$D5="12 dd",$D5="an",$D5="1 X"),VLOOKUP($D5,ber_tijden!$A$16:$X$26,ber_tijden!Q$14,FALSE),"")</f>
        <v/>
      </c>
      <c r="X5" s="106" t="str">
        <f>IF(OR($D5="1 dd",$D5="2 dd",$D5="3 dd",$D5="4 dd",$D5="6 dd",$D5="8 dd",$D5="12 dd",$D5="an",$D5="1 X"),VLOOKUP($D5,ber_tijden!$A$16:$X$26,ber_tijden!R$14,FALSE),"")</f>
        <v/>
      </c>
      <c r="Y5" s="15" t="str">
        <f>IF(OR($D5="1 dd",$D5="2 dd",$D5="3 dd",$D5="4 dd",$D5="6 dd",$D5="8 dd",$D5="12 dd",$D5="an",$D5="1 X"),VLOOKUP($D5,ber_tijden!$A$16:$X$26,ber_tijden!S$14,FALSE),"")</f>
        <v/>
      </c>
      <c r="Z5" s="106" t="str">
        <f>IF(OR($D5="1 dd",$D5="2 dd",$D5="3 dd",$D5="4 dd",$D5="6 dd",$D5="8 dd",$D5="12 dd",$D5="an",$D5="1 X"),VLOOKUP($D5,ber_tijden!$A$16:$X$26,ber_tijden!T$14,FALSE),"")</f>
        <v/>
      </c>
      <c r="AA5" s="15" t="str">
        <f>IF(OR($D5="1 dd",$D5="2 dd",$D5="3 dd",$D5="4 dd",$D5="6 dd",$D5="8 dd",$D5="12 dd",$D5="an",$D5="1 X"),VLOOKUP($D5,ber_tijden!$A$16:$X$26,ber_tijden!U$14,FALSE),"")</f>
        <v/>
      </c>
      <c r="AB5" s="106" t="str">
        <f>IF(OR($D5="1 dd",$D5="2 dd",$D5="3 dd",$D5="4 dd",$D5="6 dd",$D5="8 dd",$D5="12 dd",$D5="an",$D5="1 X"),VLOOKUP($D5,ber_tijden!$A$16:$X$26,ber_tijden!V$14,FALSE),"")</f>
        <v/>
      </c>
      <c r="AC5" s="15" t="str">
        <f>IF(OR($D5="1 dd",$D5="2 dd",$D5="3 dd",$D5="4 dd",$D5="6 dd",$D5="8 dd",$D5="12 dd",$D5="an",$D5="1 X"),VLOOKUP($D5,ber_tijden!$A$16:$X$26,ber_tijden!W$14,FALSE),"")</f>
        <v/>
      </c>
      <c r="AD5" s="106" t="str">
        <f>IF(OR($D5="1 dd",$D5="2 dd",$D5="3 dd",$D5="4 dd",$D5="6 dd",$D5="8 dd",$D5="12 dd",$D5="an",$D5="1 X"),VLOOKUP($D5,ber_tijden!$A$16:$X$26,ber_tijden!X$14,FALSE),"")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dd",$D6="6 dd",$D6="8 dd",$D6="12 dd",$D6="an",$D6="1 X"),VLOOKUP($D6,ber_tijden!$A$16:$X$26,ber_tijden!B$14,FALSE),"")</f>
        <v/>
      </c>
      <c r="I6" s="15" t="str">
        <f>IF(OR($D6="1 dd",$D6="2 dd",$D6="3 dd",$D6="4 dd",$D6="6 dd",$D6="8 dd",$D6="12 dd",$D6="an",$D6="1 X"),VLOOKUP($D6,ber_tijden!$A$16:$X$26,ber_tijden!C$14,FALSE),"")</f>
        <v/>
      </c>
      <c r="J6" s="106" t="str">
        <f>IF(OR($D6="1 dd",$D6="2 dd",$D6="3 dd",$D6="4 dd",$D6="6 dd",$D6="8 dd",$D6="12 dd",$D6="an",$D6="1 X"),VLOOKUP($D6,ber_tijden!$A$16:$X$26,ber_tijden!D$14,FALSE),"")</f>
        <v/>
      </c>
      <c r="K6" s="15" t="str">
        <f>IF(OR($D6="1 dd",$D6="2 dd",$D6="3 dd",$D6="4 dd",$D6="6 dd",$D6="8 dd",$D6="12 dd",$D6="an",$D6="1 X"),VLOOKUP($D6,ber_tijden!$A$16:$X$26,ber_tijden!E$14,FALSE),"")</f>
        <v/>
      </c>
      <c r="L6" s="106" t="str">
        <f>IF(OR($D6="1 dd",$D6="2 dd",$D6="3 dd",$D6="4 dd",$D6="6 dd",$D6="8 dd",$D6="12 dd",$D6="an",$D6="1 X"),VLOOKUP($D6,ber_tijden!$A$16:$X$26,ber_tijden!F$14,FALSE),"")</f>
        <v/>
      </c>
      <c r="M6" s="15" t="str">
        <f>IF(OR($D6="1 dd",$D6="2 dd",$D6="3 dd",$D6="4 dd",$D6="6 dd",$D6="8 dd",$D6="12 dd",$D6="an",$D6="1 X"),VLOOKUP($D6,ber_tijden!$A$16:$X$26,ber_tijden!G$14,FALSE),"")</f>
        <v/>
      </c>
      <c r="N6" s="106" t="str">
        <f>IF(OR($D6="1 dd",$D6="2 dd",$D6="3 dd",$D6="4 dd",$D6="6 dd",$D6="8 dd",$D6="12 dd",$D6="an",$D6="1 X"),VLOOKUP($D6,ber_tijden!$A$16:$X$26,ber_tijden!H$14,FALSE),"")</f>
        <v/>
      </c>
      <c r="O6" s="15" t="str">
        <f>IF(OR($D6="1 dd",$D6="2 dd",$D6="3 dd",$D6="4 dd",$D6="6 dd",$D6="8 dd",$D6="12 dd",$D6="an",$D6="1 X"),VLOOKUP($D6,ber_tijden!$A$16:$X$26,ber_tijden!I$14,FALSE),"")</f>
        <v/>
      </c>
      <c r="P6" s="106" t="str">
        <f>IF(OR($D6="1 dd",$D6="2 dd",$D6="3 dd",$D6="4 dd",$D6="6 dd",$D6="8 dd",$D6="12 dd",$D6="an",$D6="1 X"),VLOOKUP($D6,ber_tijden!$A$16:$X$26,ber_tijden!J$14,FALSE),"")</f>
        <v/>
      </c>
      <c r="Q6" s="15" t="str">
        <f>IF(OR($D6="1 dd",$D6="2 dd",$D6="3 dd",$D6="4 dd",$D6="6 dd",$D6="8 dd",$D6="12 dd",$D6="an",$D6="1 X"),VLOOKUP($D6,ber_tijden!$A$16:$X$26,ber_tijden!K$14,FALSE),"")</f>
        <v/>
      </c>
      <c r="R6" s="106" t="str">
        <f>IF(OR($D6="1 dd",$D6="2 dd",$D6="3 dd",$D6="4 dd",$D6="6 dd",$D6="8 dd",$D6="12 dd",$D6="an",$D6="1 X"),VLOOKUP($D6,ber_tijden!$A$16:$X$26,ber_tijden!L$14,FALSE),"")</f>
        <v/>
      </c>
      <c r="S6" s="15" t="str">
        <f>IF(OR($D6="1 dd",$D6="2 dd",$D6="3 dd",$D6="4 dd",$D6="6 dd",$D6="8 dd",$D6="12 dd",$D6="an",$D6="1 X"),VLOOKUP($D6,ber_tijden!$A$16:$X$26,ber_tijden!M$14,FALSE),"")</f>
        <v/>
      </c>
      <c r="T6" s="106" t="str">
        <f>IF(OR($D6="1 dd",$D6="2 dd",$D6="3 dd",$D6="4 dd",$D6="6 dd",$D6="8 dd",$D6="12 dd",$D6="an",$D6="1 X"),VLOOKUP($D6,ber_tijden!$A$16:$X$26,ber_tijden!N$14,FALSE),"")</f>
        <v/>
      </c>
      <c r="U6" s="15" t="str">
        <f>IF(OR($D6="1 dd",$D6="2 dd",$D6="3 dd",$D6="4 dd",$D6="6 dd",$D6="8 dd",$D6="12 dd",$D6="an",$D6="1 X"),VLOOKUP($D6,ber_tijden!$A$16:$X$26,ber_tijden!O$14,FALSE),"")</f>
        <v/>
      </c>
      <c r="V6" s="106" t="str">
        <f>IF(OR($D6="1 dd",$D6="2 dd",$D6="3 dd",$D6="4 dd",$D6="6 dd",$D6="8 dd",$D6="12 dd",$D6="an",$D6="1 X"),VLOOKUP($D6,ber_tijden!$A$16:$X$26,ber_tijden!P$14,FALSE),"")</f>
        <v/>
      </c>
      <c r="W6" s="15" t="str">
        <f>IF(OR($D6="1 dd",$D6="2 dd",$D6="3 dd",$D6="4 dd",$D6="6 dd",$D6="8 dd",$D6="12 dd",$D6="an",$D6="1 X"),VLOOKUP($D6,ber_tijden!$A$16:$X$26,ber_tijden!Q$14,FALSE),"")</f>
        <v/>
      </c>
      <c r="X6" s="106" t="str">
        <f>IF(OR($D6="1 dd",$D6="2 dd",$D6="3 dd",$D6="4 dd",$D6="6 dd",$D6="8 dd",$D6="12 dd",$D6="an",$D6="1 X"),VLOOKUP($D6,ber_tijden!$A$16:$X$26,ber_tijden!R$14,FALSE),"")</f>
        <v/>
      </c>
      <c r="Y6" s="15" t="str">
        <f>IF(OR($D6="1 dd",$D6="2 dd",$D6="3 dd",$D6="4 dd",$D6="6 dd",$D6="8 dd",$D6="12 dd",$D6="an",$D6="1 X"),VLOOKUP($D6,ber_tijden!$A$16:$X$26,ber_tijden!S$14,FALSE),"")</f>
        <v/>
      </c>
      <c r="Z6" s="106" t="str">
        <f>IF(OR($D6="1 dd",$D6="2 dd",$D6="3 dd",$D6="4 dd",$D6="6 dd",$D6="8 dd",$D6="12 dd",$D6="an",$D6="1 X"),VLOOKUP($D6,ber_tijden!$A$16:$X$26,ber_tijden!T$14,FALSE),"")</f>
        <v/>
      </c>
      <c r="AA6" s="15" t="str">
        <f>IF(OR($D6="1 dd",$D6="2 dd",$D6="3 dd",$D6="4 dd",$D6="6 dd",$D6="8 dd",$D6="12 dd",$D6="an",$D6="1 X"),VLOOKUP($D6,ber_tijden!$A$16:$X$26,ber_tijden!U$14,FALSE),"")</f>
        <v/>
      </c>
      <c r="AB6" s="106" t="str">
        <f>IF(OR($D6="1 dd",$D6="2 dd",$D6="3 dd",$D6="4 dd",$D6="6 dd",$D6="8 dd",$D6="12 dd",$D6="an",$D6="1 X"),VLOOKUP($D6,ber_tijden!$A$16:$X$26,ber_tijden!V$14,FALSE),"")</f>
        <v/>
      </c>
      <c r="AC6" s="15" t="str">
        <f>IF(OR($D6="1 dd",$D6="2 dd",$D6="3 dd",$D6="4 dd",$D6="6 dd",$D6="8 dd",$D6="12 dd",$D6="an",$D6="1 X"),VLOOKUP($D6,ber_tijden!$A$16:$X$26,ber_tijden!W$14,FALSE),"")</f>
        <v/>
      </c>
      <c r="AD6" s="106" t="str">
        <f>IF(OR($D6="1 dd",$D6="2 dd",$D6="3 dd",$D6="4 dd",$D6="6 dd",$D6="8 dd",$D6="12 dd",$D6="an",$D6="1 X"),VLOOKUP($D6,ber_tijden!$A$16:$X$26,ber_tijden!X$14,FALSE),"")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dd",$D7="6 dd",$D7="8 dd",$D7="12 dd",$D7="an",$D7="1 X"),VLOOKUP($D7,ber_tijden!$A$16:$X$26,ber_tijden!B$14,FALSE),"")</f>
        <v/>
      </c>
      <c r="I7" s="15" t="str">
        <f>IF(OR($D7="1 dd",$D7="2 dd",$D7="3 dd",$D7="4 dd",$D7="6 dd",$D7="8 dd",$D7="12 dd",$D7="an",$D7="1 X"),VLOOKUP($D7,ber_tijden!$A$16:$X$26,ber_tijden!C$14,FALSE),"")</f>
        <v/>
      </c>
      <c r="J7" s="106" t="str">
        <f>IF(OR($D7="1 dd",$D7="2 dd",$D7="3 dd",$D7="4 dd",$D7="6 dd",$D7="8 dd",$D7="12 dd",$D7="an",$D7="1 X"),VLOOKUP($D7,ber_tijden!$A$16:$X$26,ber_tijden!D$14,FALSE),"")</f>
        <v/>
      </c>
      <c r="K7" s="15" t="str">
        <f>IF(OR($D7="1 dd",$D7="2 dd",$D7="3 dd",$D7="4 dd",$D7="6 dd",$D7="8 dd",$D7="12 dd",$D7="an",$D7="1 X"),VLOOKUP($D7,ber_tijden!$A$16:$X$26,ber_tijden!E$14,FALSE),"")</f>
        <v/>
      </c>
      <c r="L7" s="106" t="str">
        <f>IF(OR($D7="1 dd",$D7="2 dd",$D7="3 dd",$D7="4 dd",$D7="6 dd",$D7="8 dd",$D7="12 dd",$D7="an",$D7="1 X"),VLOOKUP($D7,ber_tijden!$A$16:$X$26,ber_tijden!F$14,FALSE),"")</f>
        <v/>
      </c>
      <c r="M7" s="15" t="str">
        <f>IF(OR($D7="1 dd",$D7="2 dd",$D7="3 dd",$D7="4 dd",$D7="6 dd",$D7="8 dd",$D7="12 dd",$D7="an",$D7="1 X"),VLOOKUP($D7,ber_tijden!$A$16:$X$26,ber_tijden!G$14,FALSE),"")</f>
        <v/>
      </c>
      <c r="N7" s="106" t="str">
        <f>IF(OR($D7="1 dd",$D7="2 dd",$D7="3 dd",$D7="4 dd",$D7="6 dd",$D7="8 dd",$D7="12 dd",$D7="an",$D7="1 X"),VLOOKUP($D7,ber_tijden!$A$16:$X$26,ber_tijden!H$14,FALSE),"")</f>
        <v/>
      </c>
      <c r="O7" s="15" t="str">
        <f>IF(OR($D7="1 dd",$D7="2 dd",$D7="3 dd",$D7="4 dd",$D7="6 dd",$D7="8 dd",$D7="12 dd",$D7="an",$D7="1 X"),VLOOKUP($D7,ber_tijden!$A$16:$X$26,ber_tijden!I$14,FALSE),"")</f>
        <v/>
      </c>
      <c r="P7" s="106" t="str">
        <f>IF(OR($D7="1 dd",$D7="2 dd",$D7="3 dd",$D7="4 dd",$D7="6 dd",$D7="8 dd",$D7="12 dd",$D7="an",$D7="1 X"),VLOOKUP($D7,ber_tijden!$A$16:$X$26,ber_tijden!J$14,FALSE),"")</f>
        <v/>
      </c>
      <c r="Q7" s="15" t="str">
        <f>IF(OR($D7="1 dd",$D7="2 dd",$D7="3 dd",$D7="4 dd",$D7="6 dd",$D7="8 dd",$D7="12 dd",$D7="an",$D7="1 X"),VLOOKUP($D7,ber_tijden!$A$16:$X$26,ber_tijden!K$14,FALSE),"")</f>
        <v/>
      </c>
      <c r="R7" s="106" t="str">
        <f>IF(OR($D7="1 dd",$D7="2 dd",$D7="3 dd",$D7="4 dd",$D7="6 dd",$D7="8 dd",$D7="12 dd",$D7="an",$D7="1 X"),VLOOKUP($D7,ber_tijden!$A$16:$X$26,ber_tijden!L$14,FALSE),"")</f>
        <v/>
      </c>
      <c r="S7" s="15" t="str">
        <f>IF(OR($D7="1 dd",$D7="2 dd",$D7="3 dd",$D7="4 dd",$D7="6 dd",$D7="8 dd",$D7="12 dd",$D7="an",$D7="1 X"),VLOOKUP($D7,ber_tijden!$A$16:$X$26,ber_tijden!M$14,FALSE),"")</f>
        <v/>
      </c>
      <c r="T7" s="106" t="str">
        <f>IF(OR($D7="1 dd",$D7="2 dd",$D7="3 dd",$D7="4 dd",$D7="6 dd",$D7="8 dd",$D7="12 dd",$D7="an",$D7="1 X"),VLOOKUP($D7,ber_tijden!$A$16:$X$26,ber_tijden!N$14,FALSE),"")</f>
        <v/>
      </c>
      <c r="U7" s="15" t="str">
        <f>IF(OR($D7="1 dd",$D7="2 dd",$D7="3 dd",$D7="4 dd",$D7="6 dd",$D7="8 dd",$D7="12 dd",$D7="an",$D7="1 X"),VLOOKUP($D7,ber_tijden!$A$16:$X$26,ber_tijden!O$14,FALSE),"")</f>
        <v/>
      </c>
      <c r="V7" s="106" t="str">
        <f>IF(OR($D7="1 dd",$D7="2 dd",$D7="3 dd",$D7="4 dd",$D7="6 dd",$D7="8 dd",$D7="12 dd",$D7="an",$D7="1 X"),VLOOKUP($D7,ber_tijden!$A$16:$X$26,ber_tijden!P$14,FALSE),"")</f>
        <v/>
      </c>
      <c r="W7" s="15" t="str">
        <f>IF(OR($D7="1 dd",$D7="2 dd",$D7="3 dd",$D7="4 dd",$D7="6 dd",$D7="8 dd",$D7="12 dd",$D7="an",$D7="1 X"),VLOOKUP($D7,ber_tijden!$A$16:$X$26,ber_tijden!Q$14,FALSE),"")</f>
        <v/>
      </c>
      <c r="X7" s="106" t="str">
        <f>IF(OR($D7="1 dd",$D7="2 dd",$D7="3 dd",$D7="4 dd",$D7="6 dd",$D7="8 dd",$D7="12 dd",$D7="an",$D7="1 X"),VLOOKUP($D7,ber_tijden!$A$16:$X$26,ber_tijden!R$14,FALSE),"")</f>
        <v/>
      </c>
      <c r="Y7" s="15" t="str">
        <f>IF(OR($D7="1 dd",$D7="2 dd",$D7="3 dd",$D7="4 dd",$D7="6 dd",$D7="8 dd",$D7="12 dd",$D7="an",$D7="1 X"),VLOOKUP($D7,ber_tijden!$A$16:$X$26,ber_tijden!S$14,FALSE),"")</f>
        <v/>
      </c>
      <c r="Z7" s="106" t="str">
        <f>IF(OR($D7="1 dd",$D7="2 dd",$D7="3 dd",$D7="4 dd",$D7="6 dd",$D7="8 dd",$D7="12 dd",$D7="an",$D7="1 X"),VLOOKUP($D7,ber_tijden!$A$16:$X$26,ber_tijden!T$14,FALSE),"")</f>
        <v/>
      </c>
      <c r="AA7" s="15" t="str">
        <f>IF(OR($D7="1 dd",$D7="2 dd",$D7="3 dd",$D7="4 dd",$D7="6 dd",$D7="8 dd",$D7="12 dd",$D7="an",$D7="1 X"),VLOOKUP($D7,ber_tijden!$A$16:$X$26,ber_tijden!U$14,FALSE),"")</f>
        <v/>
      </c>
      <c r="AB7" s="106" t="str">
        <f>IF(OR($D7="1 dd",$D7="2 dd",$D7="3 dd",$D7="4 dd",$D7="6 dd",$D7="8 dd",$D7="12 dd",$D7="an",$D7="1 X"),VLOOKUP($D7,ber_tijden!$A$16:$X$26,ber_tijden!V$14,FALSE),"")</f>
        <v/>
      </c>
      <c r="AC7" s="15" t="str">
        <f>IF(OR($D7="1 dd",$D7="2 dd",$D7="3 dd",$D7="4 dd",$D7="6 dd",$D7="8 dd",$D7="12 dd",$D7="an",$D7="1 X"),VLOOKUP($D7,ber_tijden!$A$16:$X$26,ber_tijden!W$14,FALSE),"")</f>
        <v/>
      </c>
      <c r="AD7" s="106" t="str">
        <f>IF(OR($D7="1 dd",$D7="2 dd",$D7="3 dd",$D7="4 dd",$D7="6 dd",$D7="8 dd",$D7="12 dd",$D7="an",$D7="1 X"),VLOOKUP($D7,ber_tijden!$A$16:$X$26,ber_tijden!X$14,FALSE),"")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dd",$D8="6 dd",$D8="8 dd",$D8="12 dd",$D8="an",$D8="1 X"),VLOOKUP($D8,ber_tijden!$A$16:$X$26,ber_tijden!B$14,FALSE),"")</f>
        <v/>
      </c>
      <c r="I8" s="15" t="str">
        <f>IF(OR($D8="1 dd",$D8="2 dd",$D8="3 dd",$D8="4 dd",$D8="6 dd",$D8="8 dd",$D8="12 dd",$D8="an",$D8="1 X"),VLOOKUP($D8,ber_tijden!$A$16:$X$26,ber_tijden!C$14,FALSE),"")</f>
        <v/>
      </c>
      <c r="J8" s="106" t="str">
        <f>IF(OR($D8="1 dd",$D8="2 dd",$D8="3 dd",$D8="4 dd",$D8="6 dd",$D8="8 dd",$D8="12 dd",$D8="an",$D8="1 X"),VLOOKUP($D8,ber_tijden!$A$16:$X$26,ber_tijden!D$14,FALSE),"")</f>
        <v/>
      </c>
      <c r="K8" s="15" t="str">
        <f>IF(OR($D8="1 dd",$D8="2 dd",$D8="3 dd",$D8="4 dd",$D8="6 dd",$D8="8 dd",$D8="12 dd",$D8="an",$D8="1 X"),VLOOKUP($D8,ber_tijden!$A$16:$X$26,ber_tijden!E$14,FALSE),"")</f>
        <v/>
      </c>
      <c r="L8" s="106" t="str">
        <f>IF(OR($D8="1 dd",$D8="2 dd",$D8="3 dd",$D8="4 dd",$D8="6 dd",$D8="8 dd",$D8="12 dd",$D8="an",$D8="1 X"),VLOOKUP($D8,ber_tijden!$A$16:$X$26,ber_tijden!F$14,FALSE),"")</f>
        <v/>
      </c>
      <c r="M8" s="15" t="str">
        <f>IF(OR($D8="1 dd",$D8="2 dd",$D8="3 dd",$D8="4 dd",$D8="6 dd",$D8="8 dd",$D8="12 dd",$D8="an",$D8="1 X"),VLOOKUP($D8,ber_tijden!$A$16:$X$26,ber_tijden!G$14,FALSE),"")</f>
        <v/>
      </c>
      <c r="N8" s="106" t="str">
        <f>IF(OR($D8="1 dd",$D8="2 dd",$D8="3 dd",$D8="4 dd",$D8="6 dd",$D8="8 dd",$D8="12 dd",$D8="an",$D8="1 X"),VLOOKUP($D8,ber_tijden!$A$16:$X$26,ber_tijden!H$14,FALSE),"")</f>
        <v/>
      </c>
      <c r="O8" s="15" t="str">
        <f>IF(OR($D8="1 dd",$D8="2 dd",$D8="3 dd",$D8="4 dd",$D8="6 dd",$D8="8 dd",$D8="12 dd",$D8="an",$D8="1 X"),VLOOKUP($D8,ber_tijden!$A$16:$X$26,ber_tijden!I$14,FALSE),"")</f>
        <v/>
      </c>
      <c r="P8" s="106" t="str">
        <f>IF(OR($D8="1 dd",$D8="2 dd",$D8="3 dd",$D8="4 dd",$D8="6 dd",$D8="8 dd",$D8="12 dd",$D8="an",$D8="1 X"),VLOOKUP($D8,ber_tijden!$A$16:$X$26,ber_tijden!J$14,FALSE),"")</f>
        <v/>
      </c>
      <c r="Q8" s="15" t="str">
        <f>IF(OR($D8="1 dd",$D8="2 dd",$D8="3 dd",$D8="4 dd",$D8="6 dd",$D8="8 dd",$D8="12 dd",$D8="an",$D8="1 X"),VLOOKUP($D8,ber_tijden!$A$16:$X$26,ber_tijden!K$14,FALSE),"")</f>
        <v/>
      </c>
      <c r="R8" s="106" t="str">
        <f>IF(OR($D8="1 dd",$D8="2 dd",$D8="3 dd",$D8="4 dd",$D8="6 dd",$D8="8 dd",$D8="12 dd",$D8="an",$D8="1 X"),VLOOKUP($D8,ber_tijden!$A$16:$X$26,ber_tijden!L$14,FALSE),"")</f>
        <v/>
      </c>
      <c r="S8" s="15" t="str">
        <f>IF(OR($D8="1 dd",$D8="2 dd",$D8="3 dd",$D8="4 dd",$D8="6 dd",$D8="8 dd",$D8="12 dd",$D8="an",$D8="1 X"),VLOOKUP($D8,ber_tijden!$A$16:$X$26,ber_tijden!M$14,FALSE),"")</f>
        <v/>
      </c>
      <c r="T8" s="106" t="str">
        <f>IF(OR($D8="1 dd",$D8="2 dd",$D8="3 dd",$D8="4 dd",$D8="6 dd",$D8="8 dd",$D8="12 dd",$D8="an",$D8="1 X"),VLOOKUP($D8,ber_tijden!$A$16:$X$26,ber_tijden!N$14,FALSE),"")</f>
        <v/>
      </c>
      <c r="U8" s="15" t="str">
        <f>IF(OR($D8="1 dd",$D8="2 dd",$D8="3 dd",$D8="4 dd",$D8="6 dd",$D8="8 dd",$D8="12 dd",$D8="an",$D8="1 X"),VLOOKUP($D8,ber_tijden!$A$16:$X$26,ber_tijden!O$14,FALSE),"")</f>
        <v/>
      </c>
      <c r="V8" s="106" t="str">
        <f>IF(OR($D8="1 dd",$D8="2 dd",$D8="3 dd",$D8="4 dd",$D8="6 dd",$D8="8 dd",$D8="12 dd",$D8="an",$D8="1 X"),VLOOKUP($D8,ber_tijden!$A$16:$X$26,ber_tijden!P$14,FALSE),"")</f>
        <v/>
      </c>
      <c r="W8" s="15" t="str">
        <f>IF(OR($D8="1 dd",$D8="2 dd",$D8="3 dd",$D8="4 dd",$D8="6 dd",$D8="8 dd",$D8="12 dd",$D8="an",$D8="1 X"),VLOOKUP($D8,ber_tijden!$A$16:$X$26,ber_tijden!Q$14,FALSE),"")</f>
        <v/>
      </c>
      <c r="X8" s="106" t="str">
        <f>IF(OR($D8="1 dd",$D8="2 dd",$D8="3 dd",$D8="4 dd",$D8="6 dd",$D8="8 dd",$D8="12 dd",$D8="an",$D8="1 X"),VLOOKUP($D8,ber_tijden!$A$16:$X$26,ber_tijden!R$14,FALSE),"")</f>
        <v/>
      </c>
      <c r="Y8" s="15" t="str">
        <f>IF(OR($D8="1 dd",$D8="2 dd",$D8="3 dd",$D8="4 dd",$D8="6 dd",$D8="8 dd",$D8="12 dd",$D8="an",$D8="1 X"),VLOOKUP($D8,ber_tijden!$A$16:$X$26,ber_tijden!S$14,FALSE),"")</f>
        <v/>
      </c>
      <c r="Z8" s="106" t="str">
        <f>IF(OR($D8="1 dd",$D8="2 dd",$D8="3 dd",$D8="4 dd",$D8="6 dd",$D8="8 dd",$D8="12 dd",$D8="an",$D8="1 X"),VLOOKUP($D8,ber_tijden!$A$16:$X$26,ber_tijden!T$14,FALSE),"")</f>
        <v/>
      </c>
      <c r="AA8" s="15" t="str">
        <f>IF(OR($D8="1 dd",$D8="2 dd",$D8="3 dd",$D8="4 dd",$D8="6 dd",$D8="8 dd",$D8="12 dd",$D8="an",$D8="1 X"),VLOOKUP($D8,ber_tijden!$A$16:$X$26,ber_tijden!U$14,FALSE),"")</f>
        <v/>
      </c>
      <c r="AB8" s="106" t="str">
        <f>IF(OR($D8="1 dd",$D8="2 dd",$D8="3 dd",$D8="4 dd",$D8="6 dd",$D8="8 dd",$D8="12 dd",$D8="an",$D8="1 X"),VLOOKUP($D8,ber_tijden!$A$16:$X$26,ber_tijden!V$14,FALSE),"")</f>
        <v/>
      </c>
      <c r="AC8" s="15" t="str">
        <f>IF(OR($D8="1 dd",$D8="2 dd",$D8="3 dd",$D8="4 dd",$D8="6 dd",$D8="8 dd",$D8="12 dd",$D8="an",$D8="1 X"),VLOOKUP($D8,ber_tijden!$A$16:$X$26,ber_tijden!W$14,FALSE),"")</f>
        <v/>
      </c>
      <c r="AD8" s="106" t="str">
        <f>IF(OR($D8="1 dd",$D8="2 dd",$D8="3 dd",$D8="4 dd",$D8="6 dd",$D8="8 dd",$D8="12 dd",$D8="an",$D8="1 X"),VLOOKUP($D8,ber_tijden!$A$16:$X$26,ber_tijden!X$14,FALSE),"")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dd",$D9="6 dd",$D9="8 dd",$D9="12 dd",$D9="an",$D9="1 X"),VLOOKUP($D9,ber_tijden!$A$16:$X$26,ber_tijden!B$14,FALSE),"")</f>
        <v/>
      </c>
      <c r="I9" s="15" t="str">
        <f>IF(OR($D9="1 dd",$D9="2 dd",$D9="3 dd",$D9="4 dd",$D9="6 dd",$D9="8 dd",$D9="12 dd",$D9="an",$D9="1 X"),VLOOKUP($D9,ber_tijden!$A$16:$X$26,ber_tijden!C$14,FALSE),"")</f>
        <v/>
      </c>
      <c r="J9" s="106" t="str">
        <f>IF(OR($D9="1 dd",$D9="2 dd",$D9="3 dd",$D9="4 dd",$D9="6 dd",$D9="8 dd",$D9="12 dd",$D9="an",$D9="1 X"),VLOOKUP($D9,ber_tijden!$A$16:$X$26,ber_tijden!D$14,FALSE),"")</f>
        <v/>
      </c>
      <c r="K9" s="15" t="str">
        <f>IF(OR($D9="1 dd",$D9="2 dd",$D9="3 dd",$D9="4 dd",$D9="6 dd",$D9="8 dd",$D9="12 dd",$D9="an",$D9="1 X"),VLOOKUP($D9,ber_tijden!$A$16:$X$26,ber_tijden!E$14,FALSE),"")</f>
        <v/>
      </c>
      <c r="L9" s="106" t="str">
        <f>IF(OR($D9="1 dd",$D9="2 dd",$D9="3 dd",$D9="4 dd",$D9="6 dd",$D9="8 dd",$D9="12 dd",$D9="an",$D9="1 X"),VLOOKUP($D9,ber_tijden!$A$16:$X$26,ber_tijden!F$14,FALSE),"")</f>
        <v/>
      </c>
      <c r="M9" s="15" t="str">
        <f>IF(OR($D9="1 dd",$D9="2 dd",$D9="3 dd",$D9="4 dd",$D9="6 dd",$D9="8 dd",$D9="12 dd",$D9="an",$D9="1 X"),VLOOKUP($D9,ber_tijden!$A$16:$X$26,ber_tijden!G$14,FALSE),"")</f>
        <v/>
      </c>
      <c r="N9" s="106" t="str">
        <f>IF(OR($D9="1 dd",$D9="2 dd",$D9="3 dd",$D9="4 dd",$D9="6 dd",$D9="8 dd",$D9="12 dd",$D9="an",$D9="1 X"),VLOOKUP($D9,ber_tijden!$A$16:$X$26,ber_tijden!H$14,FALSE),"")</f>
        <v/>
      </c>
      <c r="O9" s="15" t="str">
        <f>IF(OR($D9="1 dd",$D9="2 dd",$D9="3 dd",$D9="4 dd",$D9="6 dd",$D9="8 dd",$D9="12 dd",$D9="an",$D9="1 X"),VLOOKUP($D9,ber_tijden!$A$16:$X$26,ber_tijden!I$14,FALSE),"")</f>
        <v/>
      </c>
      <c r="P9" s="106" t="str">
        <f>IF(OR($D9="1 dd",$D9="2 dd",$D9="3 dd",$D9="4 dd",$D9="6 dd",$D9="8 dd",$D9="12 dd",$D9="an",$D9="1 X"),VLOOKUP($D9,ber_tijden!$A$16:$X$26,ber_tijden!J$14,FALSE),"")</f>
        <v/>
      </c>
      <c r="Q9" s="15" t="str">
        <f>IF(OR($D9="1 dd",$D9="2 dd",$D9="3 dd",$D9="4 dd",$D9="6 dd",$D9="8 dd",$D9="12 dd",$D9="an",$D9="1 X"),VLOOKUP($D9,ber_tijden!$A$16:$X$26,ber_tijden!K$14,FALSE),"")</f>
        <v/>
      </c>
      <c r="R9" s="106" t="str">
        <f>IF(OR($D9="1 dd",$D9="2 dd",$D9="3 dd",$D9="4 dd",$D9="6 dd",$D9="8 dd",$D9="12 dd",$D9="an",$D9="1 X"),VLOOKUP($D9,ber_tijden!$A$16:$X$26,ber_tijden!L$14,FALSE),"")</f>
        <v/>
      </c>
      <c r="S9" s="15" t="str">
        <f>IF(OR($D9="1 dd",$D9="2 dd",$D9="3 dd",$D9="4 dd",$D9="6 dd",$D9="8 dd",$D9="12 dd",$D9="an",$D9="1 X"),VLOOKUP($D9,ber_tijden!$A$16:$X$26,ber_tijden!M$14,FALSE),"")</f>
        <v/>
      </c>
      <c r="T9" s="106" t="str">
        <f>IF(OR($D9="1 dd",$D9="2 dd",$D9="3 dd",$D9="4 dd",$D9="6 dd",$D9="8 dd",$D9="12 dd",$D9="an",$D9="1 X"),VLOOKUP($D9,ber_tijden!$A$16:$X$26,ber_tijden!N$14,FALSE),"")</f>
        <v/>
      </c>
      <c r="U9" s="15" t="str">
        <f>IF(OR($D9="1 dd",$D9="2 dd",$D9="3 dd",$D9="4 dd",$D9="6 dd",$D9="8 dd",$D9="12 dd",$D9="an",$D9="1 X"),VLOOKUP($D9,ber_tijden!$A$16:$X$26,ber_tijden!O$14,FALSE),"")</f>
        <v/>
      </c>
      <c r="V9" s="106" t="str">
        <f>IF(OR($D9="1 dd",$D9="2 dd",$D9="3 dd",$D9="4 dd",$D9="6 dd",$D9="8 dd",$D9="12 dd",$D9="an",$D9="1 X"),VLOOKUP($D9,ber_tijden!$A$16:$X$26,ber_tijden!P$14,FALSE),"")</f>
        <v/>
      </c>
      <c r="W9" s="15" t="str">
        <f>IF(OR($D9="1 dd",$D9="2 dd",$D9="3 dd",$D9="4 dd",$D9="6 dd",$D9="8 dd",$D9="12 dd",$D9="an",$D9="1 X"),VLOOKUP($D9,ber_tijden!$A$16:$X$26,ber_tijden!Q$14,FALSE),"")</f>
        <v/>
      </c>
      <c r="X9" s="106" t="str">
        <f>IF(OR($D9="1 dd",$D9="2 dd",$D9="3 dd",$D9="4 dd",$D9="6 dd",$D9="8 dd",$D9="12 dd",$D9="an",$D9="1 X"),VLOOKUP($D9,ber_tijden!$A$16:$X$26,ber_tijden!R$14,FALSE),"")</f>
        <v/>
      </c>
      <c r="Y9" s="15" t="str">
        <f>IF(OR($D9="1 dd",$D9="2 dd",$D9="3 dd",$D9="4 dd",$D9="6 dd",$D9="8 dd",$D9="12 dd",$D9="an",$D9="1 X"),VLOOKUP($D9,ber_tijden!$A$16:$X$26,ber_tijden!S$14,FALSE),"")</f>
        <v/>
      </c>
      <c r="Z9" s="106" t="str">
        <f>IF(OR($D9="1 dd",$D9="2 dd",$D9="3 dd",$D9="4 dd",$D9="6 dd",$D9="8 dd",$D9="12 dd",$D9="an",$D9="1 X"),VLOOKUP($D9,ber_tijden!$A$16:$X$26,ber_tijden!T$14,FALSE),"")</f>
        <v/>
      </c>
      <c r="AA9" s="15" t="str">
        <f>IF(OR($D9="1 dd",$D9="2 dd",$D9="3 dd",$D9="4 dd",$D9="6 dd",$D9="8 dd",$D9="12 dd",$D9="an",$D9="1 X"),VLOOKUP($D9,ber_tijden!$A$16:$X$26,ber_tijden!U$14,FALSE),"")</f>
        <v/>
      </c>
      <c r="AB9" s="106" t="str">
        <f>IF(OR($D9="1 dd",$D9="2 dd",$D9="3 dd",$D9="4 dd",$D9="6 dd",$D9="8 dd",$D9="12 dd",$D9="an",$D9="1 X"),VLOOKUP($D9,ber_tijden!$A$16:$X$26,ber_tijden!V$14,FALSE),"")</f>
        <v/>
      </c>
      <c r="AC9" s="15" t="str">
        <f>IF(OR($D9="1 dd",$D9="2 dd",$D9="3 dd",$D9="4 dd",$D9="6 dd",$D9="8 dd",$D9="12 dd",$D9="an",$D9="1 X"),VLOOKUP($D9,ber_tijden!$A$16:$X$26,ber_tijden!W$14,FALSE),"")</f>
        <v/>
      </c>
      <c r="AD9" s="106" t="str">
        <f>IF(OR($D9="1 dd",$D9="2 dd",$D9="3 dd",$D9="4 dd",$D9="6 dd",$D9="8 dd",$D9="12 dd",$D9="an",$D9="1 X"),VLOOKUP($D9,ber_tijden!$A$16:$X$26,ber_tijden!X$14,FALSE),"")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dd",$D10="6 dd",$D10="8 dd",$D10="12 dd",$D10="an",$D10="1 X"),VLOOKUP($D10,ber_tijden!$A$16:$X$26,ber_tijden!B$14,FALSE),"")</f>
        <v/>
      </c>
      <c r="I10" s="15" t="str">
        <f>IF(OR($D10="1 dd",$D10="2 dd",$D10="3 dd",$D10="4 dd",$D10="6 dd",$D10="8 dd",$D10="12 dd",$D10="an",$D10="1 X"),VLOOKUP($D10,ber_tijden!$A$16:$X$26,ber_tijden!C$14,FALSE),"")</f>
        <v/>
      </c>
      <c r="J10" s="106" t="str">
        <f>IF(OR($D10="1 dd",$D10="2 dd",$D10="3 dd",$D10="4 dd",$D10="6 dd",$D10="8 dd",$D10="12 dd",$D10="an",$D10="1 X"),VLOOKUP($D10,ber_tijden!$A$16:$X$26,ber_tijden!D$14,FALSE),"")</f>
        <v/>
      </c>
      <c r="K10" s="15" t="str">
        <f>IF(OR($D10="1 dd",$D10="2 dd",$D10="3 dd",$D10="4 dd",$D10="6 dd",$D10="8 dd",$D10="12 dd",$D10="an",$D10="1 X"),VLOOKUP($D10,ber_tijden!$A$16:$X$26,ber_tijden!E$14,FALSE),"")</f>
        <v/>
      </c>
      <c r="L10" s="106" t="str">
        <f>IF(OR($D10="1 dd",$D10="2 dd",$D10="3 dd",$D10="4 dd",$D10="6 dd",$D10="8 dd",$D10="12 dd",$D10="an",$D10="1 X"),VLOOKUP($D10,ber_tijden!$A$16:$X$26,ber_tijden!F$14,FALSE),"")</f>
        <v/>
      </c>
      <c r="M10" s="15" t="str">
        <f>IF(OR($D10="1 dd",$D10="2 dd",$D10="3 dd",$D10="4 dd",$D10="6 dd",$D10="8 dd",$D10="12 dd",$D10="an",$D10="1 X"),VLOOKUP($D10,ber_tijden!$A$16:$X$26,ber_tijden!G$14,FALSE),"")</f>
        <v/>
      </c>
      <c r="N10" s="106" t="str">
        <f>IF(OR($D10="1 dd",$D10="2 dd",$D10="3 dd",$D10="4 dd",$D10="6 dd",$D10="8 dd",$D10="12 dd",$D10="an",$D10="1 X"),VLOOKUP($D10,ber_tijden!$A$16:$X$26,ber_tijden!H$14,FALSE),"")</f>
        <v/>
      </c>
      <c r="O10" s="15" t="str">
        <f>IF(OR($D10="1 dd",$D10="2 dd",$D10="3 dd",$D10="4 dd",$D10="6 dd",$D10="8 dd",$D10="12 dd",$D10="an",$D10="1 X"),VLOOKUP($D10,ber_tijden!$A$16:$X$26,ber_tijden!I$14,FALSE),"")</f>
        <v/>
      </c>
      <c r="P10" s="106" t="str">
        <f>IF(OR($D10="1 dd",$D10="2 dd",$D10="3 dd",$D10="4 dd",$D10="6 dd",$D10="8 dd",$D10="12 dd",$D10="an",$D10="1 X"),VLOOKUP($D10,ber_tijden!$A$16:$X$26,ber_tijden!J$14,FALSE),"")</f>
        <v/>
      </c>
      <c r="Q10" s="15" t="str">
        <f>IF(OR($D10="1 dd",$D10="2 dd",$D10="3 dd",$D10="4 dd",$D10="6 dd",$D10="8 dd",$D10="12 dd",$D10="an",$D10="1 X"),VLOOKUP($D10,ber_tijden!$A$16:$X$26,ber_tijden!K$14,FALSE),"")</f>
        <v/>
      </c>
      <c r="R10" s="106" t="str">
        <f>IF(OR($D10="1 dd",$D10="2 dd",$D10="3 dd",$D10="4 dd",$D10="6 dd",$D10="8 dd",$D10="12 dd",$D10="an",$D10="1 X"),VLOOKUP($D10,ber_tijden!$A$16:$X$26,ber_tijden!L$14,FALSE),"")</f>
        <v/>
      </c>
      <c r="S10" s="15" t="str">
        <f>IF(OR($D10="1 dd",$D10="2 dd",$D10="3 dd",$D10="4 dd",$D10="6 dd",$D10="8 dd",$D10="12 dd",$D10="an",$D10="1 X"),VLOOKUP($D10,ber_tijden!$A$16:$X$26,ber_tijden!M$14,FALSE),"")</f>
        <v/>
      </c>
      <c r="T10" s="106" t="str">
        <f>IF(OR($D10="1 dd",$D10="2 dd",$D10="3 dd",$D10="4 dd",$D10="6 dd",$D10="8 dd",$D10="12 dd",$D10="an",$D10="1 X"),VLOOKUP($D10,ber_tijden!$A$16:$X$26,ber_tijden!N$14,FALSE),"")</f>
        <v/>
      </c>
      <c r="U10" s="15" t="str">
        <f>IF(OR($D10="1 dd",$D10="2 dd",$D10="3 dd",$D10="4 dd",$D10="6 dd",$D10="8 dd",$D10="12 dd",$D10="an",$D10="1 X"),VLOOKUP($D10,ber_tijden!$A$16:$X$26,ber_tijden!O$14,FALSE),"")</f>
        <v/>
      </c>
      <c r="V10" s="106" t="str">
        <f>IF(OR($D10="1 dd",$D10="2 dd",$D10="3 dd",$D10="4 dd",$D10="6 dd",$D10="8 dd",$D10="12 dd",$D10="an",$D10="1 X"),VLOOKUP($D10,ber_tijden!$A$16:$X$26,ber_tijden!P$14,FALSE),"")</f>
        <v/>
      </c>
      <c r="W10" s="15" t="str">
        <f>IF(OR($D10="1 dd",$D10="2 dd",$D10="3 dd",$D10="4 dd",$D10="6 dd",$D10="8 dd",$D10="12 dd",$D10="an",$D10="1 X"),VLOOKUP($D10,ber_tijden!$A$16:$X$26,ber_tijden!Q$14,FALSE),"")</f>
        <v/>
      </c>
      <c r="X10" s="106" t="str">
        <f>IF(OR($D10="1 dd",$D10="2 dd",$D10="3 dd",$D10="4 dd",$D10="6 dd",$D10="8 dd",$D10="12 dd",$D10="an",$D10="1 X"),VLOOKUP($D10,ber_tijden!$A$16:$X$26,ber_tijden!R$14,FALSE),"")</f>
        <v/>
      </c>
      <c r="Y10" s="15" t="str">
        <f>IF(OR($D10="1 dd",$D10="2 dd",$D10="3 dd",$D10="4 dd",$D10="6 dd",$D10="8 dd",$D10="12 dd",$D10="an",$D10="1 X"),VLOOKUP($D10,ber_tijden!$A$16:$X$26,ber_tijden!S$14,FALSE),"")</f>
        <v/>
      </c>
      <c r="Z10" s="106" t="str">
        <f>IF(OR($D10="1 dd",$D10="2 dd",$D10="3 dd",$D10="4 dd",$D10="6 dd",$D10="8 dd",$D10="12 dd",$D10="an",$D10="1 X"),VLOOKUP($D10,ber_tijden!$A$16:$X$26,ber_tijden!T$14,FALSE),"")</f>
        <v/>
      </c>
      <c r="AA10" s="15" t="str">
        <f>IF(OR($D10="1 dd",$D10="2 dd",$D10="3 dd",$D10="4 dd",$D10="6 dd",$D10="8 dd",$D10="12 dd",$D10="an",$D10="1 X"),VLOOKUP($D10,ber_tijden!$A$16:$X$26,ber_tijden!U$14,FALSE),"")</f>
        <v/>
      </c>
      <c r="AB10" s="106" t="str">
        <f>IF(OR($D10="1 dd",$D10="2 dd",$D10="3 dd",$D10="4 dd",$D10="6 dd",$D10="8 dd",$D10="12 dd",$D10="an",$D10="1 X"),VLOOKUP($D10,ber_tijden!$A$16:$X$26,ber_tijden!V$14,FALSE),"")</f>
        <v/>
      </c>
      <c r="AC10" s="15" t="str">
        <f>IF(OR($D10="1 dd",$D10="2 dd",$D10="3 dd",$D10="4 dd",$D10="6 dd",$D10="8 dd",$D10="12 dd",$D10="an",$D10="1 X"),VLOOKUP($D10,ber_tijden!$A$16:$X$26,ber_tijden!W$14,FALSE),"")</f>
        <v/>
      </c>
      <c r="AD10" s="106" t="str">
        <f>IF(OR($D10="1 dd",$D10="2 dd",$D10="3 dd",$D10="4 dd",$D10="6 dd",$D10="8 dd",$D10="12 dd",$D10="an",$D10="1 X"),VLOOKUP($D10,ber_tijden!$A$16:$X$26,ber_tijden!X$14,FALSE),"")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dd",$D11="6 dd",$D11="8 dd",$D11="12 dd",$D11="an",$D11="1 X"),VLOOKUP($D11,ber_tijden!$A$16:$X$26,ber_tijden!B$14,FALSE),"")</f>
        <v/>
      </c>
      <c r="I11" s="15" t="str">
        <f>IF(OR($D11="1 dd",$D11="2 dd",$D11="3 dd",$D11="4 dd",$D11="6 dd",$D11="8 dd",$D11="12 dd",$D11="an",$D11="1 X"),VLOOKUP($D11,ber_tijden!$A$16:$X$26,ber_tijden!C$14,FALSE),"")</f>
        <v/>
      </c>
      <c r="J11" s="106" t="str">
        <f>IF(OR($D11="1 dd",$D11="2 dd",$D11="3 dd",$D11="4 dd",$D11="6 dd",$D11="8 dd",$D11="12 dd",$D11="an",$D11="1 X"),VLOOKUP($D11,ber_tijden!$A$16:$X$26,ber_tijden!D$14,FALSE),"")</f>
        <v/>
      </c>
      <c r="K11" s="15" t="str">
        <f>IF(OR($D11="1 dd",$D11="2 dd",$D11="3 dd",$D11="4 dd",$D11="6 dd",$D11="8 dd",$D11="12 dd",$D11="an",$D11="1 X"),VLOOKUP($D11,ber_tijden!$A$16:$X$26,ber_tijden!E$14,FALSE),"")</f>
        <v/>
      </c>
      <c r="L11" s="106" t="str">
        <f>IF(OR($D11="1 dd",$D11="2 dd",$D11="3 dd",$D11="4 dd",$D11="6 dd",$D11="8 dd",$D11="12 dd",$D11="an",$D11="1 X"),VLOOKUP($D11,ber_tijden!$A$16:$X$26,ber_tijden!F$14,FALSE),"")</f>
        <v/>
      </c>
      <c r="M11" s="15" t="str">
        <f>IF(OR($D11="1 dd",$D11="2 dd",$D11="3 dd",$D11="4 dd",$D11="6 dd",$D11="8 dd",$D11="12 dd",$D11="an",$D11="1 X"),VLOOKUP($D11,ber_tijden!$A$16:$X$26,ber_tijden!G$14,FALSE),"")</f>
        <v/>
      </c>
      <c r="N11" s="106" t="str">
        <f>IF(OR($D11="1 dd",$D11="2 dd",$D11="3 dd",$D11="4 dd",$D11="6 dd",$D11="8 dd",$D11="12 dd",$D11="an",$D11="1 X"),VLOOKUP($D11,ber_tijden!$A$16:$X$26,ber_tijden!H$14,FALSE),"")</f>
        <v/>
      </c>
      <c r="O11" s="15" t="str">
        <f>IF(OR($D11="1 dd",$D11="2 dd",$D11="3 dd",$D11="4 dd",$D11="6 dd",$D11="8 dd",$D11="12 dd",$D11="an",$D11="1 X"),VLOOKUP($D11,ber_tijden!$A$16:$X$26,ber_tijden!I$14,FALSE),"")</f>
        <v/>
      </c>
      <c r="P11" s="106" t="str">
        <f>IF(OR($D11="1 dd",$D11="2 dd",$D11="3 dd",$D11="4 dd",$D11="6 dd",$D11="8 dd",$D11="12 dd",$D11="an",$D11="1 X"),VLOOKUP($D11,ber_tijden!$A$16:$X$26,ber_tijden!J$14,FALSE),"")</f>
        <v/>
      </c>
      <c r="Q11" s="15" t="str">
        <f>IF(OR($D11="1 dd",$D11="2 dd",$D11="3 dd",$D11="4 dd",$D11="6 dd",$D11="8 dd",$D11="12 dd",$D11="an",$D11="1 X"),VLOOKUP($D11,ber_tijden!$A$16:$X$26,ber_tijden!K$14,FALSE),"")</f>
        <v/>
      </c>
      <c r="R11" s="106" t="str">
        <f>IF(OR($D11="1 dd",$D11="2 dd",$D11="3 dd",$D11="4 dd",$D11="6 dd",$D11="8 dd",$D11="12 dd",$D11="an",$D11="1 X"),VLOOKUP($D11,ber_tijden!$A$16:$X$26,ber_tijden!L$14,FALSE),"")</f>
        <v/>
      </c>
      <c r="S11" s="15" t="str">
        <f>IF(OR($D11="1 dd",$D11="2 dd",$D11="3 dd",$D11="4 dd",$D11="6 dd",$D11="8 dd",$D11="12 dd",$D11="an",$D11="1 X"),VLOOKUP($D11,ber_tijden!$A$16:$X$26,ber_tijden!M$14,FALSE),"")</f>
        <v/>
      </c>
      <c r="T11" s="106" t="str">
        <f>IF(OR($D11="1 dd",$D11="2 dd",$D11="3 dd",$D11="4 dd",$D11="6 dd",$D11="8 dd",$D11="12 dd",$D11="an",$D11="1 X"),VLOOKUP($D11,ber_tijden!$A$16:$X$26,ber_tijden!N$14,FALSE),"")</f>
        <v/>
      </c>
      <c r="U11" s="15" t="str">
        <f>IF(OR($D11="1 dd",$D11="2 dd",$D11="3 dd",$D11="4 dd",$D11="6 dd",$D11="8 dd",$D11="12 dd",$D11="an",$D11="1 X"),VLOOKUP($D11,ber_tijden!$A$16:$X$26,ber_tijden!O$14,FALSE),"")</f>
        <v/>
      </c>
      <c r="V11" s="106" t="str">
        <f>IF(OR($D11="1 dd",$D11="2 dd",$D11="3 dd",$D11="4 dd",$D11="6 dd",$D11="8 dd",$D11="12 dd",$D11="an",$D11="1 X"),VLOOKUP($D11,ber_tijden!$A$16:$X$26,ber_tijden!P$14,FALSE),"")</f>
        <v/>
      </c>
      <c r="W11" s="15" t="str">
        <f>IF(OR($D11="1 dd",$D11="2 dd",$D11="3 dd",$D11="4 dd",$D11="6 dd",$D11="8 dd",$D11="12 dd",$D11="an",$D11="1 X"),VLOOKUP($D11,ber_tijden!$A$16:$X$26,ber_tijden!Q$14,FALSE),"")</f>
        <v/>
      </c>
      <c r="X11" s="106" t="str">
        <f>IF(OR($D11="1 dd",$D11="2 dd",$D11="3 dd",$D11="4 dd",$D11="6 dd",$D11="8 dd",$D11="12 dd",$D11="an",$D11="1 X"),VLOOKUP($D11,ber_tijden!$A$16:$X$26,ber_tijden!R$14,FALSE),"")</f>
        <v/>
      </c>
      <c r="Y11" s="15" t="str">
        <f>IF(OR($D11="1 dd",$D11="2 dd",$D11="3 dd",$D11="4 dd",$D11="6 dd",$D11="8 dd",$D11="12 dd",$D11="an",$D11="1 X"),VLOOKUP($D11,ber_tijden!$A$16:$X$26,ber_tijden!S$14,FALSE),"")</f>
        <v/>
      </c>
      <c r="Z11" s="106" t="str">
        <f>IF(OR($D11="1 dd",$D11="2 dd",$D11="3 dd",$D11="4 dd",$D11="6 dd",$D11="8 dd",$D11="12 dd",$D11="an",$D11="1 X"),VLOOKUP($D11,ber_tijden!$A$16:$X$26,ber_tijden!T$14,FALSE),"")</f>
        <v/>
      </c>
      <c r="AA11" s="15" t="str">
        <f>IF(OR($D11="1 dd",$D11="2 dd",$D11="3 dd",$D11="4 dd",$D11="6 dd",$D11="8 dd",$D11="12 dd",$D11="an",$D11="1 X"),VLOOKUP($D11,ber_tijden!$A$16:$X$26,ber_tijden!U$14,FALSE),"")</f>
        <v/>
      </c>
      <c r="AB11" s="106" t="str">
        <f>IF(OR($D11="1 dd",$D11="2 dd",$D11="3 dd",$D11="4 dd",$D11="6 dd",$D11="8 dd",$D11="12 dd",$D11="an",$D11="1 X"),VLOOKUP($D11,ber_tijden!$A$16:$X$26,ber_tijden!V$14,FALSE),"")</f>
        <v/>
      </c>
      <c r="AC11" s="15" t="str">
        <f>IF(OR($D11="1 dd",$D11="2 dd",$D11="3 dd",$D11="4 dd",$D11="6 dd",$D11="8 dd",$D11="12 dd",$D11="an",$D11="1 X"),VLOOKUP($D11,ber_tijden!$A$16:$X$26,ber_tijden!W$14,FALSE),"")</f>
        <v/>
      </c>
      <c r="AD11" s="106" t="str">
        <f>IF(OR($D11="1 dd",$D11="2 dd",$D11="3 dd",$D11="4 dd",$D11="6 dd",$D11="8 dd",$D11="12 dd",$D11="an",$D11="1 X"),VLOOKUP($D11,ber_tijden!$A$16:$X$26,ber_tijden!X$14,FALSE),"")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dd",$D12="6 dd",$D12="8 dd",$D12="12 dd",$D12="an",$D12="1 X"),VLOOKUP($D12,ber_tijden!$A$16:$X$26,ber_tijden!B$14,FALSE),"")</f>
        <v/>
      </c>
      <c r="I12" s="15" t="str">
        <f>IF(OR($D12="1 dd",$D12="2 dd",$D12="3 dd",$D12="4 dd",$D12="6 dd",$D12="8 dd",$D12="12 dd",$D12="an",$D12="1 X"),VLOOKUP($D12,ber_tijden!$A$16:$X$26,ber_tijden!C$14,FALSE),"")</f>
        <v/>
      </c>
      <c r="J12" s="106" t="str">
        <f>IF(OR($D12="1 dd",$D12="2 dd",$D12="3 dd",$D12="4 dd",$D12="6 dd",$D12="8 dd",$D12="12 dd",$D12="an",$D12="1 X"),VLOOKUP($D12,ber_tijden!$A$16:$X$26,ber_tijden!D$14,FALSE),"")</f>
        <v/>
      </c>
      <c r="K12" s="15" t="str">
        <f>IF(OR($D12="1 dd",$D12="2 dd",$D12="3 dd",$D12="4 dd",$D12="6 dd",$D12="8 dd",$D12="12 dd",$D12="an",$D12="1 X"),VLOOKUP($D12,ber_tijden!$A$16:$X$26,ber_tijden!E$14,FALSE),"")</f>
        <v/>
      </c>
      <c r="L12" s="106" t="str">
        <f>IF(OR($D12="1 dd",$D12="2 dd",$D12="3 dd",$D12="4 dd",$D12="6 dd",$D12="8 dd",$D12="12 dd",$D12="an",$D12="1 X"),VLOOKUP($D12,ber_tijden!$A$16:$X$26,ber_tijden!F$14,FALSE),"")</f>
        <v/>
      </c>
      <c r="M12" s="15" t="str">
        <f>IF(OR($D12="1 dd",$D12="2 dd",$D12="3 dd",$D12="4 dd",$D12="6 dd",$D12="8 dd",$D12="12 dd",$D12="an",$D12="1 X"),VLOOKUP($D12,ber_tijden!$A$16:$X$26,ber_tijden!G$14,FALSE),"")</f>
        <v/>
      </c>
      <c r="N12" s="106" t="str">
        <f>IF(OR($D12="1 dd",$D12="2 dd",$D12="3 dd",$D12="4 dd",$D12="6 dd",$D12="8 dd",$D12="12 dd",$D12="an",$D12="1 X"),VLOOKUP($D12,ber_tijden!$A$16:$X$26,ber_tijden!H$14,FALSE),"")</f>
        <v/>
      </c>
      <c r="O12" s="15" t="str">
        <f>IF(OR($D12="1 dd",$D12="2 dd",$D12="3 dd",$D12="4 dd",$D12="6 dd",$D12="8 dd",$D12="12 dd",$D12="an",$D12="1 X"),VLOOKUP($D12,ber_tijden!$A$16:$X$26,ber_tijden!I$14,FALSE),"")</f>
        <v/>
      </c>
      <c r="P12" s="106" t="str">
        <f>IF(OR($D12="1 dd",$D12="2 dd",$D12="3 dd",$D12="4 dd",$D12="6 dd",$D12="8 dd",$D12="12 dd",$D12="an",$D12="1 X"),VLOOKUP($D12,ber_tijden!$A$16:$X$26,ber_tijden!J$14,FALSE),"")</f>
        <v/>
      </c>
      <c r="Q12" s="15" t="str">
        <f>IF(OR($D12="1 dd",$D12="2 dd",$D12="3 dd",$D12="4 dd",$D12="6 dd",$D12="8 dd",$D12="12 dd",$D12="an",$D12="1 X"),VLOOKUP($D12,ber_tijden!$A$16:$X$26,ber_tijden!K$14,FALSE),"")</f>
        <v/>
      </c>
      <c r="R12" s="106" t="str">
        <f>IF(OR($D12="1 dd",$D12="2 dd",$D12="3 dd",$D12="4 dd",$D12="6 dd",$D12="8 dd",$D12="12 dd",$D12="an",$D12="1 X"),VLOOKUP($D12,ber_tijden!$A$16:$X$26,ber_tijden!L$14,FALSE),"")</f>
        <v/>
      </c>
      <c r="S12" s="15" t="str">
        <f>IF(OR($D12="1 dd",$D12="2 dd",$D12="3 dd",$D12="4 dd",$D12="6 dd",$D12="8 dd",$D12="12 dd",$D12="an",$D12="1 X"),VLOOKUP($D12,ber_tijden!$A$16:$X$26,ber_tijden!M$14,FALSE),"")</f>
        <v/>
      </c>
      <c r="T12" s="106" t="str">
        <f>IF(OR($D12="1 dd",$D12="2 dd",$D12="3 dd",$D12="4 dd",$D12="6 dd",$D12="8 dd",$D12="12 dd",$D12="an",$D12="1 X"),VLOOKUP($D12,ber_tijden!$A$16:$X$26,ber_tijden!N$14,FALSE),"")</f>
        <v/>
      </c>
      <c r="U12" s="15" t="str">
        <f>IF(OR($D12="1 dd",$D12="2 dd",$D12="3 dd",$D12="4 dd",$D12="6 dd",$D12="8 dd",$D12="12 dd",$D12="an",$D12="1 X"),VLOOKUP($D12,ber_tijden!$A$16:$X$26,ber_tijden!O$14,FALSE),"")</f>
        <v/>
      </c>
      <c r="V12" s="106" t="str">
        <f>IF(OR($D12="1 dd",$D12="2 dd",$D12="3 dd",$D12="4 dd",$D12="6 dd",$D12="8 dd",$D12="12 dd",$D12="an",$D12="1 X"),VLOOKUP($D12,ber_tijden!$A$16:$X$26,ber_tijden!P$14,FALSE),"")</f>
        <v/>
      </c>
      <c r="W12" s="15" t="str">
        <f>IF(OR($D12="1 dd",$D12="2 dd",$D12="3 dd",$D12="4 dd",$D12="6 dd",$D12="8 dd",$D12="12 dd",$D12="an",$D12="1 X"),VLOOKUP($D12,ber_tijden!$A$16:$X$26,ber_tijden!Q$14,FALSE),"")</f>
        <v/>
      </c>
      <c r="X12" s="106" t="str">
        <f>IF(OR($D12="1 dd",$D12="2 dd",$D12="3 dd",$D12="4 dd",$D12="6 dd",$D12="8 dd",$D12="12 dd",$D12="an",$D12="1 X"),VLOOKUP($D12,ber_tijden!$A$16:$X$26,ber_tijden!R$14,FALSE),"")</f>
        <v/>
      </c>
      <c r="Y12" s="15" t="str">
        <f>IF(OR($D12="1 dd",$D12="2 dd",$D12="3 dd",$D12="4 dd",$D12="6 dd",$D12="8 dd",$D12="12 dd",$D12="an",$D12="1 X"),VLOOKUP($D12,ber_tijden!$A$16:$X$26,ber_tijden!S$14,FALSE),"")</f>
        <v/>
      </c>
      <c r="Z12" s="106" t="str">
        <f>IF(OR($D12="1 dd",$D12="2 dd",$D12="3 dd",$D12="4 dd",$D12="6 dd",$D12="8 dd",$D12="12 dd",$D12="an",$D12="1 X"),VLOOKUP($D12,ber_tijden!$A$16:$X$26,ber_tijden!T$14,FALSE),"")</f>
        <v/>
      </c>
      <c r="AA12" s="15" t="str">
        <f>IF(OR($D12="1 dd",$D12="2 dd",$D12="3 dd",$D12="4 dd",$D12="6 dd",$D12="8 dd",$D12="12 dd",$D12="an",$D12="1 X"),VLOOKUP($D12,ber_tijden!$A$16:$X$26,ber_tijden!U$14,FALSE),"")</f>
        <v/>
      </c>
      <c r="AB12" s="106" t="str">
        <f>IF(OR($D12="1 dd",$D12="2 dd",$D12="3 dd",$D12="4 dd",$D12="6 dd",$D12="8 dd",$D12="12 dd",$D12="an",$D12="1 X"),VLOOKUP($D12,ber_tijden!$A$16:$X$26,ber_tijden!V$14,FALSE),"")</f>
        <v/>
      </c>
      <c r="AC12" s="15" t="str">
        <f>IF(OR($D12="1 dd",$D12="2 dd",$D12="3 dd",$D12="4 dd",$D12="6 dd",$D12="8 dd",$D12="12 dd",$D12="an",$D12="1 X"),VLOOKUP($D12,ber_tijden!$A$16:$X$26,ber_tijden!W$14,FALSE),"")</f>
        <v/>
      </c>
      <c r="AD12" s="106" t="str">
        <f>IF(OR($D12="1 dd",$D12="2 dd",$D12="3 dd",$D12="4 dd",$D12="6 dd",$D12="8 dd",$D12="12 dd",$D12="an",$D12="1 X"),VLOOKUP($D12,ber_tijden!$A$16:$X$26,ber_tijden!X$14,FALSE),"")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dd",$D13="6 dd",$D13="8 dd",$D13="12 dd",$D13="an",$D13="1 X"),VLOOKUP($D13,ber_tijden!$A$16:$X$26,ber_tijden!B$14,FALSE),"")</f>
        <v/>
      </c>
      <c r="I13" s="15" t="str">
        <f>IF(OR($D13="1 dd",$D13="2 dd",$D13="3 dd",$D13="4 dd",$D13="6 dd",$D13="8 dd",$D13="12 dd",$D13="an",$D13="1 X"),VLOOKUP($D13,ber_tijden!$A$16:$X$26,ber_tijden!C$14,FALSE),"")</f>
        <v/>
      </c>
      <c r="J13" s="106" t="str">
        <f>IF(OR($D13="1 dd",$D13="2 dd",$D13="3 dd",$D13="4 dd",$D13="6 dd",$D13="8 dd",$D13="12 dd",$D13="an",$D13="1 X"),VLOOKUP($D13,ber_tijden!$A$16:$X$26,ber_tijden!D$14,FALSE),"")</f>
        <v/>
      </c>
      <c r="K13" s="15" t="str">
        <f>IF(OR($D13="1 dd",$D13="2 dd",$D13="3 dd",$D13="4 dd",$D13="6 dd",$D13="8 dd",$D13="12 dd",$D13="an",$D13="1 X"),VLOOKUP($D13,ber_tijden!$A$16:$X$26,ber_tijden!E$14,FALSE),"")</f>
        <v/>
      </c>
      <c r="L13" s="106" t="str">
        <f>IF(OR($D13="1 dd",$D13="2 dd",$D13="3 dd",$D13="4 dd",$D13="6 dd",$D13="8 dd",$D13="12 dd",$D13="an",$D13="1 X"),VLOOKUP($D13,ber_tijden!$A$16:$X$26,ber_tijden!F$14,FALSE),"")</f>
        <v/>
      </c>
      <c r="M13" s="15" t="str">
        <f>IF(OR($D13="1 dd",$D13="2 dd",$D13="3 dd",$D13="4 dd",$D13="6 dd",$D13="8 dd",$D13="12 dd",$D13="an",$D13="1 X"),VLOOKUP($D13,ber_tijden!$A$16:$X$26,ber_tijden!G$14,FALSE),"")</f>
        <v/>
      </c>
      <c r="N13" s="106" t="str">
        <f>IF(OR($D13="1 dd",$D13="2 dd",$D13="3 dd",$D13="4 dd",$D13="6 dd",$D13="8 dd",$D13="12 dd",$D13="an",$D13="1 X"),VLOOKUP($D13,ber_tijden!$A$16:$X$26,ber_tijden!H$14,FALSE),"")</f>
        <v/>
      </c>
      <c r="O13" s="15" t="str">
        <f>IF(OR($D13="1 dd",$D13="2 dd",$D13="3 dd",$D13="4 dd",$D13="6 dd",$D13="8 dd",$D13="12 dd",$D13="an",$D13="1 X"),VLOOKUP($D13,ber_tijden!$A$16:$X$26,ber_tijden!I$14,FALSE),"")</f>
        <v/>
      </c>
      <c r="P13" s="106" t="str">
        <f>IF(OR($D13="1 dd",$D13="2 dd",$D13="3 dd",$D13="4 dd",$D13="6 dd",$D13="8 dd",$D13="12 dd",$D13="an",$D13="1 X"),VLOOKUP($D13,ber_tijden!$A$16:$X$26,ber_tijden!J$14,FALSE),"")</f>
        <v/>
      </c>
      <c r="Q13" s="15" t="str">
        <f>IF(OR($D13="1 dd",$D13="2 dd",$D13="3 dd",$D13="4 dd",$D13="6 dd",$D13="8 dd",$D13="12 dd",$D13="an",$D13="1 X"),VLOOKUP($D13,ber_tijden!$A$16:$X$26,ber_tijden!K$14,FALSE),"")</f>
        <v/>
      </c>
      <c r="R13" s="106" t="str">
        <f>IF(OR($D13="1 dd",$D13="2 dd",$D13="3 dd",$D13="4 dd",$D13="6 dd",$D13="8 dd",$D13="12 dd",$D13="an",$D13="1 X"),VLOOKUP($D13,ber_tijden!$A$16:$X$26,ber_tijden!L$14,FALSE),"")</f>
        <v/>
      </c>
      <c r="S13" s="15" t="str">
        <f>IF(OR($D13="1 dd",$D13="2 dd",$D13="3 dd",$D13="4 dd",$D13="6 dd",$D13="8 dd",$D13="12 dd",$D13="an",$D13="1 X"),VLOOKUP($D13,ber_tijden!$A$16:$X$26,ber_tijden!M$14,FALSE),"")</f>
        <v/>
      </c>
      <c r="T13" s="106" t="str">
        <f>IF(OR($D13="1 dd",$D13="2 dd",$D13="3 dd",$D13="4 dd",$D13="6 dd",$D13="8 dd",$D13="12 dd",$D13="an",$D13="1 X"),VLOOKUP($D13,ber_tijden!$A$16:$X$26,ber_tijden!N$14,FALSE),"")</f>
        <v/>
      </c>
      <c r="U13" s="15" t="str">
        <f>IF(OR($D13="1 dd",$D13="2 dd",$D13="3 dd",$D13="4 dd",$D13="6 dd",$D13="8 dd",$D13="12 dd",$D13="an",$D13="1 X"),VLOOKUP($D13,ber_tijden!$A$16:$X$26,ber_tijden!O$14,FALSE),"")</f>
        <v/>
      </c>
      <c r="V13" s="106" t="str">
        <f>IF(OR($D13="1 dd",$D13="2 dd",$D13="3 dd",$D13="4 dd",$D13="6 dd",$D13="8 dd",$D13="12 dd",$D13="an",$D13="1 X"),VLOOKUP($D13,ber_tijden!$A$16:$X$26,ber_tijden!P$14,FALSE),"")</f>
        <v/>
      </c>
      <c r="W13" s="15" t="str">
        <f>IF(OR($D13="1 dd",$D13="2 dd",$D13="3 dd",$D13="4 dd",$D13="6 dd",$D13="8 dd",$D13="12 dd",$D13="an",$D13="1 X"),VLOOKUP($D13,ber_tijden!$A$16:$X$26,ber_tijden!Q$14,FALSE),"")</f>
        <v/>
      </c>
      <c r="X13" s="106" t="str">
        <f>IF(OR($D13="1 dd",$D13="2 dd",$D13="3 dd",$D13="4 dd",$D13="6 dd",$D13="8 dd",$D13="12 dd",$D13="an",$D13="1 X"),VLOOKUP($D13,ber_tijden!$A$16:$X$26,ber_tijden!R$14,FALSE),"")</f>
        <v/>
      </c>
      <c r="Y13" s="15" t="str">
        <f>IF(OR($D13="1 dd",$D13="2 dd",$D13="3 dd",$D13="4 dd",$D13="6 dd",$D13="8 dd",$D13="12 dd",$D13="an",$D13="1 X"),VLOOKUP($D13,ber_tijden!$A$16:$X$26,ber_tijden!S$14,FALSE),"")</f>
        <v/>
      </c>
      <c r="Z13" s="106" t="str">
        <f>IF(OR($D13="1 dd",$D13="2 dd",$D13="3 dd",$D13="4 dd",$D13="6 dd",$D13="8 dd",$D13="12 dd",$D13="an",$D13="1 X"),VLOOKUP($D13,ber_tijden!$A$16:$X$26,ber_tijden!T$14,FALSE),"")</f>
        <v/>
      </c>
      <c r="AA13" s="15" t="str">
        <f>IF(OR($D13="1 dd",$D13="2 dd",$D13="3 dd",$D13="4 dd",$D13="6 dd",$D13="8 dd",$D13="12 dd",$D13="an",$D13="1 X"),VLOOKUP($D13,ber_tijden!$A$16:$X$26,ber_tijden!U$14,FALSE),"")</f>
        <v/>
      </c>
      <c r="AB13" s="106" t="str">
        <f>IF(OR($D13="1 dd",$D13="2 dd",$D13="3 dd",$D13="4 dd",$D13="6 dd",$D13="8 dd",$D13="12 dd",$D13="an",$D13="1 X"),VLOOKUP($D13,ber_tijden!$A$16:$X$26,ber_tijden!V$14,FALSE),"")</f>
        <v/>
      </c>
      <c r="AC13" s="15" t="str">
        <f>IF(OR($D13="1 dd",$D13="2 dd",$D13="3 dd",$D13="4 dd",$D13="6 dd",$D13="8 dd",$D13="12 dd",$D13="an",$D13="1 X"),VLOOKUP($D13,ber_tijden!$A$16:$X$26,ber_tijden!W$14,FALSE),"")</f>
        <v/>
      </c>
      <c r="AD13" s="106" t="str">
        <f>IF(OR($D13="1 dd",$D13="2 dd",$D13="3 dd",$D13="4 dd",$D13="6 dd",$D13="8 dd",$D13="12 dd",$D13="an",$D13="1 X"),VLOOKUP($D13,ber_tijden!$A$16:$X$26,ber_tijden!X$14,FALSE),"")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IF(ber_Med_disc!C22&lt;&gt;"",IF(ber_Med_disc!C22&gt;1,TRIM(ber_Med_disc!C22)&amp;", "&amp;ber_Opm!C36&amp;" ("&amp;ber_Med_disc!M22&amp;" "&amp;ber_Med_disc!F22&amp;"/kg/dag)",TRIM(ber_Med_disc!C22)&amp;", "&amp;ber_Opm!C36),"")</f>
        <v/>
      </c>
      <c r="D23" s="232" t="str">
        <f>IF(Med_disc!H46&lt;&gt;"",Med_disc!H46,"")</f>
        <v/>
      </c>
      <c r="E23" s="233" t="str">
        <f>IF(AND(D23&lt;&gt;"",D23&lt;&gt;"STOP"),ber_Med_disc!H22&amp;" "&amp;ber_Med_disc!F22,"")</f>
        <v/>
      </c>
      <c r="F23" s="233" t="str">
        <f>IF(AND(D23&lt;&gt;"",D23&lt;&gt;"STOP"),ber_Med_disc!L22," ")</f>
        <v xml:space="preserve"> </v>
      </c>
      <c r="G23" s="233" t="str">
        <f>IF(Med_disc!L45&lt;&gt;"",Med_disc!L45&amp;" "&amp;Med_disc!M45&amp;" "&amp;INDEX(ber_Med_disc!$B$27:$B$30,ber_Med_disc!O22,1)&amp;" in "&amp;Med_disc!$O$44,"")</f>
        <v/>
      </c>
      <c r="H23" s="106" t="str">
        <f>IF(OR($D23="1 dd",$D23="2 dd",$D23="3 dd",$D23="4 dd",$D23="6 dd",$D23="8 dd",$D23="12 dd",$D23="an",$D23="1 X"),VLOOKUP($D23,ber_tijden!$A$16:$X$26,ber_tijden!B$14,FALSE),"")</f>
        <v/>
      </c>
      <c r="I23" s="15" t="str">
        <f>IF(OR($D23="1 dd",$D23="2 dd",$D23="3 dd",$D23="4 dd",$D23="6 dd",$D23="8 dd",$D23="12 dd",$D23="an",$D23="1 X"),VLOOKUP($D23,ber_tijden!$A$16:$X$26,ber_tijden!C$14,FALSE),"")</f>
        <v/>
      </c>
      <c r="J23" s="106" t="str">
        <f>IF(OR($D23="1 dd",$D23="2 dd",$D23="3 dd",$D23="4 dd",$D23="6 dd",$D23="8 dd",$D23="12 dd",$D23="an",$D23="1 X"),VLOOKUP($D23,ber_tijden!$A$16:$X$26,ber_tijden!D$14,FALSE),"")</f>
        <v/>
      </c>
      <c r="K23" s="15" t="str">
        <f>IF(OR($D23="1 dd",$D23="2 dd",$D23="3 dd",$D23="4 dd",$D23="6 dd",$D23="8 dd",$D23="12 dd",$D23="an",$D23="1 X"),VLOOKUP($D23,ber_tijden!$A$16:$X$26,ber_tijden!E$14,FALSE),"")</f>
        <v/>
      </c>
      <c r="L23" s="106" t="str">
        <f>IF(OR($D23="1 dd",$D23="2 dd",$D23="3 dd",$D23="4 dd",$D23="6 dd",$D23="8 dd",$D23="12 dd",$D23="an",$D23="1 X"),VLOOKUP($D23,ber_tijden!$A$16:$X$26,ber_tijden!F$14,FALSE),"")</f>
        <v/>
      </c>
      <c r="M23" s="15" t="str">
        <f>IF(OR($D23="1 dd",$D23="2 dd",$D23="3 dd",$D23="4 dd",$D23="6 dd",$D23="8 dd",$D23="12 dd",$D23="an",$D23="1 X"),VLOOKUP($D23,ber_tijden!$A$16:$X$26,ber_tijden!G$14,FALSE),"")</f>
        <v/>
      </c>
      <c r="N23" s="106" t="str">
        <f>IF(OR($D23="1 dd",$D23="2 dd",$D23="3 dd",$D23="4 dd",$D23="6 dd",$D23="8 dd",$D23="12 dd",$D23="an",$D23="1 X"),VLOOKUP($D23,ber_tijden!$A$16:$X$26,ber_tijden!H$14,FALSE),"")</f>
        <v/>
      </c>
      <c r="O23" s="15" t="str">
        <f>IF(OR($D23="1 dd",$D23="2 dd",$D23="3 dd",$D23="4 dd",$D23="6 dd",$D23="8 dd",$D23="12 dd",$D23="an",$D23="1 X"),VLOOKUP($D23,ber_tijden!$A$16:$X$26,ber_tijden!I$14,FALSE),"")</f>
        <v/>
      </c>
      <c r="P23" s="106" t="str">
        <f>IF(OR($D23="1 dd",$D23="2 dd",$D23="3 dd",$D23="4 dd",$D23="6 dd",$D23="8 dd",$D23="12 dd",$D23="an",$D23="1 X"),VLOOKUP($D23,ber_tijden!$A$16:$X$26,ber_tijden!J$14,FALSE),"")</f>
        <v/>
      </c>
      <c r="Q23" s="15" t="str">
        <f>IF(OR($D23="1 dd",$D23="2 dd",$D23="3 dd",$D23="4 dd",$D23="6 dd",$D23="8 dd",$D23="12 dd",$D23="an",$D23="1 X"),VLOOKUP($D23,ber_tijden!$A$16:$X$26,ber_tijden!K$14,FALSE),"")</f>
        <v/>
      </c>
      <c r="R23" s="106" t="str">
        <f>IF(OR($D23="1 dd",$D23="2 dd",$D23="3 dd",$D23="4 dd",$D23="6 dd",$D23="8 dd",$D23="12 dd",$D23="an",$D23="1 X"),VLOOKUP($D23,ber_tijden!$A$16:$X$26,ber_tijden!L$14,FALSE),"")</f>
        <v/>
      </c>
      <c r="S23" s="15" t="str">
        <f>IF(OR($D23="1 dd",$D23="2 dd",$D23="3 dd",$D23="4 dd",$D23="6 dd",$D23="8 dd",$D23="12 dd",$D23="an",$D23="1 X"),VLOOKUP($D23,ber_tijden!$A$16:$X$26,ber_tijden!M$14,FALSE),"")</f>
        <v/>
      </c>
      <c r="T23" s="106" t="str">
        <f>IF(OR($D23="1 dd",$D23="2 dd",$D23="3 dd",$D23="4 dd",$D23="6 dd",$D23="8 dd",$D23="12 dd",$D23="an",$D23="1 X"),VLOOKUP($D23,ber_tijden!$A$16:$X$26,ber_tijden!N$14,FALSE),"")</f>
        <v/>
      </c>
      <c r="U23" s="15" t="str">
        <f>IF(OR($D23="1 dd",$D23="2 dd",$D23="3 dd",$D23="4 dd",$D23="6 dd",$D23="8 dd",$D23="12 dd",$D23="an",$D23="1 X"),VLOOKUP($D23,ber_tijden!$A$16:$X$26,ber_tijden!O$14,FALSE),"")</f>
        <v/>
      </c>
      <c r="V23" s="106" t="str">
        <f>IF(OR($D23="1 dd",$D23="2 dd",$D23="3 dd",$D23="4 dd",$D23="6 dd",$D23="8 dd",$D23="12 dd",$D23="an",$D23="1 X"),VLOOKUP($D23,ber_tijden!$A$16:$X$26,ber_tijden!P$14,FALSE),"")</f>
        <v/>
      </c>
      <c r="W23" s="15" t="str">
        <f>IF(OR($D23="1 dd",$D23="2 dd",$D23="3 dd",$D23="4 dd",$D23="6 dd",$D23="8 dd",$D23="12 dd",$D23="an",$D23="1 X"),VLOOKUP($D23,ber_tijden!$A$16:$X$26,ber_tijden!Q$14,FALSE),"")</f>
        <v/>
      </c>
      <c r="X23" s="106" t="str">
        <f>IF(OR($D23="1 dd",$D23="2 dd",$D23="3 dd",$D23="4 dd",$D23="6 dd",$D23="8 dd",$D23="12 dd",$D23="an",$D23="1 X"),VLOOKUP($D23,ber_tijden!$A$16:$X$26,ber_tijden!R$14,FALSE),"")</f>
        <v/>
      </c>
      <c r="Y23" s="15" t="str">
        <f>IF(OR($D23="1 dd",$D23="2 dd",$D23="3 dd",$D23="4 dd",$D23="6 dd",$D23="8 dd",$D23="12 dd",$D23="an",$D23="1 X"),VLOOKUP($D23,ber_tijden!$A$16:$X$26,ber_tijden!S$14,FALSE),"")</f>
        <v/>
      </c>
      <c r="Z23" s="106" t="str">
        <f>IF(OR($D23="1 dd",$D23="2 dd",$D23="3 dd",$D23="4 dd",$D23="6 dd",$D23="8 dd",$D23="12 dd",$D23="an",$D23="1 X"),VLOOKUP($D23,ber_tijden!$A$16:$X$26,ber_tijden!T$14,FALSE),"")</f>
        <v/>
      </c>
      <c r="AA23" s="15" t="str">
        <f>IF(OR($D23="1 dd",$D23="2 dd",$D23="3 dd",$D23="4 dd",$D23="6 dd",$D23="8 dd",$D23="12 dd",$D23="an",$D23="1 X"),VLOOKUP($D23,ber_tijden!$A$16:$X$26,ber_tijden!U$14,FALSE),"")</f>
        <v/>
      </c>
      <c r="AB23" s="106" t="str">
        <f>IF(OR($D23="1 dd",$D23="2 dd",$D23="3 dd",$D23="4 dd",$D23="6 dd",$D23="8 dd",$D23="12 dd",$D23="an",$D23="1 X"),VLOOKUP($D23,ber_tijden!$A$16:$X$26,ber_tijden!V$14,FALSE),"")</f>
        <v/>
      </c>
      <c r="AC23" s="15" t="str">
        <f>IF(OR($D23="1 dd",$D23="2 dd",$D23="3 dd",$D23="4 dd",$D23="6 dd",$D23="8 dd",$D23="12 dd",$D23="an",$D23="1 X"),VLOOKUP($D23,ber_tijden!$A$16:$X$26,ber_tijden!W$14,FALSE),"")</f>
        <v/>
      </c>
      <c r="AD23" s="106" t="str">
        <f>IF(OR($D23="1 dd",$D23="2 dd",$D23="3 dd",$D23="4 dd",$D23="6 dd",$D23="8 dd",$D23="12 dd",$D23="an",$D23="1 X"),VLOOKUP($D23,ber_tijden!$A$16:$X$26,ber_tijden!X$14,FALSE),"")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IF(ber_Med_disc!C23&lt;&gt;"",IF(ber_Med_disc!C23&gt;1,TRIM(ber_Med_disc!C23)&amp;", "&amp;ber_Opm!C37&amp;" ("&amp;ber_Med_disc!M23&amp;" "&amp;ber_Med_disc!F23&amp;"/kg/dag)",TRIM(ber_Med_disc!C23)&amp;", "&amp;ber_Opm!C37),"")</f>
        <v/>
      </c>
      <c r="D24" s="232" t="str">
        <f>IF(Med_disc!H48&lt;&gt;"",Med_disc!H48,"")</f>
        <v/>
      </c>
      <c r="E24" s="233" t="str">
        <f>IF(AND(D24&lt;&gt;"",D24&lt;&gt;"STOP"),ber_Med_disc!H23&amp;" "&amp;ber_Med_disc!F23,"")</f>
        <v/>
      </c>
      <c r="F24" s="233" t="str">
        <f>IF(AND(D24&lt;&gt;"",D24&lt;&gt;"STOP"),ber_Med_disc!L23," ")</f>
        <v xml:space="preserve"> </v>
      </c>
      <c r="G24" s="233" t="str">
        <f>IF(Med_disc!L46&lt;&gt;"",Med_disc!L46&amp;" "&amp;Med_disc!M46&amp;" "&amp;INDEX(ber_Med_disc!$B$27:$B$30,ber_Med_disc!O23,1)&amp;" in "&amp;Med_disc!$O$44,"")</f>
        <v/>
      </c>
      <c r="H24" s="106" t="str">
        <f>IF(OR($D24="1 dd",$D24="2 dd",$D24="3 dd",$D24="4 dd",$D24="6 dd",$D24="8 dd",$D24="12 dd",$D24="an",$D24="1 X"),VLOOKUP($D24,ber_tijden!$A$16:$X$26,ber_tijden!B$14,FALSE),"")</f>
        <v/>
      </c>
      <c r="I24" s="15" t="str">
        <f>IF(OR($D24="1 dd",$D24="2 dd",$D24="3 dd",$D24="4 dd",$D24="6 dd",$D24="8 dd",$D24="12 dd",$D24="an",$D24="1 X"),VLOOKUP($D24,ber_tijden!$A$16:$X$26,ber_tijden!C$14,FALSE),"")</f>
        <v/>
      </c>
      <c r="J24" s="106" t="str">
        <f>IF(OR($D24="1 dd",$D24="2 dd",$D24="3 dd",$D24="4 dd",$D24="6 dd",$D24="8 dd",$D24="12 dd",$D24="an",$D24="1 X"),VLOOKUP($D24,ber_tijden!$A$16:$X$26,ber_tijden!D$14,FALSE),"")</f>
        <v/>
      </c>
      <c r="K24" s="15" t="str">
        <f>IF(OR($D24="1 dd",$D24="2 dd",$D24="3 dd",$D24="4 dd",$D24="6 dd",$D24="8 dd",$D24="12 dd",$D24="an",$D24="1 X"),VLOOKUP($D24,ber_tijden!$A$16:$X$26,ber_tijden!E$14,FALSE),"")</f>
        <v/>
      </c>
      <c r="L24" s="106" t="str">
        <f>IF(OR($D24="1 dd",$D24="2 dd",$D24="3 dd",$D24="4 dd",$D24="6 dd",$D24="8 dd",$D24="12 dd",$D24="an",$D24="1 X"),VLOOKUP($D24,ber_tijden!$A$16:$X$26,ber_tijden!F$14,FALSE),"")</f>
        <v/>
      </c>
      <c r="M24" s="15" t="str">
        <f>IF(OR($D24="1 dd",$D24="2 dd",$D24="3 dd",$D24="4 dd",$D24="6 dd",$D24="8 dd",$D24="12 dd",$D24="an",$D24="1 X"),VLOOKUP($D24,ber_tijden!$A$16:$X$26,ber_tijden!G$14,FALSE),"")</f>
        <v/>
      </c>
      <c r="N24" s="106" t="str">
        <f>IF(OR($D24="1 dd",$D24="2 dd",$D24="3 dd",$D24="4 dd",$D24="6 dd",$D24="8 dd",$D24="12 dd",$D24="an",$D24="1 X"),VLOOKUP($D24,ber_tijden!$A$16:$X$26,ber_tijden!H$14,FALSE),"")</f>
        <v/>
      </c>
      <c r="O24" s="15" t="str">
        <f>IF(OR($D24="1 dd",$D24="2 dd",$D24="3 dd",$D24="4 dd",$D24="6 dd",$D24="8 dd",$D24="12 dd",$D24="an",$D24="1 X"),VLOOKUP($D24,ber_tijden!$A$16:$X$26,ber_tijden!I$14,FALSE),"")</f>
        <v/>
      </c>
      <c r="P24" s="106" t="str">
        <f>IF(OR($D24="1 dd",$D24="2 dd",$D24="3 dd",$D24="4 dd",$D24="6 dd",$D24="8 dd",$D24="12 dd",$D24="an",$D24="1 X"),VLOOKUP($D24,ber_tijden!$A$16:$X$26,ber_tijden!J$14,FALSE),"")</f>
        <v/>
      </c>
      <c r="Q24" s="15" t="str">
        <f>IF(OR($D24="1 dd",$D24="2 dd",$D24="3 dd",$D24="4 dd",$D24="6 dd",$D24="8 dd",$D24="12 dd",$D24="an",$D24="1 X"),VLOOKUP($D24,ber_tijden!$A$16:$X$26,ber_tijden!K$14,FALSE),"")</f>
        <v/>
      </c>
      <c r="R24" s="106" t="str">
        <f>IF(OR($D24="1 dd",$D24="2 dd",$D24="3 dd",$D24="4 dd",$D24="6 dd",$D24="8 dd",$D24="12 dd",$D24="an",$D24="1 X"),VLOOKUP($D24,ber_tijden!$A$16:$X$26,ber_tijden!L$14,FALSE),"")</f>
        <v/>
      </c>
      <c r="S24" s="15" t="str">
        <f>IF(OR($D24="1 dd",$D24="2 dd",$D24="3 dd",$D24="4 dd",$D24="6 dd",$D24="8 dd",$D24="12 dd",$D24="an",$D24="1 X"),VLOOKUP($D24,ber_tijden!$A$16:$X$26,ber_tijden!M$14,FALSE),"")</f>
        <v/>
      </c>
      <c r="T24" s="106" t="str">
        <f>IF(OR($D24="1 dd",$D24="2 dd",$D24="3 dd",$D24="4 dd",$D24="6 dd",$D24="8 dd",$D24="12 dd",$D24="an",$D24="1 X"),VLOOKUP($D24,ber_tijden!$A$16:$X$26,ber_tijden!N$14,FALSE),"")</f>
        <v/>
      </c>
      <c r="U24" s="15" t="str">
        <f>IF(OR($D24="1 dd",$D24="2 dd",$D24="3 dd",$D24="4 dd",$D24="6 dd",$D24="8 dd",$D24="12 dd",$D24="an",$D24="1 X"),VLOOKUP($D24,ber_tijden!$A$16:$X$26,ber_tijden!O$14,FALSE),"")</f>
        <v/>
      </c>
      <c r="V24" s="106" t="str">
        <f>IF(OR($D24="1 dd",$D24="2 dd",$D24="3 dd",$D24="4 dd",$D24="6 dd",$D24="8 dd",$D24="12 dd",$D24="an",$D24="1 X"),VLOOKUP($D24,ber_tijden!$A$16:$X$26,ber_tijden!P$14,FALSE),"")</f>
        <v/>
      </c>
      <c r="W24" s="15" t="str">
        <f>IF(OR($D24="1 dd",$D24="2 dd",$D24="3 dd",$D24="4 dd",$D24="6 dd",$D24="8 dd",$D24="12 dd",$D24="an",$D24="1 X"),VLOOKUP($D24,ber_tijden!$A$16:$X$26,ber_tijden!Q$14,FALSE),"")</f>
        <v/>
      </c>
      <c r="X24" s="106" t="str">
        <f>IF(OR($D24="1 dd",$D24="2 dd",$D24="3 dd",$D24="4 dd",$D24="6 dd",$D24="8 dd",$D24="12 dd",$D24="an",$D24="1 X"),VLOOKUP($D24,ber_tijden!$A$16:$X$26,ber_tijden!R$14,FALSE),"")</f>
        <v/>
      </c>
      <c r="Y24" s="15" t="str">
        <f>IF(OR($D24="1 dd",$D24="2 dd",$D24="3 dd",$D24="4 dd",$D24="6 dd",$D24="8 dd",$D24="12 dd",$D24="an",$D24="1 X"),VLOOKUP($D24,ber_tijden!$A$16:$X$26,ber_tijden!S$14,FALSE),"")</f>
        <v/>
      </c>
      <c r="Z24" s="106" t="str">
        <f>IF(OR($D24="1 dd",$D24="2 dd",$D24="3 dd",$D24="4 dd",$D24="6 dd",$D24="8 dd",$D24="12 dd",$D24="an",$D24="1 X"),VLOOKUP($D24,ber_tijden!$A$16:$X$26,ber_tijden!T$14,FALSE),"")</f>
        <v/>
      </c>
      <c r="AA24" s="15" t="str">
        <f>IF(OR($D24="1 dd",$D24="2 dd",$D24="3 dd",$D24="4 dd",$D24="6 dd",$D24="8 dd",$D24="12 dd",$D24="an",$D24="1 X"),VLOOKUP($D24,ber_tijden!$A$16:$X$26,ber_tijden!U$14,FALSE),"")</f>
        <v/>
      </c>
      <c r="AB24" s="106" t="str">
        <f>IF(OR($D24="1 dd",$D24="2 dd",$D24="3 dd",$D24="4 dd",$D24="6 dd",$D24="8 dd",$D24="12 dd",$D24="an",$D24="1 X"),VLOOKUP($D24,ber_tijden!$A$16:$X$26,ber_tijden!V$14,FALSE),"")</f>
        <v/>
      </c>
      <c r="AC24" s="15" t="str">
        <f>IF(OR($D24="1 dd",$D24="2 dd",$D24="3 dd",$D24="4 dd",$D24="6 dd",$D24="8 dd",$D24="12 dd",$D24="an",$D24="1 X"),VLOOKUP($D24,ber_tijden!$A$16:$X$26,ber_tijden!W$14,FALSE),"")</f>
        <v/>
      </c>
      <c r="AD24" s="106" t="str">
        <f>IF(OR($D24="1 dd",$D24="2 dd",$D24="3 dd",$D24="4 dd",$D24="6 dd",$D24="8 dd",$D24="12 dd",$D24="an",$D24="1 X"),VLOOKUP($D24,ber_tijden!$A$16:$X$26,ber_tijden!X$14,FALSE),"")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IF(ber_Med_disc!C24&lt;&gt;"",IF(ber_Med_disc!C24&gt;1,TRIM(ber_Med_disc!C24)&amp;", "&amp;ber_Opm!C38&amp;" ("&amp;ber_Med_disc!M24&amp;" "&amp;ber_Med_disc!F24&amp;"/kg/dag)",TRIM(ber_Med_disc!C24)&amp;", "&amp;ber_Opm!C38),"")</f>
        <v/>
      </c>
      <c r="D25" s="232" t="str">
        <f>IF(Med_disc!H50&lt;&gt;"",Med_disc!H50,"")</f>
        <v/>
      </c>
      <c r="E25" s="233" t="str">
        <f>IF(AND(D25&lt;&gt;"",D25&lt;&gt;"STOP"),ber_Med_disc!H24&amp;" "&amp;ber_Med_disc!F24,"")</f>
        <v/>
      </c>
      <c r="F25" s="233" t="str">
        <f>IF(AND(D25&lt;&gt;"",D25&lt;&gt;"STOP"),ber_Med_disc!L24," ")</f>
        <v xml:space="preserve"> </v>
      </c>
      <c r="G25" s="233" t="str">
        <f>IF(Med_disc!L47&lt;&gt;"",Med_disc!L47&amp;" "&amp;Med_disc!M47&amp;" "&amp;INDEX(ber_Med_disc!$B$27:$B$30,ber_Med_disc!O24,1)&amp;" in "&amp;Med_disc!$O$44,"")</f>
        <v/>
      </c>
      <c r="H25" s="106" t="str">
        <f>IF(OR($D25="1 dd",$D25="2 dd",$D25="3 dd",$D25="4 dd",$D25="6 dd",$D25="8 dd",$D25="12 dd",$D25="an",$D25="1 X"),VLOOKUP($D25,ber_tijden!$A$16:$X$26,ber_tijden!B$14,FALSE),"")</f>
        <v/>
      </c>
      <c r="I25" s="15" t="str">
        <f>IF(OR($D25="1 dd",$D25="2 dd",$D25="3 dd",$D25="4 dd",$D25="6 dd",$D25="8 dd",$D25="12 dd",$D25="an",$D25="1 X"),VLOOKUP($D25,ber_tijden!$A$16:$X$26,ber_tijden!C$14,FALSE),"")</f>
        <v/>
      </c>
      <c r="J25" s="106" t="str">
        <f>IF(OR($D25="1 dd",$D25="2 dd",$D25="3 dd",$D25="4 dd",$D25="6 dd",$D25="8 dd",$D25="12 dd",$D25="an",$D25="1 X"),VLOOKUP($D25,ber_tijden!$A$16:$X$26,ber_tijden!D$14,FALSE),"")</f>
        <v/>
      </c>
      <c r="K25" s="15" t="str">
        <f>IF(OR($D25="1 dd",$D25="2 dd",$D25="3 dd",$D25="4 dd",$D25="6 dd",$D25="8 dd",$D25="12 dd",$D25="an",$D25="1 X"),VLOOKUP($D25,ber_tijden!$A$16:$X$26,ber_tijden!E$14,FALSE),"")</f>
        <v/>
      </c>
      <c r="L25" s="106" t="str">
        <f>IF(OR($D25="1 dd",$D25="2 dd",$D25="3 dd",$D25="4 dd",$D25="6 dd",$D25="8 dd",$D25="12 dd",$D25="an",$D25="1 X"),VLOOKUP($D25,ber_tijden!$A$16:$X$26,ber_tijden!F$14,FALSE),"")</f>
        <v/>
      </c>
      <c r="M25" s="15" t="str">
        <f>IF(OR($D25="1 dd",$D25="2 dd",$D25="3 dd",$D25="4 dd",$D25="6 dd",$D25="8 dd",$D25="12 dd",$D25="an",$D25="1 X"),VLOOKUP($D25,ber_tijden!$A$16:$X$26,ber_tijden!G$14,FALSE),"")</f>
        <v/>
      </c>
      <c r="N25" s="106" t="str">
        <f>IF(OR($D25="1 dd",$D25="2 dd",$D25="3 dd",$D25="4 dd",$D25="6 dd",$D25="8 dd",$D25="12 dd",$D25="an",$D25="1 X"),VLOOKUP($D25,ber_tijden!$A$16:$X$26,ber_tijden!H$14,FALSE),"")</f>
        <v/>
      </c>
      <c r="O25" s="15" t="str">
        <f>IF(OR($D25="1 dd",$D25="2 dd",$D25="3 dd",$D25="4 dd",$D25="6 dd",$D25="8 dd",$D25="12 dd",$D25="an",$D25="1 X"),VLOOKUP($D25,ber_tijden!$A$16:$X$26,ber_tijden!I$14,FALSE),"")</f>
        <v/>
      </c>
      <c r="P25" s="106" t="str">
        <f>IF(OR($D25="1 dd",$D25="2 dd",$D25="3 dd",$D25="4 dd",$D25="6 dd",$D25="8 dd",$D25="12 dd",$D25="an",$D25="1 X"),VLOOKUP($D25,ber_tijden!$A$16:$X$26,ber_tijden!J$14,FALSE),"")</f>
        <v/>
      </c>
      <c r="Q25" s="15" t="str">
        <f>IF(OR($D25="1 dd",$D25="2 dd",$D25="3 dd",$D25="4 dd",$D25="6 dd",$D25="8 dd",$D25="12 dd",$D25="an",$D25="1 X"),VLOOKUP($D25,ber_tijden!$A$16:$X$26,ber_tijden!K$14,FALSE),"")</f>
        <v/>
      </c>
      <c r="R25" s="106" t="str">
        <f>IF(OR($D25="1 dd",$D25="2 dd",$D25="3 dd",$D25="4 dd",$D25="6 dd",$D25="8 dd",$D25="12 dd",$D25="an",$D25="1 X"),VLOOKUP($D25,ber_tijden!$A$16:$X$26,ber_tijden!L$14,FALSE),"")</f>
        <v/>
      </c>
      <c r="S25" s="15" t="str">
        <f>IF(OR($D25="1 dd",$D25="2 dd",$D25="3 dd",$D25="4 dd",$D25="6 dd",$D25="8 dd",$D25="12 dd",$D25="an",$D25="1 X"),VLOOKUP($D25,ber_tijden!$A$16:$X$26,ber_tijden!M$14,FALSE),"")</f>
        <v/>
      </c>
      <c r="T25" s="106" t="str">
        <f>IF(OR($D25="1 dd",$D25="2 dd",$D25="3 dd",$D25="4 dd",$D25="6 dd",$D25="8 dd",$D25="12 dd",$D25="an",$D25="1 X"),VLOOKUP($D25,ber_tijden!$A$16:$X$26,ber_tijden!N$14,FALSE),"")</f>
        <v/>
      </c>
      <c r="U25" s="15" t="str">
        <f>IF(OR($D25="1 dd",$D25="2 dd",$D25="3 dd",$D25="4 dd",$D25="6 dd",$D25="8 dd",$D25="12 dd",$D25="an",$D25="1 X"),VLOOKUP($D25,ber_tijden!$A$16:$X$26,ber_tijden!O$14,FALSE),"")</f>
        <v/>
      </c>
      <c r="V25" s="106" t="str">
        <f>IF(OR($D25="1 dd",$D25="2 dd",$D25="3 dd",$D25="4 dd",$D25="6 dd",$D25="8 dd",$D25="12 dd",$D25="an",$D25="1 X"),VLOOKUP($D25,ber_tijden!$A$16:$X$26,ber_tijden!P$14,FALSE),"")</f>
        <v/>
      </c>
      <c r="W25" s="15" t="str">
        <f>IF(OR($D25="1 dd",$D25="2 dd",$D25="3 dd",$D25="4 dd",$D25="6 dd",$D25="8 dd",$D25="12 dd",$D25="an",$D25="1 X"),VLOOKUP($D25,ber_tijden!$A$16:$X$26,ber_tijden!Q$14,FALSE),"")</f>
        <v/>
      </c>
      <c r="X25" s="106" t="str">
        <f>IF(OR($D25="1 dd",$D25="2 dd",$D25="3 dd",$D25="4 dd",$D25="6 dd",$D25="8 dd",$D25="12 dd",$D25="an",$D25="1 X"),VLOOKUP($D25,ber_tijden!$A$16:$X$26,ber_tijden!R$14,FALSE),"")</f>
        <v/>
      </c>
      <c r="Y25" s="15" t="str">
        <f>IF(OR($D25="1 dd",$D25="2 dd",$D25="3 dd",$D25="4 dd",$D25="6 dd",$D25="8 dd",$D25="12 dd",$D25="an",$D25="1 X"),VLOOKUP($D25,ber_tijden!$A$16:$X$26,ber_tijden!S$14,FALSE),"")</f>
        <v/>
      </c>
      <c r="Z25" s="106" t="str">
        <f>IF(OR($D25="1 dd",$D25="2 dd",$D25="3 dd",$D25="4 dd",$D25="6 dd",$D25="8 dd",$D25="12 dd",$D25="an",$D25="1 X"),VLOOKUP($D25,ber_tijden!$A$16:$X$26,ber_tijden!T$14,FALSE),"")</f>
        <v/>
      </c>
      <c r="AA25" s="15" t="str">
        <f>IF(OR($D25="1 dd",$D25="2 dd",$D25="3 dd",$D25="4 dd",$D25="6 dd",$D25="8 dd",$D25="12 dd",$D25="an",$D25="1 X"),VLOOKUP($D25,ber_tijden!$A$16:$X$26,ber_tijden!U$14,FALSE),"")</f>
        <v/>
      </c>
      <c r="AB25" s="106" t="str">
        <f>IF(OR($D25="1 dd",$D25="2 dd",$D25="3 dd",$D25="4 dd",$D25="6 dd",$D25="8 dd",$D25="12 dd",$D25="an",$D25="1 X"),VLOOKUP($D25,ber_tijden!$A$16:$X$26,ber_tijden!V$14,FALSE),"")</f>
        <v/>
      </c>
      <c r="AC25" s="15" t="str">
        <f>IF(OR($D25="1 dd",$D25="2 dd",$D25="3 dd",$D25="4 dd",$D25="6 dd",$D25="8 dd",$D25="12 dd",$D25="an",$D25="1 X"),VLOOKUP($D25,ber_tijden!$A$16:$X$26,ber_tijden!W$14,FALSE),"")</f>
        <v/>
      </c>
      <c r="AD25" s="106" t="str">
        <f>IF(OR($D25="1 dd",$D25="2 dd",$D25="3 dd",$D25="4 dd",$D25="6 dd",$D25="8 dd",$D25="12 dd",$D25="an",$D25="1 X"),VLOOKUP($D25,ber_tijden!$A$16:$X$26,ber_tijden!X$14,FALSE),"")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IF(ber_Med_disc!C25&lt;&gt;"",IF(ber_Med_disc!C25&gt;1,TRIM(ber_Med_disc!C25)&amp;", "&amp;ber_Opm!C39&amp;" ("&amp;ber_Med_disc!M25&amp;" "&amp;ber_Med_disc!F25&amp;"/kg/dag)",TRIM(ber_Med_disc!C25)&amp;", "&amp;ber_Opm!C39),"")</f>
        <v/>
      </c>
      <c r="D26" s="232" t="str">
        <f>IF(Med_disc!H52&lt;&gt;"",Med_disc!H52,"")</f>
        <v/>
      </c>
      <c r="E26" s="233" t="str">
        <f>IF(AND(D26&lt;&gt;"",D26&lt;&gt;"STOP"),ber_Med_disc!H25&amp;" "&amp;ber_Med_disc!F25,"")</f>
        <v/>
      </c>
      <c r="F26" s="233" t="str">
        <f>IF(AND(D26&lt;&gt;"",D26&lt;&gt;"STOP"),ber_Med_disc!L25," ")</f>
        <v xml:space="preserve"> </v>
      </c>
      <c r="G26" s="233" t="str">
        <f>IF(Med_disc!L48&lt;&gt;"",Med_disc!L48&amp;" "&amp;Med_disc!M48&amp;" "&amp;INDEX(ber_Med_disc!$B$27:$B$30,ber_Med_disc!O25,1)&amp;" in "&amp;Med_disc!$O$44,"")</f>
        <v/>
      </c>
      <c r="H26" s="106" t="str">
        <f>IF(OR($D26="1 dd",$D26="2 dd",$D26="3 dd",$D26="4 dd",$D26="6 dd",$D26="8 dd",$D26="12 dd",$D26="an",$D26="1 X"),VLOOKUP($D26,ber_tijden!$A$16:$X$26,ber_tijden!B$14,FALSE),"")</f>
        <v/>
      </c>
      <c r="I26" s="15" t="str">
        <f>IF(OR($D26="1 dd",$D26="2 dd",$D26="3 dd",$D26="4 dd",$D26="6 dd",$D26="8 dd",$D26="12 dd",$D26="an",$D26="1 X"),VLOOKUP($D26,ber_tijden!$A$16:$X$26,ber_tijden!C$14,FALSE),"")</f>
        <v/>
      </c>
      <c r="J26" s="106" t="str">
        <f>IF(OR($D26="1 dd",$D26="2 dd",$D26="3 dd",$D26="4 dd",$D26="6 dd",$D26="8 dd",$D26="12 dd",$D26="an",$D26="1 X"),VLOOKUP($D26,ber_tijden!$A$16:$X$26,ber_tijden!D$14,FALSE),"")</f>
        <v/>
      </c>
      <c r="K26" s="15" t="str">
        <f>IF(OR($D26="1 dd",$D26="2 dd",$D26="3 dd",$D26="4 dd",$D26="6 dd",$D26="8 dd",$D26="12 dd",$D26="an",$D26="1 X"),VLOOKUP($D26,ber_tijden!$A$16:$X$26,ber_tijden!E$14,FALSE),"")</f>
        <v/>
      </c>
      <c r="L26" s="106" t="str">
        <f>IF(OR($D26="1 dd",$D26="2 dd",$D26="3 dd",$D26="4 dd",$D26="6 dd",$D26="8 dd",$D26="12 dd",$D26="an",$D26="1 X"),VLOOKUP($D26,ber_tijden!$A$16:$X$26,ber_tijden!F$14,FALSE),"")</f>
        <v/>
      </c>
      <c r="M26" s="15" t="str">
        <f>IF(OR($D26="1 dd",$D26="2 dd",$D26="3 dd",$D26="4 dd",$D26="6 dd",$D26="8 dd",$D26="12 dd",$D26="an",$D26="1 X"),VLOOKUP($D26,ber_tijden!$A$16:$X$26,ber_tijden!G$14,FALSE),"")</f>
        <v/>
      </c>
      <c r="N26" s="106" t="str">
        <f>IF(OR($D26="1 dd",$D26="2 dd",$D26="3 dd",$D26="4 dd",$D26="6 dd",$D26="8 dd",$D26="12 dd",$D26="an",$D26="1 X"),VLOOKUP($D26,ber_tijden!$A$16:$X$26,ber_tijden!H$14,FALSE),"")</f>
        <v/>
      </c>
      <c r="O26" s="15" t="str">
        <f>IF(OR($D26="1 dd",$D26="2 dd",$D26="3 dd",$D26="4 dd",$D26="6 dd",$D26="8 dd",$D26="12 dd",$D26="an",$D26="1 X"),VLOOKUP($D26,ber_tijden!$A$16:$X$26,ber_tijden!I$14,FALSE),"")</f>
        <v/>
      </c>
      <c r="P26" s="106" t="str">
        <f>IF(OR($D26="1 dd",$D26="2 dd",$D26="3 dd",$D26="4 dd",$D26="6 dd",$D26="8 dd",$D26="12 dd",$D26="an",$D26="1 X"),VLOOKUP($D26,ber_tijden!$A$16:$X$26,ber_tijden!J$14,FALSE),"")</f>
        <v/>
      </c>
      <c r="Q26" s="15" t="str">
        <f>IF(OR($D26="1 dd",$D26="2 dd",$D26="3 dd",$D26="4 dd",$D26="6 dd",$D26="8 dd",$D26="12 dd",$D26="an",$D26="1 X"),VLOOKUP($D26,ber_tijden!$A$16:$X$26,ber_tijden!K$14,FALSE),"")</f>
        <v/>
      </c>
      <c r="R26" s="106" t="str">
        <f>IF(OR($D26="1 dd",$D26="2 dd",$D26="3 dd",$D26="4 dd",$D26="6 dd",$D26="8 dd",$D26="12 dd",$D26="an",$D26="1 X"),VLOOKUP($D26,ber_tijden!$A$16:$X$26,ber_tijden!L$14,FALSE),"")</f>
        <v/>
      </c>
      <c r="S26" s="15" t="str">
        <f>IF(OR($D26="1 dd",$D26="2 dd",$D26="3 dd",$D26="4 dd",$D26="6 dd",$D26="8 dd",$D26="12 dd",$D26="an",$D26="1 X"),VLOOKUP($D26,ber_tijden!$A$16:$X$26,ber_tijden!M$14,FALSE),"")</f>
        <v/>
      </c>
      <c r="T26" s="106" t="str">
        <f>IF(OR($D26="1 dd",$D26="2 dd",$D26="3 dd",$D26="4 dd",$D26="6 dd",$D26="8 dd",$D26="12 dd",$D26="an",$D26="1 X"),VLOOKUP($D26,ber_tijden!$A$16:$X$26,ber_tijden!N$14,FALSE),"")</f>
        <v/>
      </c>
      <c r="U26" s="15" t="str">
        <f>IF(OR($D26="1 dd",$D26="2 dd",$D26="3 dd",$D26="4 dd",$D26="6 dd",$D26="8 dd",$D26="12 dd",$D26="an",$D26="1 X"),VLOOKUP($D26,ber_tijden!$A$16:$X$26,ber_tijden!O$14,FALSE),"")</f>
        <v/>
      </c>
      <c r="V26" s="106" t="str">
        <f>IF(OR($D26="1 dd",$D26="2 dd",$D26="3 dd",$D26="4 dd",$D26="6 dd",$D26="8 dd",$D26="12 dd",$D26="an",$D26="1 X"),VLOOKUP($D26,ber_tijden!$A$16:$X$26,ber_tijden!P$14,FALSE),"")</f>
        <v/>
      </c>
      <c r="W26" s="15" t="str">
        <f>IF(OR($D26="1 dd",$D26="2 dd",$D26="3 dd",$D26="4 dd",$D26="6 dd",$D26="8 dd",$D26="12 dd",$D26="an",$D26="1 X"),VLOOKUP($D26,ber_tijden!$A$16:$X$26,ber_tijden!Q$14,FALSE),"")</f>
        <v/>
      </c>
      <c r="X26" s="106" t="str">
        <f>IF(OR($D26="1 dd",$D26="2 dd",$D26="3 dd",$D26="4 dd",$D26="6 dd",$D26="8 dd",$D26="12 dd",$D26="an",$D26="1 X"),VLOOKUP($D26,ber_tijden!$A$16:$X$26,ber_tijden!R$14,FALSE),"")</f>
        <v/>
      </c>
      <c r="Y26" s="15" t="str">
        <f>IF(OR($D26="1 dd",$D26="2 dd",$D26="3 dd",$D26="4 dd",$D26="6 dd",$D26="8 dd",$D26="12 dd",$D26="an",$D26="1 X"),VLOOKUP($D26,ber_tijden!$A$16:$X$26,ber_tijden!S$14,FALSE),"")</f>
        <v/>
      </c>
      <c r="Z26" s="106" t="str">
        <f>IF(OR($D26="1 dd",$D26="2 dd",$D26="3 dd",$D26="4 dd",$D26="6 dd",$D26="8 dd",$D26="12 dd",$D26="an",$D26="1 X"),VLOOKUP($D26,ber_tijden!$A$16:$X$26,ber_tijden!T$14,FALSE),"")</f>
        <v/>
      </c>
      <c r="AA26" s="15" t="str">
        <f>IF(OR($D26="1 dd",$D26="2 dd",$D26="3 dd",$D26="4 dd",$D26="6 dd",$D26="8 dd",$D26="12 dd",$D26="an",$D26="1 X"),VLOOKUP($D26,ber_tijden!$A$16:$X$26,ber_tijden!U$14,FALSE),"")</f>
        <v/>
      </c>
      <c r="AB26" s="106" t="str">
        <f>IF(OR($D26="1 dd",$D26="2 dd",$D26="3 dd",$D26="4 dd",$D26="6 dd",$D26="8 dd",$D26="12 dd",$D26="an",$D26="1 X"),VLOOKUP($D26,ber_tijden!$A$16:$X$26,ber_tijden!V$14,FALSE),"")</f>
        <v/>
      </c>
      <c r="AC26" s="15" t="str">
        <f>IF(OR($D26="1 dd",$D26="2 dd",$D26="3 dd",$D26="4 dd",$D26="6 dd",$D26="8 dd",$D26="12 dd",$D26="an",$D26="1 X"),VLOOKUP($D26,ber_tijden!$A$16:$X$26,ber_tijden!W$14,FALSE),"")</f>
        <v/>
      </c>
      <c r="AD26" s="106" t="str">
        <f>IF(OR($D26="1 dd",$D26="2 dd",$D26="3 dd",$D26="4 dd",$D26="6 dd",$D26="8 dd",$D26="12 dd",$D26="an",$D26="1 X"),VLOOKUP($D26,ber_tijden!$A$16:$X$26,ber_tijden!X$14,FALSE),"")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IF(ber_Med_disc!C26&lt;&gt;"",IF(ber_Med_disc!C26&gt;1,TRIM(ber_Med_disc!C26)&amp;", "&amp;ber_Opm!C40&amp;" ("&amp;ber_Med_disc!M26&amp;" "&amp;ber_Med_disc!F26&amp;"/kg/dag)",TRIM(ber_Med_disc!C26)&amp;", "&amp;ber_Opm!C40),"")</f>
        <v/>
      </c>
      <c r="D27" s="232" t="str">
        <f>IF(Med_disc!H54&lt;&gt;"",Med_disc!H54,"")</f>
        <v/>
      </c>
      <c r="E27" s="233" t="str">
        <f>IF(AND(D27&lt;&gt;"",D27&lt;&gt;"STOP"),ber_Med_disc!H26&amp;" "&amp;ber_Med_disc!F26,"")</f>
        <v/>
      </c>
      <c r="F27" s="233" t="str">
        <f>IF(AND(D27&lt;&gt;"",D27&lt;&gt;"STOP"),ber_Med_disc!L26," ")</f>
        <v xml:space="preserve"> </v>
      </c>
      <c r="G27" s="233" t="str">
        <f>IF(Med_disc!L49&lt;&gt;"",Med_disc!L49&amp;" "&amp;Med_disc!M49&amp;" "&amp;INDEX(ber_Med_disc!$B$27:$B$30,ber_Med_disc!O26,1)&amp;" in "&amp;Med_disc!$O$44,"")</f>
        <v/>
      </c>
      <c r="H27" s="106" t="str">
        <f>IF(OR($D27="1 dd",$D27="2 dd",$D27="3 dd",$D27="4 dd",$D27="6 dd",$D27="8 dd",$D27="12 dd",$D27="an",$D27="1 X"),VLOOKUP($D27,ber_tijden!$A$16:$X$26,ber_tijden!B$14,FALSE),"")</f>
        <v/>
      </c>
      <c r="I27" s="15" t="str">
        <f>IF(OR($D27="1 dd",$D27="2 dd",$D27="3 dd",$D27="4 dd",$D27="6 dd",$D27="8 dd",$D27="12 dd",$D27="an",$D27="1 X"),VLOOKUP($D27,ber_tijden!$A$16:$X$26,ber_tijden!C$14,FALSE),"")</f>
        <v/>
      </c>
      <c r="J27" s="106" t="str">
        <f>IF(OR($D27="1 dd",$D27="2 dd",$D27="3 dd",$D27="4 dd",$D27="6 dd",$D27="8 dd",$D27="12 dd",$D27="an",$D27="1 X"),VLOOKUP($D27,ber_tijden!$A$16:$X$26,ber_tijden!D$14,FALSE),"")</f>
        <v/>
      </c>
      <c r="K27" s="15" t="str">
        <f>IF(OR($D27="1 dd",$D27="2 dd",$D27="3 dd",$D27="4 dd",$D27="6 dd",$D27="8 dd",$D27="12 dd",$D27="an",$D27="1 X"),VLOOKUP($D27,ber_tijden!$A$16:$X$26,ber_tijden!E$14,FALSE),"")</f>
        <v/>
      </c>
      <c r="L27" s="106" t="str">
        <f>IF(OR($D27="1 dd",$D27="2 dd",$D27="3 dd",$D27="4 dd",$D27="6 dd",$D27="8 dd",$D27="12 dd",$D27="an",$D27="1 X"),VLOOKUP($D27,ber_tijden!$A$16:$X$26,ber_tijden!F$14,FALSE),"")</f>
        <v/>
      </c>
      <c r="M27" s="15" t="str">
        <f>IF(OR($D27="1 dd",$D27="2 dd",$D27="3 dd",$D27="4 dd",$D27="6 dd",$D27="8 dd",$D27="12 dd",$D27="an",$D27="1 X"),VLOOKUP($D27,ber_tijden!$A$16:$X$26,ber_tijden!G$14,FALSE),"")</f>
        <v/>
      </c>
      <c r="N27" s="106" t="str">
        <f>IF(OR($D27="1 dd",$D27="2 dd",$D27="3 dd",$D27="4 dd",$D27="6 dd",$D27="8 dd",$D27="12 dd",$D27="an",$D27="1 X"),VLOOKUP($D27,ber_tijden!$A$16:$X$26,ber_tijden!H$14,FALSE),"")</f>
        <v/>
      </c>
      <c r="O27" s="15" t="str">
        <f>IF(OR($D27="1 dd",$D27="2 dd",$D27="3 dd",$D27="4 dd",$D27="6 dd",$D27="8 dd",$D27="12 dd",$D27="an",$D27="1 X"),VLOOKUP($D27,ber_tijden!$A$16:$X$26,ber_tijden!I$14,FALSE),"")</f>
        <v/>
      </c>
      <c r="P27" s="106" t="str">
        <f>IF(OR($D27="1 dd",$D27="2 dd",$D27="3 dd",$D27="4 dd",$D27="6 dd",$D27="8 dd",$D27="12 dd",$D27="an",$D27="1 X"),VLOOKUP($D27,ber_tijden!$A$16:$X$26,ber_tijden!J$14,FALSE),"")</f>
        <v/>
      </c>
      <c r="Q27" s="15" t="str">
        <f>IF(OR($D27="1 dd",$D27="2 dd",$D27="3 dd",$D27="4 dd",$D27="6 dd",$D27="8 dd",$D27="12 dd",$D27="an",$D27="1 X"),VLOOKUP($D27,ber_tijden!$A$16:$X$26,ber_tijden!K$14,FALSE),"")</f>
        <v/>
      </c>
      <c r="R27" s="106" t="str">
        <f>IF(OR($D27="1 dd",$D27="2 dd",$D27="3 dd",$D27="4 dd",$D27="6 dd",$D27="8 dd",$D27="12 dd",$D27="an",$D27="1 X"),VLOOKUP($D27,ber_tijden!$A$16:$X$26,ber_tijden!L$14,FALSE),"")</f>
        <v/>
      </c>
      <c r="S27" s="15" t="str">
        <f>IF(OR($D27="1 dd",$D27="2 dd",$D27="3 dd",$D27="4 dd",$D27="6 dd",$D27="8 dd",$D27="12 dd",$D27="an",$D27="1 X"),VLOOKUP($D27,ber_tijden!$A$16:$X$26,ber_tijden!M$14,FALSE),"")</f>
        <v/>
      </c>
      <c r="T27" s="106" t="str">
        <f>IF(OR($D27="1 dd",$D27="2 dd",$D27="3 dd",$D27="4 dd",$D27="6 dd",$D27="8 dd",$D27="12 dd",$D27="an",$D27="1 X"),VLOOKUP($D27,ber_tijden!$A$16:$X$26,ber_tijden!N$14,FALSE),"")</f>
        <v/>
      </c>
      <c r="U27" s="15" t="str">
        <f>IF(OR($D27="1 dd",$D27="2 dd",$D27="3 dd",$D27="4 dd",$D27="6 dd",$D27="8 dd",$D27="12 dd",$D27="an",$D27="1 X"),VLOOKUP($D27,ber_tijden!$A$16:$X$26,ber_tijden!O$14,FALSE),"")</f>
        <v/>
      </c>
      <c r="V27" s="106" t="str">
        <f>IF(OR($D27="1 dd",$D27="2 dd",$D27="3 dd",$D27="4 dd",$D27="6 dd",$D27="8 dd",$D27="12 dd",$D27="an",$D27="1 X"),VLOOKUP($D27,ber_tijden!$A$16:$X$26,ber_tijden!P$14,FALSE),"")</f>
        <v/>
      </c>
      <c r="W27" s="15" t="str">
        <f>IF(OR($D27="1 dd",$D27="2 dd",$D27="3 dd",$D27="4 dd",$D27="6 dd",$D27="8 dd",$D27="12 dd",$D27="an",$D27="1 X"),VLOOKUP($D27,ber_tijden!$A$16:$X$26,ber_tijden!Q$14,FALSE),"")</f>
        <v/>
      </c>
      <c r="X27" s="106" t="str">
        <f>IF(OR($D27="1 dd",$D27="2 dd",$D27="3 dd",$D27="4 dd",$D27="6 dd",$D27="8 dd",$D27="12 dd",$D27="an",$D27="1 X"),VLOOKUP($D27,ber_tijden!$A$16:$X$26,ber_tijden!R$14,FALSE),"")</f>
        <v/>
      </c>
      <c r="Y27" s="15" t="str">
        <f>IF(OR($D27="1 dd",$D27="2 dd",$D27="3 dd",$D27="4 dd",$D27="6 dd",$D27="8 dd",$D27="12 dd",$D27="an",$D27="1 X"),VLOOKUP($D27,ber_tijden!$A$16:$X$26,ber_tijden!S$14,FALSE),"")</f>
        <v/>
      </c>
      <c r="Z27" s="106" t="str">
        <f>IF(OR($D27="1 dd",$D27="2 dd",$D27="3 dd",$D27="4 dd",$D27="6 dd",$D27="8 dd",$D27="12 dd",$D27="an",$D27="1 X"),VLOOKUP($D27,ber_tijden!$A$16:$X$26,ber_tijden!T$14,FALSE),"")</f>
        <v/>
      </c>
      <c r="AA27" s="15" t="str">
        <f>IF(OR($D27="1 dd",$D27="2 dd",$D27="3 dd",$D27="4 dd",$D27="6 dd",$D27="8 dd",$D27="12 dd",$D27="an",$D27="1 X"),VLOOKUP($D27,ber_tijden!$A$16:$X$26,ber_tijden!U$14,FALSE),"")</f>
        <v/>
      </c>
      <c r="AB27" s="106" t="str">
        <f>IF(OR($D27="1 dd",$D27="2 dd",$D27="3 dd",$D27="4 dd",$D27="6 dd",$D27="8 dd",$D27="12 dd",$D27="an",$D27="1 X"),VLOOKUP($D27,ber_tijden!$A$16:$X$26,ber_tijden!V$14,FALSE),"")</f>
        <v/>
      </c>
      <c r="AC27" s="15" t="str">
        <f>IF(OR($D27="1 dd",$D27="2 dd",$D27="3 dd",$D27="4 dd",$D27="6 dd",$D27="8 dd",$D27="12 dd",$D27="an",$D27="1 X"),VLOOKUP($D27,ber_tijden!$A$16:$X$26,ber_tijden!W$14,FALSE),"")</f>
        <v/>
      </c>
      <c r="AD27" s="106" t="str">
        <f>IF(OR($D27="1 dd",$D27="2 dd",$D27="3 dd",$D27="4 dd",$D27="6 dd",$D27="8 dd",$D27="12 dd",$D27="an",$D27="1 X"),VLOOKUP($D27,ber_tijden!$A$16:$X$26,ber_tijden!X$14,FALSE),"")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IF(ber_Med_disc!C27&lt;&gt;"",IF(ber_Med_disc!C27&gt;1,TRIM(ber_Med_disc!C27)&amp;", "&amp;ber_Opm!C41&amp;" ("&amp;ber_Med_disc!M27&amp;" "&amp;ber_Med_disc!F27&amp;"/kg/dag)",TRIM(ber_Med_disc!C27)&amp;", "&amp;ber_Opm!C41),"")</f>
        <v/>
      </c>
      <c r="D28" s="232" t="str">
        <f>IF(Med_disc!H56&lt;&gt;"",Med_disc!H56,"")</f>
        <v/>
      </c>
      <c r="E28" s="233" t="str">
        <f>IF(AND(D28&lt;&gt;"",D28&lt;&gt;"STOP"),ber_Med_disc!H27&amp;" "&amp;ber_Med_disc!F27,"")</f>
        <v/>
      </c>
      <c r="F28" s="233" t="str">
        <f>IF(AND(D28&lt;&gt;"",D28&lt;&gt;"STOP"),ber_Med_disc!L27," ")</f>
        <v xml:space="preserve"> </v>
      </c>
      <c r="G28" s="233" t="str">
        <f>IF(Med_disc!L50&lt;&gt;"",Med_disc!L50&amp;" "&amp;Med_disc!M50&amp;" "&amp;INDEX(ber_Med_disc!$B$27:$B$30,ber_Med_disc!O27,1)&amp;" in "&amp;Med_disc!$O$44,"")</f>
        <v/>
      </c>
      <c r="H28" s="106" t="str">
        <f>IF(OR($D28="1 dd",$D28="2 dd",$D28="3 dd",$D28="4 dd",$D28="6 dd",$D28="8 dd",$D28="12 dd",$D28="an",$D28="1 X"),VLOOKUP($D28,ber_tijden!$A$16:$X$26,ber_tijden!B$14,FALSE),"")</f>
        <v/>
      </c>
      <c r="I28" s="15" t="str">
        <f>IF(OR($D28="1 dd",$D28="2 dd",$D28="3 dd",$D28="4 dd",$D28="6 dd",$D28="8 dd",$D28="12 dd",$D28="an",$D28="1 X"),VLOOKUP($D28,ber_tijden!$A$16:$X$26,ber_tijden!C$14,FALSE),"")</f>
        <v/>
      </c>
      <c r="J28" s="106" t="str">
        <f>IF(OR($D28="1 dd",$D28="2 dd",$D28="3 dd",$D28="4 dd",$D28="6 dd",$D28="8 dd",$D28="12 dd",$D28="an",$D28="1 X"),VLOOKUP($D28,ber_tijden!$A$16:$X$26,ber_tijden!D$14,FALSE),"")</f>
        <v/>
      </c>
      <c r="K28" s="15" t="str">
        <f>IF(OR($D28="1 dd",$D28="2 dd",$D28="3 dd",$D28="4 dd",$D28="6 dd",$D28="8 dd",$D28="12 dd",$D28="an",$D28="1 X"),VLOOKUP($D28,ber_tijden!$A$16:$X$26,ber_tijden!E$14,FALSE),"")</f>
        <v/>
      </c>
      <c r="L28" s="106" t="str">
        <f>IF(OR($D28="1 dd",$D28="2 dd",$D28="3 dd",$D28="4 dd",$D28="6 dd",$D28="8 dd",$D28="12 dd",$D28="an",$D28="1 X"),VLOOKUP($D28,ber_tijden!$A$16:$X$26,ber_tijden!F$14,FALSE),"")</f>
        <v/>
      </c>
      <c r="M28" s="15" t="str">
        <f>IF(OR($D28="1 dd",$D28="2 dd",$D28="3 dd",$D28="4 dd",$D28="6 dd",$D28="8 dd",$D28="12 dd",$D28="an",$D28="1 X"),VLOOKUP($D28,ber_tijden!$A$16:$X$26,ber_tijden!G$14,FALSE),"")</f>
        <v/>
      </c>
      <c r="N28" s="106" t="str">
        <f>IF(OR($D28="1 dd",$D28="2 dd",$D28="3 dd",$D28="4 dd",$D28="6 dd",$D28="8 dd",$D28="12 dd",$D28="an",$D28="1 X"),VLOOKUP($D28,ber_tijden!$A$16:$X$26,ber_tijden!H$14,FALSE),"")</f>
        <v/>
      </c>
      <c r="O28" s="15" t="str">
        <f>IF(OR($D28="1 dd",$D28="2 dd",$D28="3 dd",$D28="4 dd",$D28="6 dd",$D28="8 dd",$D28="12 dd",$D28="an",$D28="1 X"),VLOOKUP($D28,ber_tijden!$A$16:$X$26,ber_tijden!I$14,FALSE),"")</f>
        <v/>
      </c>
      <c r="P28" s="106" t="str">
        <f>IF(OR($D28="1 dd",$D28="2 dd",$D28="3 dd",$D28="4 dd",$D28="6 dd",$D28="8 dd",$D28="12 dd",$D28="an",$D28="1 X"),VLOOKUP($D28,ber_tijden!$A$16:$X$26,ber_tijden!J$14,FALSE),"")</f>
        <v/>
      </c>
      <c r="Q28" s="15" t="str">
        <f>IF(OR($D28="1 dd",$D28="2 dd",$D28="3 dd",$D28="4 dd",$D28="6 dd",$D28="8 dd",$D28="12 dd",$D28="an",$D28="1 X"),VLOOKUP($D28,ber_tijden!$A$16:$X$26,ber_tijden!K$14,FALSE),"")</f>
        <v/>
      </c>
      <c r="R28" s="106" t="str">
        <f>IF(OR($D28="1 dd",$D28="2 dd",$D28="3 dd",$D28="4 dd",$D28="6 dd",$D28="8 dd",$D28="12 dd",$D28="an",$D28="1 X"),VLOOKUP($D28,ber_tijden!$A$16:$X$26,ber_tijden!L$14,FALSE),"")</f>
        <v/>
      </c>
      <c r="S28" s="15" t="str">
        <f>IF(OR($D28="1 dd",$D28="2 dd",$D28="3 dd",$D28="4 dd",$D28="6 dd",$D28="8 dd",$D28="12 dd",$D28="an",$D28="1 X"),VLOOKUP($D28,ber_tijden!$A$16:$X$26,ber_tijden!M$14,FALSE),"")</f>
        <v/>
      </c>
      <c r="T28" s="106" t="str">
        <f>IF(OR($D28="1 dd",$D28="2 dd",$D28="3 dd",$D28="4 dd",$D28="6 dd",$D28="8 dd",$D28="12 dd",$D28="an",$D28="1 X"),VLOOKUP($D28,ber_tijden!$A$16:$X$26,ber_tijden!N$14,FALSE),"")</f>
        <v/>
      </c>
      <c r="U28" s="15" t="str">
        <f>IF(OR($D28="1 dd",$D28="2 dd",$D28="3 dd",$D28="4 dd",$D28="6 dd",$D28="8 dd",$D28="12 dd",$D28="an",$D28="1 X"),VLOOKUP($D28,ber_tijden!$A$16:$X$26,ber_tijden!O$14,FALSE),"")</f>
        <v/>
      </c>
      <c r="V28" s="106" t="str">
        <f>IF(OR($D28="1 dd",$D28="2 dd",$D28="3 dd",$D28="4 dd",$D28="6 dd",$D28="8 dd",$D28="12 dd",$D28="an",$D28="1 X"),VLOOKUP($D28,ber_tijden!$A$16:$X$26,ber_tijden!P$14,FALSE),"")</f>
        <v/>
      </c>
      <c r="W28" s="15" t="str">
        <f>IF(OR($D28="1 dd",$D28="2 dd",$D28="3 dd",$D28="4 dd",$D28="6 dd",$D28="8 dd",$D28="12 dd",$D28="an",$D28="1 X"),VLOOKUP($D28,ber_tijden!$A$16:$X$26,ber_tijden!Q$14,FALSE),"")</f>
        <v/>
      </c>
      <c r="X28" s="106" t="str">
        <f>IF(OR($D28="1 dd",$D28="2 dd",$D28="3 dd",$D28="4 dd",$D28="6 dd",$D28="8 dd",$D28="12 dd",$D28="an",$D28="1 X"),VLOOKUP($D28,ber_tijden!$A$16:$X$26,ber_tijden!R$14,FALSE),"")</f>
        <v/>
      </c>
      <c r="Y28" s="15" t="str">
        <f>IF(OR($D28="1 dd",$D28="2 dd",$D28="3 dd",$D28="4 dd",$D28="6 dd",$D28="8 dd",$D28="12 dd",$D28="an",$D28="1 X"),VLOOKUP($D28,ber_tijden!$A$16:$X$26,ber_tijden!S$14,FALSE),"")</f>
        <v/>
      </c>
      <c r="Z28" s="106" t="str">
        <f>IF(OR($D28="1 dd",$D28="2 dd",$D28="3 dd",$D28="4 dd",$D28="6 dd",$D28="8 dd",$D28="12 dd",$D28="an",$D28="1 X"),VLOOKUP($D28,ber_tijden!$A$16:$X$26,ber_tijden!T$14,FALSE),"")</f>
        <v/>
      </c>
      <c r="AA28" s="15" t="str">
        <f>IF(OR($D28="1 dd",$D28="2 dd",$D28="3 dd",$D28="4 dd",$D28="6 dd",$D28="8 dd",$D28="12 dd",$D28="an",$D28="1 X"),VLOOKUP($D28,ber_tijden!$A$16:$X$26,ber_tijden!U$14,FALSE),"")</f>
        <v/>
      </c>
      <c r="AB28" s="106" t="str">
        <f>IF(OR($D28="1 dd",$D28="2 dd",$D28="3 dd",$D28="4 dd",$D28="6 dd",$D28="8 dd",$D28="12 dd",$D28="an",$D28="1 X"),VLOOKUP($D28,ber_tijden!$A$16:$X$26,ber_tijden!V$14,FALSE),"")</f>
        <v/>
      </c>
      <c r="AC28" s="15" t="str">
        <f>IF(OR($D28="1 dd",$D28="2 dd",$D28="3 dd",$D28="4 dd",$D28="6 dd",$D28="8 dd",$D28="12 dd",$D28="an",$D28="1 X"),VLOOKUP($D28,ber_tijden!$A$16:$X$26,ber_tijden!W$14,FALSE),"")</f>
        <v/>
      </c>
      <c r="AD28" s="106" t="str">
        <f>IF(OR($D28="1 dd",$D28="2 dd",$D28="3 dd",$D28="4 dd",$D28="6 dd",$D28="8 dd",$D28="12 dd",$D28="an",$D28="1 X"),VLOOKUP($D28,ber_tijden!$A$16:$X$26,ber_tijden!X$14,FALSE),"")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IF(ber_Med_disc!C28&lt;&gt;"",IF(ber_Med_disc!C28&gt;1,TRIM(ber_Med_disc!C28)&amp;", "&amp;ber_Opm!C42&amp;" ("&amp;ber_Med_disc!M28&amp;" "&amp;ber_Med_disc!F28&amp;"/kg/dag)",TRIM(ber_Med_disc!C28)&amp;", "&amp;ber_Opm!C42),"")</f>
        <v/>
      </c>
      <c r="D29" s="232" t="str">
        <f>IF(Med_disc!H58&lt;&gt;"",Med_disc!H58,"")</f>
        <v/>
      </c>
      <c r="E29" s="233" t="str">
        <f>IF(AND(D29&lt;&gt;"",D29&lt;&gt;"STOP"),ber_Med_disc!H28&amp;" "&amp;ber_Med_disc!F28,"")</f>
        <v/>
      </c>
      <c r="F29" s="233" t="str">
        <f>IF(AND(D29&lt;&gt;"",D29&lt;&gt;"STOP"),ber_Med_disc!L28," ")</f>
        <v xml:space="preserve"> </v>
      </c>
      <c r="G29" s="233" t="str">
        <f>IF(Med_disc!L51&lt;&gt;"",Med_disc!L51&amp;" "&amp;Med_disc!M51&amp;" "&amp;INDEX(ber_Med_disc!$B$27:$B$30,ber_Med_disc!O28,1)&amp;" in "&amp;Med_disc!$O$44,"")</f>
        <v/>
      </c>
      <c r="H29" s="106" t="str">
        <f>IF(OR($D29="1 dd",$D29="2 dd",$D29="3 dd",$D29="4 dd",$D29="6 dd",$D29="8 dd",$D29="12 dd",$D29="an",$D29="1 X"),VLOOKUP($D29,ber_tijden!$A$16:$X$26,ber_tijden!B$14,FALSE),"")</f>
        <v/>
      </c>
      <c r="I29" s="15" t="str">
        <f>IF(OR($D29="1 dd",$D29="2 dd",$D29="3 dd",$D29="4 dd",$D29="6 dd",$D29="8 dd",$D29="12 dd",$D29="an",$D29="1 X"),VLOOKUP($D29,ber_tijden!$A$16:$X$26,ber_tijden!C$14,FALSE),"")</f>
        <v/>
      </c>
      <c r="J29" s="106" t="str">
        <f>IF(OR($D29="1 dd",$D29="2 dd",$D29="3 dd",$D29="4 dd",$D29="6 dd",$D29="8 dd",$D29="12 dd",$D29="an",$D29="1 X"),VLOOKUP($D29,ber_tijden!$A$16:$X$26,ber_tijden!D$14,FALSE),"")</f>
        <v/>
      </c>
      <c r="K29" s="15" t="str">
        <f>IF(OR($D29="1 dd",$D29="2 dd",$D29="3 dd",$D29="4 dd",$D29="6 dd",$D29="8 dd",$D29="12 dd",$D29="an",$D29="1 X"),VLOOKUP($D29,ber_tijden!$A$16:$X$26,ber_tijden!E$14,FALSE),"")</f>
        <v/>
      </c>
      <c r="L29" s="106" t="str">
        <f>IF(OR($D29="1 dd",$D29="2 dd",$D29="3 dd",$D29="4 dd",$D29="6 dd",$D29="8 dd",$D29="12 dd",$D29="an",$D29="1 X"),VLOOKUP($D29,ber_tijden!$A$16:$X$26,ber_tijden!F$14,FALSE),"")</f>
        <v/>
      </c>
      <c r="M29" s="15" t="str">
        <f>IF(OR($D29="1 dd",$D29="2 dd",$D29="3 dd",$D29="4 dd",$D29="6 dd",$D29="8 dd",$D29="12 dd",$D29="an",$D29="1 X"),VLOOKUP($D29,ber_tijden!$A$16:$X$26,ber_tijden!G$14,FALSE),"")</f>
        <v/>
      </c>
      <c r="N29" s="106" t="str">
        <f>IF(OR($D29="1 dd",$D29="2 dd",$D29="3 dd",$D29="4 dd",$D29="6 dd",$D29="8 dd",$D29="12 dd",$D29="an",$D29="1 X"),VLOOKUP($D29,ber_tijden!$A$16:$X$26,ber_tijden!H$14,FALSE),"")</f>
        <v/>
      </c>
      <c r="O29" s="15" t="str">
        <f>IF(OR($D29="1 dd",$D29="2 dd",$D29="3 dd",$D29="4 dd",$D29="6 dd",$D29="8 dd",$D29="12 dd",$D29="an",$D29="1 X"),VLOOKUP($D29,ber_tijden!$A$16:$X$26,ber_tijden!I$14,FALSE),"")</f>
        <v/>
      </c>
      <c r="P29" s="106" t="str">
        <f>IF(OR($D29="1 dd",$D29="2 dd",$D29="3 dd",$D29="4 dd",$D29="6 dd",$D29="8 dd",$D29="12 dd",$D29="an",$D29="1 X"),VLOOKUP($D29,ber_tijden!$A$16:$X$26,ber_tijden!J$14,FALSE),"")</f>
        <v/>
      </c>
      <c r="Q29" s="15" t="str">
        <f>IF(OR($D29="1 dd",$D29="2 dd",$D29="3 dd",$D29="4 dd",$D29="6 dd",$D29="8 dd",$D29="12 dd",$D29="an",$D29="1 X"),VLOOKUP($D29,ber_tijden!$A$16:$X$26,ber_tijden!K$14,FALSE),"")</f>
        <v/>
      </c>
      <c r="R29" s="106" t="str">
        <f>IF(OR($D29="1 dd",$D29="2 dd",$D29="3 dd",$D29="4 dd",$D29="6 dd",$D29="8 dd",$D29="12 dd",$D29="an",$D29="1 X"),VLOOKUP($D29,ber_tijden!$A$16:$X$26,ber_tijden!L$14,FALSE),"")</f>
        <v/>
      </c>
      <c r="S29" s="15" t="str">
        <f>IF(OR($D29="1 dd",$D29="2 dd",$D29="3 dd",$D29="4 dd",$D29="6 dd",$D29="8 dd",$D29="12 dd",$D29="an",$D29="1 X"),VLOOKUP($D29,ber_tijden!$A$16:$X$26,ber_tijden!M$14,FALSE),"")</f>
        <v/>
      </c>
      <c r="T29" s="106" t="str">
        <f>IF(OR($D29="1 dd",$D29="2 dd",$D29="3 dd",$D29="4 dd",$D29="6 dd",$D29="8 dd",$D29="12 dd",$D29="an",$D29="1 X"),VLOOKUP($D29,ber_tijden!$A$16:$X$26,ber_tijden!N$14,FALSE),"")</f>
        <v/>
      </c>
      <c r="U29" s="15" t="str">
        <f>IF(OR($D29="1 dd",$D29="2 dd",$D29="3 dd",$D29="4 dd",$D29="6 dd",$D29="8 dd",$D29="12 dd",$D29="an",$D29="1 X"),VLOOKUP($D29,ber_tijden!$A$16:$X$26,ber_tijden!O$14,FALSE),"")</f>
        <v/>
      </c>
      <c r="V29" s="106" t="str">
        <f>IF(OR($D29="1 dd",$D29="2 dd",$D29="3 dd",$D29="4 dd",$D29="6 dd",$D29="8 dd",$D29="12 dd",$D29="an",$D29="1 X"),VLOOKUP($D29,ber_tijden!$A$16:$X$26,ber_tijden!P$14,FALSE),"")</f>
        <v/>
      </c>
      <c r="W29" s="15" t="str">
        <f>IF(OR($D29="1 dd",$D29="2 dd",$D29="3 dd",$D29="4 dd",$D29="6 dd",$D29="8 dd",$D29="12 dd",$D29="an",$D29="1 X"),VLOOKUP($D29,ber_tijden!$A$16:$X$26,ber_tijden!Q$14,FALSE),"")</f>
        <v/>
      </c>
      <c r="X29" s="106" t="str">
        <f>IF(OR($D29="1 dd",$D29="2 dd",$D29="3 dd",$D29="4 dd",$D29="6 dd",$D29="8 dd",$D29="12 dd",$D29="an",$D29="1 X"),VLOOKUP($D29,ber_tijden!$A$16:$X$26,ber_tijden!R$14,FALSE),"")</f>
        <v/>
      </c>
      <c r="Y29" s="15" t="str">
        <f>IF(OR($D29="1 dd",$D29="2 dd",$D29="3 dd",$D29="4 dd",$D29="6 dd",$D29="8 dd",$D29="12 dd",$D29="an",$D29="1 X"),VLOOKUP($D29,ber_tijden!$A$16:$X$26,ber_tijden!S$14,FALSE),"")</f>
        <v/>
      </c>
      <c r="Z29" s="106" t="str">
        <f>IF(OR($D29="1 dd",$D29="2 dd",$D29="3 dd",$D29="4 dd",$D29="6 dd",$D29="8 dd",$D29="12 dd",$D29="an",$D29="1 X"),VLOOKUP($D29,ber_tijden!$A$16:$X$26,ber_tijden!T$14,FALSE),"")</f>
        <v/>
      </c>
      <c r="AA29" s="15" t="str">
        <f>IF(OR($D29="1 dd",$D29="2 dd",$D29="3 dd",$D29="4 dd",$D29="6 dd",$D29="8 dd",$D29="12 dd",$D29="an",$D29="1 X"),VLOOKUP($D29,ber_tijden!$A$16:$X$26,ber_tijden!U$14,FALSE),"")</f>
        <v/>
      </c>
      <c r="AB29" s="106" t="str">
        <f>IF(OR($D29="1 dd",$D29="2 dd",$D29="3 dd",$D29="4 dd",$D29="6 dd",$D29="8 dd",$D29="12 dd",$D29="an",$D29="1 X"),VLOOKUP($D29,ber_tijden!$A$16:$X$26,ber_tijden!V$14,FALSE),"")</f>
        <v/>
      </c>
      <c r="AC29" s="15" t="str">
        <f>IF(OR($D29="1 dd",$D29="2 dd",$D29="3 dd",$D29="4 dd",$D29="6 dd",$D29="8 dd",$D29="12 dd",$D29="an",$D29="1 X"),VLOOKUP($D29,ber_tijden!$A$16:$X$26,ber_tijden!W$14,FALSE),"")</f>
        <v/>
      </c>
      <c r="AD29" s="106" t="str">
        <f>IF(OR($D29="1 dd",$D29="2 dd",$D29="3 dd",$D29="4 dd",$D29="6 dd",$D29="8 dd",$D29="12 dd",$D29="an",$D29="1 X"),VLOOKUP($D29,ber_tijden!$A$16:$X$26,ber_tijden!X$14,FALSE),"")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IF(ber_Med_disc!C29&lt;&gt;"",IF(ber_Med_disc!C29&gt;1,TRIM(ber_Med_disc!C29)&amp;", "&amp;ber_Opm!C43&amp;" ("&amp;ber_Med_disc!M29&amp;" "&amp;ber_Med_disc!F29&amp;"/kg/dag)",TRIM(ber_Med_disc!C29)&amp;", "&amp;ber_Opm!C43),"")</f>
        <v/>
      </c>
      <c r="D30" s="232" t="str">
        <f>IF(Med_disc!H60&lt;&gt;"",Med_disc!H60,"")</f>
        <v/>
      </c>
      <c r="E30" s="233" t="str">
        <f>IF(AND(D30&lt;&gt;"",D30&lt;&gt;"STOP"),ber_Med_disc!H29&amp;" "&amp;ber_Med_disc!F29,"")</f>
        <v/>
      </c>
      <c r="F30" s="233" t="str">
        <f>IF(AND(D30&lt;&gt;"",D30&lt;&gt;"STOP"),ber_Med_disc!L29," ")</f>
        <v xml:space="preserve"> </v>
      </c>
      <c r="G30" s="233" t="str">
        <f>IF(Med_disc!L52&lt;&gt;"",Med_disc!L52&amp;" "&amp;Med_disc!M52&amp;" "&amp;INDEX(ber_Med_disc!$B$27:$B$30,ber_Med_disc!O29,1)&amp;" in "&amp;Med_disc!$O$44,"")</f>
        <v/>
      </c>
      <c r="H30" s="106" t="str">
        <f>IF(OR($D30="1 dd",$D30="2 dd",$D30="3 dd",$D30="4 dd",$D30="6 dd",$D30="8 dd",$D30="12 dd",$D30="an",$D30="1 X"),VLOOKUP($D30,ber_tijden!$A$16:$X$26,ber_tijden!B$14,FALSE),"")</f>
        <v/>
      </c>
      <c r="I30" s="15" t="str">
        <f>IF(OR($D30="1 dd",$D30="2 dd",$D30="3 dd",$D30="4 dd",$D30="6 dd",$D30="8 dd",$D30="12 dd",$D30="an",$D30="1 X"),VLOOKUP($D30,ber_tijden!$A$16:$X$26,ber_tijden!C$14,FALSE),"")</f>
        <v/>
      </c>
      <c r="J30" s="106" t="str">
        <f>IF(OR($D30="1 dd",$D30="2 dd",$D30="3 dd",$D30="4 dd",$D30="6 dd",$D30="8 dd",$D30="12 dd",$D30="an",$D30="1 X"),VLOOKUP($D30,ber_tijden!$A$16:$X$26,ber_tijden!D$14,FALSE),"")</f>
        <v/>
      </c>
      <c r="K30" s="15" t="str">
        <f>IF(OR($D30="1 dd",$D30="2 dd",$D30="3 dd",$D30="4 dd",$D30="6 dd",$D30="8 dd",$D30="12 dd",$D30="an",$D30="1 X"),VLOOKUP($D30,ber_tijden!$A$16:$X$26,ber_tijden!E$14,FALSE),"")</f>
        <v/>
      </c>
      <c r="L30" s="106" t="str">
        <f>IF(OR($D30="1 dd",$D30="2 dd",$D30="3 dd",$D30="4 dd",$D30="6 dd",$D30="8 dd",$D30="12 dd",$D30="an",$D30="1 X"),VLOOKUP($D30,ber_tijden!$A$16:$X$26,ber_tijden!F$14,FALSE),"")</f>
        <v/>
      </c>
      <c r="M30" s="15" t="str">
        <f>IF(OR($D30="1 dd",$D30="2 dd",$D30="3 dd",$D30="4 dd",$D30="6 dd",$D30="8 dd",$D30="12 dd",$D30="an",$D30="1 X"),VLOOKUP($D30,ber_tijden!$A$16:$X$26,ber_tijden!G$14,FALSE),"")</f>
        <v/>
      </c>
      <c r="N30" s="106" t="str">
        <f>IF(OR($D30="1 dd",$D30="2 dd",$D30="3 dd",$D30="4 dd",$D30="6 dd",$D30="8 dd",$D30="12 dd",$D30="an",$D30="1 X"),VLOOKUP($D30,ber_tijden!$A$16:$X$26,ber_tijden!H$14,FALSE),"")</f>
        <v/>
      </c>
      <c r="O30" s="15" t="str">
        <f>IF(OR($D30="1 dd",$D30="2 dd",$D30="3 dd",$D30="4 dd",$D30="6 dd",$D30="8 dd",$D30="12 dd",$D30="an",$D30="1 X"),VLOOKUP($D30,ber_tijden!$A$16:$X$26,ber_tijden!I$14,FALSE),"")</f>
        <v/>
      </c>
      <c r="P30" s="106" t="str">
        <f>IF(OR($D30="1 dd",$D30="2 dd",$D30="3 dd",$D30="4 dd",$D30="6 dd",$D30="8 dd",$D30="12 dd",$D30="an",$D30="1 X"),VLOOKUP($D30,ber_tijden!$A$16:$X$26,ber_tijden!J$14,FALSE),"")</f>
        <v/>
      </c>
      <c r="Q30" s="15" t="str">
        <f>IF(OR($D30="1 dd",$D30="2 dd",$D30="3 dd",$D30="4 dd",$D30="6 dd",$D30="8 dd",$D30="12 dd",$D30="an",$D30="1 X"),VLOOKUP($D30,ber_tijden!$A$16:$X$26,ber_tijden!K$14,FALSE),"")</f>
        <v/>
      </c>
      <c r="R30" s="106" t="str">
        <f>IF(OR($D30="1 dd",$D30="2 dd",$D30="3 dd",$D30="4 dd",$D30="6 dd",$D30="8 dd",$D30="12 dd",$D30="an",$D30="1 X"),VLOOKUP($D30,ber_tijden!$A$16:$X$26,ber_tijden!L$14,FALSE),"")</f>
        <v/>
      </c>
      <c r="S30" s="15" t="str">
        <f>IF(OR($D30="1 dd",$D30="2 dd",$D30="3 dd",$D30="4 dd",$D30="6 dd",$D30="8 dd",$D30="12 dd",$D30="an",$D30="1 X"),VLOOKUP($D30,ber_tijden!$A$16:$X$26,ber_tijden!M$14,FALSE),"")</f>
        <v/>
      </c>
      <c r="T30" s="106" t="str">
        <f>IF(OR($D30="1 dd",$D30="2 dd",$D30="3 dd",$D30="4 dd",$D30="6 dd",$D30="8 dd",$D30="12 dd",$D30="an",$D30="1 X"),VLOOKUP($D30,ber_tijden!$A$16:$X$26,ber_tijden!N$14,FALSE),"")</f>
        <v/>
      </c>
      <c r="U30" s="15" t="str">
        <f>IF(OR($D30="1 dd",$D30="2 dd",$D30="3 dd",$D30="4 dd",$D30="6 dd",$D30="8 dd",$D30="12 dd",$D30="an",$D30="1 X"),VLOOKUP($D30,ber_tijden!$A$16:$X$26,ber_tijden!O$14,FALSE),"")</f>
        <v/>
      </c>
      <c r="V30" s="106" t="str">
        <f>IF(OR($D30="1 dd",$D30="2 dd",$D30="3 dd",$D30="4 dd",$D30="6 dd",$D30="8 dd",$D30="12 dd",$D30="an",$D30="1 X"),VLOOKUP($D30,ber_tijden!$A$16:$X$26,ber_tijden!P$14,FALSE),"")</f>
        <v/>
      </c>
      <c r="W30" s="15" t="str">
        <f>IF(OR($D30="1 dd",$D30="2 dd",$D30="3 dd",$D30="4 dd",$D30="6 dd",$D30="8 dd",$D30="12 dd",$D30="an",$D30="1 X"),VLOOKUP($D30,ber_tijden!$A$16:$X$26,ber_tijden!Q$14,FALSE),"")</f>
        <v/>
      </c>
      <c r="X30" s="106" t="str">
        <f>IF(OR($D30="1 dd",$D30="2 dd",$D30="3 dd",$D30="4 dd",$D30="6 dd",$D30="8 dd",$D30="12 dd",$D30="an",$D30="1 X"),VLOOKUP($D30,ber_tijden!$A$16:$X$26,ber_tijden!R$14,FALSE),"")</f>
        <v/>
      </c>
      <c r="Y30" s="15" t="str">
        <f>IF(OR($D30="1 dd",$D30="2 dd",$D30="3 dd",$D30="4 dd",$D30="6 dd",$D30="8 dd",$D30="12 dd",$D30="an",$D30="1 X"),VLOOKUP($D30,ber_tijden!$A$16:$X$26,ber_tijden!S$14,FALSE),"")</f>
        <v/>
      </c>
      <c r="Z30" s="106" t="str">
        <f>IF(OR($D30="1 dd",$D30="2 dd",$D30="3 dd",$D30="4 dd",$D30="6 dd",$D30="8 dd",$D30="12 dd",$D30="an",$D30="1 X"),VLOOKUP($D30,ber_tijden!$A$16:$X$26,ber_tijden!T$14,FALSE),"")</f>
        <v/>
      </c>
      <c r="AA30" s="15" t="str">
        <f>IF(OR($D30="1 dd",$D30="2 dd",$D30="3 dd",$D30="4 dd",$D30="6 dd",$D30="8 dd",$D30="12 dd",$D30="an",$D30="1 X"),VLOOKUP($D30,ber_tijden!$A$16:$X$26,ber_tijden!U$14,FALSE),"")</f>
        <v/>
      </c>
      <c r="AB30" s="106" t="str">
        <f>IF(OR($D30="1 dd",$D30="2 dd",$D30="3 dd",$D30="4 dd",$D30="6 dd",$D30="8 dd",$D30="12 dd",$D30="an",$D30="1 X"),VLOOKUP($D30,ber_tijden!$A$16:$X$26,ber_tijden!V$14,FALSE),"")</f>
        <v/>
      </c>
      <c r="AC30" s="15" t="str">
        <f>IF(OR($D30="1 dd",$D30="2 dd",$D30="3 dd",$D30="4 dd",$D30="6 dd",$D30="8 dd",$D30="12 dd",$D30="an",$D30="1 X"),VLOOKUP($D30,ber_tijden!$A$16:$X$26,ber_tijden!W$14,FALSE),"")</f>
        <v/>
      </c>
      <c r="AD30" s="106" t="str">
        <f>IF(OR($D30="1 dd",$D30="2 dd",$D30="3 dd",$D30="4 dd",$D30="6 dd",$D30="8 dd",$D30="12 dd",$D30="an",$D30="1 X"),VLOOKUP($D30,ber_tijden!$A$16:$X$26,ber_tijden!X$14,FALSE),"")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IF(ber_Med_disc!C30&lt;&gt;"",IF(ber_Med_disc!C30&gt;1,TRIM(ber_Med_disc!C30)&amp;", "&amp;ber_Opm!C44&amp;" ("&amp;ber_Med_disc!M30&amp;" "&amp;ber_Med_disc!F30&amp;"/kg/dag)",TRIM(ber_Med_disc!C30)&amp;", "&amp;ber_Opm!C44),"")</f>
        <v/>
      </c>
      <c r="D31" s="232" t="str">
        <f>IF(Med_disc!H62&lt;&gt;"",Med_disc!H62,"")</f>
        <v/>
      </c>
      <c r="E31" s="233" t="str">
        <f>IF(AND(D31&lt;&gt;"",D31&lt;&gt;"STOP"),ber_Med_disc!H30&amp;" "&amp;ber_Med_disc!F30,"")</f>
        <v/>
      </c>
      <c r="F31" s="233" t="str">
        <f>IF(AND(D31&lt;&gt;"",D31&lt;&gt;"STOP"),ber_Med_disc!L30," ")</f>
        <v xml:space="preserve"> </v>
      </c>
      <c r="G31" s="233" t="str">
        <f>IF(Med_disc!L53&lt;&gt;"",Med_disc!L53&amp;" "&amp;Med_disc!M53&amp;" "&amp;INDEX(ber_Med_disc!$B$27:$B$30,ber_Med_disc!O30,1)&amp;" in "&amp;Med_disc!$O$44,"")</f>
        <v/>
      </c>
      <c r="H31" s="106" t="str">
        <f>IF(OR($D31="1 dd",$D31="2 dd",$D31="3 dd",$D31="4 dd",$D31="6 dd",$D31="8 dd",$D31="12 dd",$D31="an",$D31="1 X"),VLOOKUP($D31,ber_tijden!$A$16:$X$26,ber_tijden!B$14,FALSE),"")</f>
        <v/>
      </c>
      <c r="I31" s="15" t="str">
        <f>IF(OR($D31="1 dd",$D31="2 dd",$D31="3 dd",$D31="4 dd",$D31="6 dd",$D31="8 dd",$D31="12 dd",$D31="an",$D31="1 X"),VLOOKUP($D31,ber_tijden!$A$16:$X$26,ber_tijden!C$14,FALSE),"")</f>
        <v/>
      </c>
      <c r="J31" s="106" t="str">
        <f>IF(OR($D31="1 dd",$D31="2 dd",$D31="3 dd",$D31="4 dd",$D31="6 dd",$D31="8 dd",$D31="12 dd",$D31="an",$D31="1 X"),VLOOKUP($D31,ber_tijden!$A$16:$X$26,ber_tijden!D$14,FALSE),"")</f>
        <v/>
      </c>
      <c r="K31" s="15" t="str">
        <f>IF(OR($D31="1 dd",$D31="2 dd",$D31="3 dd",$D31="4 dd",$D31="6 dd",$D31="8 dd",$D31="12 dd",$D31="an",$D31="1 X"),VLOOKUP($D31,ber_tijden!$A$16:$X$26,ber_tijden!E$14,FALSE),"")</f>
        <v/>
      </c>
      <c r="L31" s="106" t="str">
        <f>IF(OR($D31="1 dd",$D31="2 dd",$D31="3 dd",$D31="4 dd",$D31="6 dd",$D31="8 dd",$D31="12 dd",$D31="an",$D31="1 X"),VLOOKUP($D31,ber_tijden!$A$16:$X$26,ber_tijden!F$14,FALSE),"")</f>
        <v/>
      </c>
      <c r="M31" s="15" t="str">
        <f>IF(OR($D31="1 dd",$D31="2 dd",$D31="3 dd",$D31="4 dd",$D31="6 dd",$D31="8 dd",$D31="12 dd",$D31="an",$D31="1 X"),VLOOKUP($D31,ber_tijden!$A$16:$X$26,ber_tijden!G$14,FALSE),"")</f>
        <v/>
      </c>
      <c r="N31" s="106" t="str">
        <f>IF(OR($D31="1 dd",$D31="2 dd",$D31="3 dd",$D31="4 dd",$D31="6 dd",$D31="8 dd",$D31="12 dd",$D31="an",$D31="1 X"),VLOOKUP($D31,ber_tijden!$A$16:$X$26,ber_tijden!H$14,FALSE),"")</f>
        <v/>
      </c>
      <c r="O31" s="15" t="str">
        <f>IF(OR($D31="1 dd",$D31="2 dd",$D31="3 dd",$D31="4 dd",$D31="6 dd",$D31="8 dd",$D31="12 dd",$D31="an",$D31="1 X"),VLOOKUP($D31,ber_tijden!$A$16:$X$26,ber_tijden!I$14,FALSE),"")</f>
        <v/>
      </c>
      <c r="P31" s="106" t="str">
        <f>IF(OR($D31="1 dd",$D31="2 dd",$D31="3 dd",$D31="4 dd",$D31="6 dd",$D31="8 dd",$D31="12 dd",$D31="an",$D31="1 X"),VLOOKUP($D31,ber_tijden!$A$16:$X$26,ber_tijden!J$14,FALSE),"")</f>
        <v/>
      </c>
      <c r="Q31" s="15" t="str">
        <f>IF(OR($D31="1 dd",$D31="2 dd",$D31="3 dd",$D31="4 dd",$D31="6 dd",$D31="8 dd",$D31="12 dd",$D31="an",$D31="1 X"),VLOOKUP($D31,ber_tijden!$A$16:$X$26,ber_tijden!K$14,FALSE),"")</f>
        <v/>
      </c>
      <c r="R31" s="106" t="str">
        <f>IF(OR($D31="1 dd",$D31="2 dd",$D31="3 dd",$D31="4 dd",$D31="6 dd",$D31="8 dd",$D31="12 dd",$D31="an",$D31="1 X"),VLOOKUP($D31,ber_tijden!$A$16:$X$26,ber_tijden!L$14,FALSE),"")</f>
        <v/>
      </c>
      <c r="S31" s="15" t="str">
        <f>IF(OR($D31="1 dd",$D31="2 dd",$D31="3 dd",$D31="4 dd",$D31="6 dd",$D31="8 dd",$D31="12 dd",$D31="an",$D31="1 X"),VLOOKUP($D31,ber_tijden!$A$16:$X$26,ber_tijden!M$14,FALSE),"")</f>
        <v/>
      </c>
      <c r="T31" s="106" t="str">
        <f>IF(OR($D31="1 dd",$D31="2 dd",$D31="3 dd",$D31="4 dd",$D31="6 dd",$D31="8 dd",$D31="12 dd",$D31="an",$D31="1 X"),VLOOKUP($D31,ber_tijden!$A$16:$X$26,ber_tijden!N$14,FALSE),"")</f>
        <v/>
      </c>
      <c r="U31" s="15" t="str">
        <f>IF(OR($D31="1 dd",$D31="2 dd",$D31="3 dd",$D31="4 dd",$D31="6 dd",$D31="8 dd",$D31="12 dd",$D31="an",$D31="1 X"),VLOOKUP($D31,ber_tijden!$A$16:$X$26,ber_tijden!O$14,FALSE),"")</f>
        <v/>
      </c>
      <c r="V31" s="106" t="str">
        <f>IF(OR($D31="1 dd",$D31="2 dd",$D31="3 dd",$D31="4 dd",$D31="6 dd",$D31="8 dd",$D31="12 dd",$D31="an",$D31="1 X"),VLOOKUP($D31,ber_tijden!$A$16:$X$26,ber_tijden!P$14,FALSE),"")</f>
        <v/>
      </c>
      <c r="W31" s="15" t="str">
        <f>IF(OR($D31="1 dd",$D31="2 dd",$D31="3 dd",$D31="4 dd",$D31="6 dd",$D31="8 dd",$D31="12 dd",$D31="an",$D31="1 X"),VLOOKUP($D31,ber_tijden!$A$16:$X$26,ber_tijden!Q$14,FALSE),"")</f>
        <v/>
      </c>
      <c r="X31" s="106" t="str">
        <f>IF(OR($D31="1 dd",$D31="2 dd",$D31="3 dd",$D31="4 dd",$D31="6 dd",$D31="8 dd",$D31="12 dd",$D31="an",$D31="1 X"),VLOOKUP($D31,ber_tijden!$A$16:$X$26,ber_tijden!R$14,FALSE),"")</f>
        <v/>
      </c>
      <c r="Y31" s="15" t="str">
        <f>IF(OR($D31="1 dd",$D31="2 dd",$D31="3 dd",$D31="4 dd",$D31="6 dd",$D31="8 dd",$D31="12 dd",$D31="an",$D31="1 X"),VLOOKUP($D31,ber_tijden!$A$16:$X$26,ber_tijden!S$14,FALSE),"")</f>
        <v/>
      </c>
      <c r="Z31" s="106" t="str">
        <f>IF(OR($D31="1 dd",$D31="2 dd",$D31="3 dd",$D31="4 dd",$D31="6 dd",$D31="8 dd",$D31="12 dd",$D31="an",$D31="1 X"),VLOOKUP($D31,ber_tijden!$A$16:$X$26,ber_tijden!T$14,FALSE),"")</f>
        <v/>
      </c>
      <c r="AA31" s="15" t="str">
        <f>IF(OR($D31="1 dd",$D31="2 dd",$D31="3 dd",$D31="4 dd",$D31="6 dd",$D31="8 dd",$D31="12 dd",$D31="an",$D31="1 X"),VLOOKUP($D31,ber_tijden!$A$16:$X$26,ber_tijden!U$14,FALSE),"")</f>
        <v/>
      </c>
      <c r="AB31" s="106" t="str">
        <f>IF(OR($D31="1 dd",$D31="2 dd",$D31="3 dd",$D31="4 dd",$D31="6 dd",$D31="8 dd",$D31="12 dd",$D31="an",$D31="1 X"),VLOOKUP($D31,ber_tijden!$A$16:$X$26,ber_tijden!V$14,FALSE),"")</f>
        <v/>
      </c>
      <c r="AC31" s="15" t="str">
        <f>IF(OR($D31="1 dd",$D31="2 dd",$D31="3 dd",$D31="4 dd",$D31="6 dd",$D31="8 dd",$D31="12 dd",$D31="an",$D31="1 X"),VLOOKUP($D31,ber_tijden!$A$16:$X$26,ber_tijden!W$14,FALSE),"")</f>
        <v/>
      </c>
      <c r="AD31" s="106" t="str">
        <f>IF(OR($D31="1 dd",$D31="2 dd",$D31="3 dd",$D31="4 dd",$D31="6 dd",$D31="8 dd",$D31="12 dd",$D31="an",$D31="1 X"),VLOOKUP($D31,ber_tijden!$A$16:$X$26,ber_tijden!X$14,FALSE),"")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IF(ber_Med_disc!C31&lt;&gt;"",IF(ber_Med_disc!C31&gt;1,TRIM(ber_Med_disc!C31)&amp;", "&amp;ber_Opm!C45&amp;" ("&amp;ber_Med_disc!M31&amp;" "&amp;ber_Med_disc!F31&amp;"/kg/dag)",TRIM(ber_Med_disc!C31)&amp;", "&amp;ber_Opm!C45),"")</f>
        <v/>
      </c>
      <c r="D32" s="232" t="str">
        <f>IF(Med_disc!H64&lt;&gt;"",Med_disc!H64,"")</f>
        <v/>
      </c>
      <c r="E32" s="233" t="str">
        <f>IF(AND(D32&lt;&gt;"",D32&lt;&gt;"STOP"),ber_Med_disc!H31&amp;" "&amp;ber_Med_disc!F31,"")</f>
        <v/>
      </c>
      <c r="F32" s="233" t="str">
        <f>IF(AND(D32&lt;&gt;"",D32&lt;&gt;"STOP"),ber_Med_disc!L31," ")</f>
        <v xml:space="preserve"> </v>
      </c>
      <c r="G32" s="233" t="str">
        <f>IF(Med_disc!L54&lt;&gt;"",Med_disc!L54&amp;" "&amp;Med_disc!M54&amp;" "&amp;INDEX(ber_Med_disc!$B$27:$B$30,ber_Med_disc!O31,1)&amp;" in "&amp;Med_disc!$O$44,"")</f>
        <v/>
      </c>
      <c r="H32" s="106" t="str">
        <f>IF(OR($D32="1 dd",$D32="2 dd",$D32="3 dd",$D32="4 dd",$D32="6 dd",$D32="8 dd",$D32="12 dd",$D32="an",$D32="1 X"),VLOOKUP($D32,ber_tijden!$A$16:$X$26,ber_tijden!B$14,FALSE),"")</f>
        <v/>
      </c>
      <c r="I32" s="15" t="str">
        <f>IF(OR($D32="1 dd",$D32="2 dd",$D32="3 dd",$D32="4 dd",$D32="6 dd",$D32="8 dd",$D32="12 dd",$D32="an",$D32="1 X"),VLOOKUP($D32,ber_tijden!$A$16:$X$26,ber_tijden!C$14,FALSE),"")</f>
        <v/>
      </c>
      <c r="J32" s="106" t="str">
        <f>IF(OR($D32="1 dd",$D32="2 dd",$D32="3 dd",$D32="4 dd",$D32="6 dd",$D32="8 dd",$D32="12 dd",$D32="an",$D32="1 X"),VLOOKUP($D32,ber_tijden!$A$16:$X$26,ber_tijden!D$14,FALSE),"")</f>
        <v/>
      </c>
      <c r="K32" s="15" t="str">
        <f>IF(OR($D32="1 dd",$D32="2 dd",$D32="3 dd",$D32="4 dd",$D32="6 dd",$D32="8 dd",$D32="12 dd",$D32="an",$D32="1 X"),VLOOKUP($D32,ber_tijden!$A$16:$X$26,ber_tijden!E$14,FALSE),"")</f>
        <v/>
      </c>
      <c r="L32" s="106" t="str">
        <f>IF(OR($D32="1 dd",$D32="2 dd",$D32="3 dd",$D32="4 dd",$D32="6 dd",$D32="8 dd",$D32="12 dd",$D32="an",$D32="1 X"),VLOOKUP($D32,ber_tijden!$A$16:$X$26,ber_tijden!F$14,FALSE),"")</f>
        <v/>
      </c>
      <c r="M32" s="15" t="str">
        <f>IF(OR($D32="1 dd",$D32="2 dd",$D32="3 dd",$D32="4 dd",$D32="6 dd",$D32="8 dd",$D32="12 dd",$D32="an",$D32="1 X"),VLOOKUP($D32,ber_tijden!$A$16:$X$26,ber_tijden!G$14,FALSE),"")</f>
        <v/>
      </c>
      <c r="N32" s="106" t="str">
        <f>IF(OR($D32="1 dd",$D32="2 dd",$D32="3 dd",$D32="4 dd",$D32="6 dd",$D32="8 dd",$D32="12 dd",$D32="an",$D32="1 X"),VLOOKUP($D32,ber_tijden!$A$16:$X$26,ber_tijden!H$14,FALSE),"")</f>
        <v/>
      </c>
      <c r="O32" s="15" t="str">
        <f>IF(OR($D32="1 dd",$D32="2 dd",$D32="3 dd",$D32="4 dd",$D32="6 dd",$D32="8 dd",$D32="12 dd",$D32="an",$D32="1 X"),VLOOKUP($D32,ber_tijden!$A$16:$X$26,ber_tijden!I$14,FALSE),"")</f>
        <v/>
      </c>
      <c r="P32" s="106" t="str">
        <f>IF(OR($D32="1 dd",$D32="2 dd",$D32="3 dd",$D32="4 dd",$D32="6 dd",$D32="8 dd",$D32="12 dd",$D32="an",$D32="1 X"),VLOOKUP($D32,ber_tijden!$A$16:$X$26,ber_tijden!J$14,FALSE),"")</f>
        <v/>
      </c>
      <c r="Q32" s="15" t="str">
        <f>IF(OR($D32="1 dd",$D32="2 dd",$D32="3 dd",$D32="4 dd",$D32="6 dd",$D32="8 dd",$D32="12 dd",$D32="an",$D32="1 X"),VLOOKUP($D32,ber_tijden!$A$16:$X$26,ber_tijden!K$14,FALSE),"")</f>
        <v/>
      </c>
      <c r="R32" s="106" t="str">
        <f>IF(OR($D32="1 dd",$D32="2 dd",$D32="3 dd",$D32="4 dd",$D32="6 dd",$D32="8 dd",$D32="12 dd",$D32="an",$D32="1 X"),VLOOKUP($D32,ber_tijden!$A$16:$X$26,ber_tijden!L$14,FALSE),"")</f>
        <v/>
      </c>
      <c r="S32" s="15" t="str">
        <f>IF(OR($D32="1 dd",$D32="2 dd",$D32="3 dd",$D32="4 dd",$D32="6 dd",$D32="8 dd",$D32="12 dd",$D32="an",$D32="1 X"),VLOOKUP($D32,ber_tijden!$A$16:$X$26,ber_tijden!M$14,FALSE),"")</f>
        <v/>
      </c>
      <c r="T32" s="106" t="str">
        <f>IF(OR($D32="1 dd",$D32="2 dd",$D32="3 dd",$D32="4 dd",$D32="6 dd",$D32="8 dd",$D32="12 dd",$D32="an",$D32="1 X"),VLOOKUP($D32,ber_tijden!$A$16:$X$26,ber_tijden!N$14,FALSE),"")</f>
        <v/>
      </c>
      <c r="U32" s="15" t="str">
        <f>IF(OR($D32="1 dd",$D32="2 dd",$D32="3 dd",$D32="4 dd",$D32="6 dd",$D32="8 dd",$D32="12 dd",$D32="an",$D32="1 X"),VLOOKUP($D32,ber_tijden!$A$16:$X$26,ber_tijden!O$14,FALSE),"")</f>
        <v/>
      </c>
      <c r="V32" s="106" t="str">
        <f>IF(OR($D32="1 dd",$D32="2 dd",$D32="3 dd",$D32="4 dd",$D32="6 dd",$D32="8 dd",$D32="12 dd",$D32="an",$D32="1 X"),VLOOKUP($D32,ber_tijden!$A$16:$X$26,ber_tijden!P$14,FALSE),"")</f>
        <v/>
      </c>
      <c r="W32" s="15" t="str">
        <f>IF(OR($D32="1 dd",$D32="2 dd",$D32="3 dd",$D32="4 dd",$D32="6 dd",$D32="8 dd",$D32="12 dd",$D32="an",$D32="1 X"),VLOOKUP($D32,ber_tijden!$A$16:$X$26,ber_tijden!Q$14,FALSE),"")</f>
        <v/>
      </c>
      <c r="X32" s="106" t="str">
        <f>IF(OR($D32="1 dd",$D32="2 dd",$D32="3 dd",$D32="4 dd",$D32="6 dd",$D32="8 dd",$D32="12 dd",$D32="an",$D32="1 X"),VLOOKUP($D32,ber_tijden!$A$16:$X$26,ber_tijden!R$14,FALSE),"")</f>
        <v/>
      </c>
      <c r="Y32" s="15" t="str">
        <f>IF(OR($D32="1 dd",$D32="2 dd",$D32="3 dd",$D32="4 dd",$D32="6 dd",$D32="8 dd",$D32="12 dd",$D32="an",$D32="1 X"),VLOOKUP($D32,ber_tijden!$A$16:$X$26,ber_tijden!S$14,FALSE),"")</f>
        <v/>
      </c>
      <c r="Z32" s="106" t="str">
        <f>IF(OR($D32="1 dd",$D32="2 dd",$D32="3 dd",$D32="4 dd",$D32="6 dd",$D32="8 dd",$D32="12 dd",$D32="an",$D32="1 X"),VLOOKUP($D32,ber_tijden!$A$16:$X$26,ber_tijden!T$14,FALSE),"")</f>
        <v/>
      </c>
      <c r="AA32" s="15" t="str">
        <f>IF(OR($D32="1 dd",$D32="2 dd",$D32="3 dd",$D32="4 dd",$D32="6 dd",$D32="8 dd",$D32="12 dd",$D32="an",$D32="1 X"),VLOOKUP($D32,ber_tijden!$A$16:$X$26,ber_tijden!U$14,FALSE),"")</f>
        <v/>
      </c>
      <c r="AB32" s="106" t="str">
        <f>IF(OR($D32="1 dd",$D32="2 dd",$D32="3 dd",$D32="4 dd",$D32="6 dd",$D32="8 dd",$D32="12 dd",$D32="an",$D32="1 X"),VLOOKUP($D32,ber_tijden!$A$16:$X$26,ber_tijden!V$14,FALSE),"")</f>
        <v/>
      </c>
      <c r="AC32" s="15" t="str">
        <f>IF(OR($D32="1 dd",$D32="2 dd",$D32="3 dd",$D32="4 dd",$D32="6 dd",$D32="8 dd",$D32="12 dd",$D32="an",$D32="1 X"),VLOOKUP($D32,ber_tijden!$A$16:$X$26,ber_tijden!W$14,FALSE),"")</f>
        <v/>
      </c>
      <c r="AD32" s="106" t="str">
        <f>IF(OR($D32="1 dd",$D32="2 dd",$D32="3 dd",$D32="4 dd",$D32="6 dd",$D32="8 dd",$D32="12 dd",$D32="an",$D32="1 X"),VLOOKUP($D32,ber_tijden!$A$16:$X$26,ber_tijden!X$14,FALSE),"")</f>
        <v/>
      </c>
      <c r="AE32" s="17"/>
      <c r="AF32" s="105"/>
      <c r="AG32" s="17"/>
    </row>
  </sheetData>
  <sheetProtection algorithmName="SHA-512" hashValue="q2ju+I2xvl8wrCIE/IXyMjxCvhM9/87GH/sWH61i+yTKK9MrLGA7KX7LJemucruEqETykxiS94Mz2ebjzUMwOA==" saltValue="iSVGi28B8Bjo+zakrAjQMA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>
    <tabColor rgb="FF92D050"/>
  </sheetPr>
  <dimension ref="A1:X29"/>
  <sheetViews>
    <sheetView workbookViewId="0"/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IF(AND(TPN&lt;&gt;1,G16&lt;&gt;0,Gewicht/10&lt;=50),ROUND(ber_TPN!F7,0),"")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IF(AND(TPN&lt;&gt;1,G16&lt;&gt;0,Gewicht/10&lt;=50),ROUND(ber_TPN!F8,0),"")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IF(TPN&lt;&gt;1,ber_TPN!F4,"")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IF(AND(SSTglucose=2,TPN&lt;&gt;1,Gewicht/10&lt;=50),ROUND(ber_TPN!F6,0),"")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IF(AND(SSTglucose=3,TPN&lt;&gt;1,Gewicht/10&lt;=50),ROUND(ber_TPN!F6,0),"")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IF(AND(SSTglucose=5,TPN&lt;&gt;1,Gewicht/10&lt;=50),ROUND(ber_TPN!F6,0),"")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IF(AND(TPN&lt;&gt;1,B20&lt;&gt;"",Gewicht/10&lt;=50),IF(AND(SSTglucose&lt;&gt;2,SSTglucose&lt;&gt;3,SSTglucose&lt;&gt;5,SSTglucose&lt;11),ROUND(ber_TPN!F6,0),""),"")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SUM(G14:G20)+IF(AND(Gewicht/10&gt;=16,Gewicht/10&lt;=50),ber_TPN!F5,0)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ROUND(ber_TPN!F13,0)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ROUND(ber_TPN!F14,0)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IF(AND(OR(TPN=1,AND(TPN=2,SSTglucose&gt;10),Gewicht/10&gt;50)),ROUND(ber_TPN!F7,0),0)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IF(AND(OR(TPN=1,AND(TPN=2,SSTglucose&gt;10),Gewicht/10&gt;50)),ROUND(ber_TPN!F8,0),0)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ber_TPN!F9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ber_TPN!F10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IF(Gewicht/10&lt;=50,ber_TPN!F17,0)+IF(AND(SSTglucose=2,TPN=1,Gewicht/10&lt;=50),ROUND(ber_TPN!F6,0),0)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IF(AND(OR(TPN=1,AND(TPN=2,SSTglucose&gt;10),Gewicht/10&gt;50),SSTglucose&lt;&gt;2,SSTglucose&lt;&gt;11),ROUND(ber_TPN!F6,0),"")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IF(AND(SSTglucose=11),ROUND(ber_TPN!F6,0),"")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oJgWQ3LVqaN5KSXZD2HdPqsGDWVWtFXbrayHVNW0FwXd6k5YH3LyO0fNGsLoBCzMwByEOBOANXUOhgerO2503g==" saltValue="Fg+QeryHGmRYRXFa6B1aMw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IF(AND(SSTglucose=8,TPN&lt;&gt;1,Gewicht/10&lt;=10),ROUND(ber_TPN!F6,0),"")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ROUND(ber_TPN!F15,0)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IF(AND(OR(TPN=1,AND(TPN=2,SSTglucose&gt;10))),ROUND(ber_TPN!F8,0),0)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IF(AND(OR(TPN=1,AND(TPN=2,SSTglucose&gt;10)),SSTglucose&lt;&gt;2,SSTglucose&lt;&gt;11,SSTglucose&lt;&gt;12,SSTglucose&lt;&gt;13),ROUND(ber_TPN!F6,0),"")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IF(OR(SSTglucose=11),ROUND(ber_TPN!F6,0),"")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IF(AND(SSTglucose=12),ROUND(ber_TPN!F6,0),"")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IF(AND(SSTglucose=13),ROUND(ber_TPN!F6,0),"")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USyMYPUxgfiTteI1Whnw2RQSqPNOQ2DpXaeJpAxj3XpTk3qMR+kGQXOU6d2BqEm+r9hJ69aibd0czZY9tNe67A==" saltValue="C6QxMgtXljTWTp4FtAdB+g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ROUND(ber_TPN!F5,0)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IF(AND(SSTglucose=2,TPN&lt;&gt;1),ROUND(ber_TPN!F6,0),"")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IF(AND(SSTglucose=6,TPN&lt;&gt;1),ROUND(ber_TPN!F6,0),"")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IF(AND(OR(TPN=1,AND(TPN=2,SSTglucose&gt;10)),SSTglucose&lt;&gt;2,SSTglucose&lt;&gt;12,SSTglucose&lt;&gt;13),ROUND(ber_TPN!F6,0),"")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uXlNYsvhf0UupReA1fsoNz6dc7gnMrB061CLc1iVkzfjfeiQvvc0mnbeUrTwLjC84Dk1bGlR8j1ViMNyVX401Q==" saltValue="twKCrdCtmFci2Pf4gafql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ber_TPN!F24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IF(AND(TPN&lt;&gt;1,G15&lt;&gt;0),ROUND(ber_TPN!F7,0),"")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IF(AND(TPN&lt;&gt;1,G15&lt;&gt;0),ROUND(ber_TPN!F8,0),"")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IF(TPN&lt;&gt;1,ber_TPN!F4,"")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IF(AND(SSTglucose&lt;11,TPN&lt;&gt;1),ROUND(ber_TPN!F5,0),"")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IF(AND(SSTglucose=7,TPN&lt;&gt;1),ROUND(ber_TPN!F6,0),"")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IF(AND(SSTglucose=9,TPN&lt;&gt;1),ROUND(ber_TPN!F6,0),"")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ROUND(ber_TPN!F13,0)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IF(AND(OR(TPN=1,AND(TPN=2,SSTglucose&gt;10)),SSTglucose&lt;&gt;2,SSTglucose&lt;&gt;12,SSTglucose&lt;&gt;13),ber_TPN!F6,"")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jFk7/6RelrMBWRBS2oq0mMKAN0SNAgDXDV8YAl01O9H1IojccX6A6M+9CE6GYUkagX1Yq9ZBIcjG+i0GsULRLA==" saltValue="iCGUj7TK0+M8DtSkTQXYjA==" spinCount="10000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ber_TPN!F24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IF(TPN&lt;&gt;1,ber_TPN!F4,"")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IF(AND(OR(SSTglucose&lt;11,Gewicht/10&gt;50),TPN&lt;&gt;1),ROUND(ber_TPN!F5,0),0)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ROUND(ber_TPN!F13,0)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ROUND(ber_TPN!F14,0)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ROUND(ber_TPN!F15,0)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IF(AND(OR(TPN=1,Gewicht/10&gt;50,AND(TPN=2,SSTglucose&gt;10))),ROUND(ber_TPN!F7,0),"")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IF(AND(OR(TPN=1,Gewicht/10&gt;50,AND(TPN=2,SSTglucose&gt;10))),ROUND(ber_TPN!F8,0),"")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ber_TPN!F9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ber_TPN!F10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IF(Gewicht/10&lt;=50,ber_TPN!F17,0)+IF(OR(AND(SSTglucose=2,TPN=1),AND(SSTglucose=2,Gewicht/10&gt;50)),ROUND(ber_TPN!F6,0),0)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IF(AND(SSTglucose&lt;&gt;2,SSTglucose&lt;&gt;12,SSTglucose&lt;&gt;13),ber_TPN!F6,"")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IF(AND(SSTglucose=12),ROUND(ber_TPN!F6,0),"")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IF(AND(SSTglucose=13),ROUND(ber_TPN!F6,0),"")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i6O48v3DlAuJA53/pzMbOxWXUAB4X+wZZvPHgnFAzK14sVlOWsJ0tFL4QDnfyBVv5UmeF+9XMz2IRwQ/kAdDpw==" saltValue="z31AZxjk+5POhjRxCisWIw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>
    <tabColor rgb="FF92D050"/>
  </sheetPr>
  <dimension ref="A1:O40"/>
  <sheetViews>
    <sheetView topLeftCell="A10" workbookViewId="0">
      <selection activeCell="B40" sqref="B40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(ROUND(ber_TPN!F11*1.5/(Gewicht/10)/24/0.01,1)*24-ber_TPN!F11)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ROUND(Berekeningen!L50/_Gewicht,0)&amp;" ml/kg"</f>
        <v>0 ml/kg</v>
      </c>
      <c r="D3" s="425" t="str">
        <f>ROUND(Berekeningen!L49/_Gewicht,0)&amp;" ml/kg"</f>
        <v>0 ml/kg</v>
      </c>
      <c r="E3" s="425" t="str">
        <f ca="1">ROUND(Berekeningen!L47/_Gewicht,0)&amp;" ml/kg  "&amp;"= "&amp;ROUND(Berekeningen!L47,0)&amp;" ml"</f>
        <v>0 ml/kg  = 0 ml</v>
      </c>
      <c r="G3" s="424" t="s">
        <v>377</v>
      </c>
      <c r="H3" s="425" t="str">
        <f ca="1">ROUND(Berekeningen!M50/_Gewicht,1)&amp;" mmol/kg"</f>
        <v>0 mmol/kg</v>
      </c>
      <c r="I3" s="425" t="str">
        <f>ROUND(Berekeningen!M49/_Gewicht,1)&amp;" mmol/kg"</f>
        <v>0 mmol/kg</v>
      </c>
      <c r="J3" s="425" t="str">
        <f ca="1">ROUND(Berekeningen!M47/_Gewicht,1)&amp;"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ROUND(Berekeningen!R50/_Gewicht,1)&amp;" g/kg"</f>
        <v>0 g/kg</v>
      </c>
      <c r="D4" s="425" t="str">
        <f>ROUND(Berekeningen!R49/_Gewicht,1)&amp;" g/kg"</f>
        <v>0 g/kg</v>
      </c>
      <c r="E4" s="425" t="str">
        <f ca="1">ROUND(Berekeningen!R47/_Gewicht,1)&amp;" g/kg"</f>
        <v>0 g/kg</v>
      </c>
      <c r="G4" s="424" t="s">
        <v>577</v>
      </c>
      <c r="H4" s="425" t="str">
        <f ca="1">ROUND(Berekeningen!N50/_Gewicht,1)&amp;" mmol/kg"</f>
        <v>0 mmol/kg</v>
      </c>
      <c r="I4" s="425" t="str">
        <f>ROUND(Berekeningen!N49/_Gewicht,1)&amp;" mmol/kg"</f>
        <v>0 mmol/kg</v>
      </c>
      <c r="J4" s="425" t="str">
        <f ca="1">ROUND(Berekeningen!N47/_Gewicht,1)&amp;"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ROUND(Berekeningen!T50/_Gewicht,1)&amp;" g/kg"</f>
        <v>0 g/kg</v>
      </c>
      <c r="D5" s="425" t="str">
        <f>ROUND(Berekeningen!T49/_Gewicht,1)&amp;" g/kg"</f>
        <v>0 g/kg</v>
      </c>
      <c r="E5" s="425" t="str">
        <f ca="1">ROUND(Berekeningen!T47/_Gewicht,1)&amp;" g/kg"</f>
        <v>0 g/kg</v>
      </c>
      <c r="G5" s="424" t="s">
        <v>467</v>
      </c>
      <c r="H5" s="425" t="str">
        <f ca="1">ROUND(Berekeningen!O50/_Gewicht,1)&amp;" mmol/kg"</f>
        <v>0 mmol/kg</v>
      </c>
      <c r="I5" s="425" t="str">
        <f>ROUND(Berekeningen!O49/_Gewicht,1)&amp;" mmol/kg"</f>
        <v>0 mmol/kg</v>
      </c>
      <c r="J5" s="425" t="str">
        <f ca="1">ROUND(Berekeningen!O47/_Gewicht,1)&amp;"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ROUND(1000*Berekeningen!S50/_Gewicht/1440,1)&amp;" mg/kg/min"</f>
        <v>0 mg/kg/min</v>
      </c>
      <c r="D6" s="425" t="str">
        <f>ROUND(1000*Berekeningen!S49/_Gewicht/1440,1)&amp;" mg/kg/min"</f>
        <v>0 mg/kg/min</v>
      </c>
      <c r="E6" s="425" t="str">
        <f>ROUND(1000*Berekeningen!S47/_Gewicht/1440,1)&amp;" mg/kg/min"</f>
        <v>0 mg/kg/min</v>
      </c>
      <c r="G6" s="424" t="s">
        <v>643</v>
      </c>
      <c r="H6" s="425" t="str">
        <f ca="1">ROUND(Berekeningen!P50/_Gewicht,1)&amp;" mmol/kg"</f>
        <v>0 mmol/kg</v>
      </c>
      <c r="I6" s="425" t="str">
        <f>ROUND(Berekeningen!P49/_Gewicht,1)&amp;" mmol/kg"</f>
        <v>0 mmol/kg</v>
      </c>
      <c r="J6" s="425" t="str">
        <f ca="1">ROUND(Berekeningen!P47/_Gewicht,1)&amp;"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ROUND(Berekeningen!U50/_Gewicht,1)&amp; " kcal/kg"</f>
        <v>0 kcal/kg</v>
      </c>
      <c r="D7" s="425" t="str">
        <f>ROUND(Berekeningen!U49/_Gewicht,1)&amp; " kcal/kg"</f>
        <v>0 kcal/kg</v>
      </c>
      <c r="E7" s="425" t="str">
        <f ca="1">ROUND(Berekeningen!U47/_Gewicht,1)&amp; " kcal/kg"</f>
        <v>0 kcal/kg</v>
      </c>
      <c r="G7" s="424" t="s">
        <v>1045</v>
      </c>
      <c r="H7" s="425" t="str">
        <f ca="1">ROUND(Berekeningen!V50/_Gewicht,1)&amp;" mmol/kg"</f>
        <v>0 mmol/kg</v>
      </c>
      <c r="I7" s="425" t="str">
        <f>ROUND(Berekeningen!V49/_Gewicht,1)&amp;" mmol/kg"</f>
        <v>0 mmol/kg</v>
      </c>
      <c r="J7" s="425" t="str">
        <f ca="1">ROUND(Berekeningen!V47/_Gewicht,1)&amp;"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ROUND(Berekeningen!W50,0)&amp; " IE"</f>
        <v>0 IE</v>
      </c>
      <c r="D8" s="428" t="str">
        <f>ROUND(Berekeningen!W49,0)&amp; " IE"</f>
        <v>0 IE</v>
      </c>
      <c r="E8" s="428" t="str">
        <f ca="1">ROUND(Berekeningen!W47,0)&amp; " IE"</f>
        <v>0 IE</v>
      </c>
      <c r="F8" s="426"/>
      <c r="G8" s="427" t="s">
        <v>468</v>
      </c>
      <c r="H8" s="428" t="str">
        <f>ROUND(Berekeningen!Q50/_Gewicht,1)&amp;" mmol/kg"</f>
        <v>0 mmol/kg</v>
      </c>
      <c r="I8" s="428" t="str">
        <f>ROUND(Berekeningen!Q49/_Gewicht,1)&amp;" mmol/kg"</f>
        <v>0 mmol/kg</v>
      </c>
      <c r="J8" s="428" t="str">
        <f>ROUND(Berekeningen!Q47/_Gewicht,1)&amp;"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Berekeningen!B3-Berekeningen!C3</f>
        <v>42370</v>
      </c>
      <c r="J12" s="504" t="str">
        <f ca="1">"=dag "&amp;Berekeningen!B6</f>
        <v>=dag 353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TRUNC((H13*7+J13+Berekeningen!B6-1)/7)&amp;" weken en "&amp; H13*7+J13+Berekeningen!B6-1-TRUNC((H13*7+J13+Berekeningen!B6-1)/7)*7&amp;" dag(-en)"</f>
        <v>80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IF(Berekeningen!B17,Berekeningen!C16,ROUND(Berekeningen!L47/_Gewicht,1))</f>
        <v>0</v>
      </c>
      <c r="F18" s="437" t="s">
        <v>1055</v>
      </c>
      <c r="K18" s="438" t="str">
        <f ca="1">ROUND(Berekeningen!B16,0)&amp;"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IF(_Voeding&gt;1,Berekeningen!D10,"")</f>
        <v/>
      </c>
      <c r="F21" s="443" t="s">
        <v>1058</v>
      </c>
      <c r="G21" s="444" t="str">
        <f>IF(_Voeding&gt;1,Berekeningen!D11/10&amp;"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IF(_Voeding&gt;1,Berekeningen!D12,"")</f>
        <v/>
      </c>
      <c r="F22" s="443" t="s">
        <v>1058</v>
      </c>
      <c r="G22" s="444" t="str">
        <f>IF(_Voeding&gt;1,Berekeningen!D13/10&amp;"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INDEX(_VoedingBMFWaarden,Berekeningen!L52)&amp;" %"</f>
        <v>#VALUE!</v>
      </c>
    </row>
    <row r="24" spans="1:15" ht="15.95" customHeight="1" x14ac:dyDescent="0.4">
      <c r="H24" s="441"/>
      <c r="K24" s="446" t="e">
        <f>INDEX(_VoedingToevoegingenWaarden,Berekeningen!L53)&amp;" %"</f>
        <v>#VALUE!</v>
      </c>
      <c r="O24" s="446" t="e">
        <f>INDEX(_VoedingToevoegingenWaarden,Berekeningen!L58)&amp;" %"</f>
        <v>#VALUE!</v>
      </c>
    </row>
    <row r="25" spans="1:15" ht="15.95" customHeight="1" x14ac:dyDescent="0.4">
      <c r="H25" s="441"/>
      <c r="K25" s="446" t="e">
        <f>INDEX(_VoedingToevoegingenWaarden,Berekeningen!L54)&amp;" %"</f>
        <v>#VALUE!</v>
      </c>
      <c r="O25" s="446" t="e">
        <f>INDEX(_VoedingToevoegingenWaarden,Berekeningen!L59)&amp;" %"</f>
        <v>#VALUE!</v>
      </c>
    </row>
    <row r="26" spans="1:15" ht="15.95" customHeight="1" x14ac:dyDescent="0.4">
      <c r="H26" s="441"/>
      <c r="K26" s="446" t="e">
        <f>INDEX(_VoedingToevoegingenWaarden,Berekeningen!L55)&amp;" %"</f>
        <v>#VALUE!</v>
      </c>
      <c r="O26" s="446" t="e">
        <f>INDEX(_VoedingToevoegingenWaarden,Berekeningen!L60)&amp;"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INDEX(_VoedingToevoegingenWaarden,Berekeningen!L56)&amp;" %"</f>
        <v>#VALUE!</v>
      </c>
      <c r="L27" s="447"/>
      <c r="M27" s="447"/>
      <c r="N27" s="447"/>
      <c r="O27" s="446" t="e">
        <f>INDEX(_VoedingToevoegingenWaarden,Berekeningen!L61)&amp;" %"</f>
        <v>#VALUE!</v>
      </c>
    </row>
    <row r="28" spans="1:15" ht="15.95" customHeight="1" x14ac:dyDescent="0.4">
      <c r="B28" s="424" t="s">
        <v>1061</v>
      </c>
      <c r="E28" s="449">
        <f ca="1">IF(Berekeningen!B17,Berekeningen!C17,Berekeningen!L50)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Berekeningen!B18/10&amp;"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IF(Berekeningen!C20&gt;0,IF(Berekeningen!B20&lt;&gt;5,Berekeningen!C20/10&amp;" mg",Berekeningen!C20/10&amp;" mg"),"")</f>
        <v/>
      </c>
      <c r="D32" s="456" t="str">
        <f>IF(Berekeningen!D20&gt;0,"in "&amp;Berekeningen!D20&amp;" ml","")</f>
        <v/>
      </c>
      <c r="E32" s="457"/>
      <c r="F32" s="455"/>
      <c r="G32" s="458" t="str">
        <f>IF(Berekeningen!F20/10&gt;0,Berekeningen!F20/10&amp;" ml/uur","")</f>
        <v/>
      </c>
      <c r="H32" s="456" t="str">
        <f>IF(AND(Berekeningen!I20&gt;0),ROUND(Berekeningen!I20,2),"")</f>
        <v/>
      </c>
      <c r="I32" s="456">
        <f>IF(_Medicament_1&gt;0,INDEX(Medicamenten,Berekeningen!B20,6),"")</f>
        <v>0</v>
      </c>
      <c r="J32" s="439"/>
      <c r="K32" s="438">
        <f>INDEX(Medicamenten,Berekeningen!B20,2)</f>
        <v>0</v>
      </c>
      <c r="L32" s="438"/>
      <c r="M32" s="459"/>
      <c r="N32" s="460" t="str">
        <f>IF(Berekeningen!I20&gt;0,IF(Berekeningen!Y20*10&gt;1,Berekeningen!X20&amp;" uren",Berekeningen!X20&amp;" minuten"),"")</f>
        <v/>
      </c>
    </row>
    <row r="33" spans="1:14" ht="15.95" customHeight="1" x14ac:dyDescent="0.4">
      <c r="A33" s="451">
        <v>2</v>
      </c>
      <c r="B33" s="461"/>
      <c r="C33" s="462" t="str">
        <f>IF(Berekeningen!C21&gt;0,Berekeningen!C21/10&amp;" mg","")</f>
        <v/>
      </c>
      <c r="D33" s="462" t="str">
        <f>IF(Berekeningen!D21&gt;0,"in "&amp;Berekeningen!D21&amp;" ml","")</f>
        <v/>
      </c>
      <c r="E33" s="463"/>
      <c r="F33" s="461"/>
      <c r="G33" s="464" t="str">
        <f>IF(Berekeningen!F21/10&gt;0,Berekeningen!F21/10&amp;" ml/uur","")</f>
        <v/>
      </c>
      <c r="H33" s="456" t="str">
        <f>IF(AND(Berekeningen!I21&gt;0),ROUND(Berekeningen!I21,2),"")</f>
        <v/>
      </c>
      <c r="I33" s="456">
        <f>IF(_Medicament_1&gt;0,INDEX(Medicamenten,Berekeningen!B21,6),"")</f>
        <v>0</v>
      </c>
      <c r="J33" s="465"/>
      <c r="K33" s="466">
        <f>INDEX(Medicamenten,Berekeningen!B21,2)</f>
        <v>0</v>
      </c>
      <c r="L33" s="466"/>
      <c r="M33" s="467"/>
      <c r="N33" s="468" t="str">
        <f>IF(Berekeningen!I21&gt;0,IF(Berekeningen!Y21*10&gt;1,Berekeningen!X21&amp;" uren",Berekeningen!X21&amp;" minuten"),"")</f>
        <v/>
      </c>
    </row>
    <row r="34" spans="1:14" ht="15.95" customHeight="1" x14ac:dyDescent="0.4">
      <c r="A34" s="451">
        <v>3</v>
      </c>
      <c r="B34" s="461"/>
      <c r="C34" s="462" t="str">
        <f>IF(Berekeningen!C22&gt;0,Berekeningen!C22/10&amp;" mg","")</f>
        <v/>
      </c>
      <c r="D34" s="462" t="str">
        <f>IF(Berekeningen!D22&gt;0,"in "&amp;Berekeningen!D22&amp;" ml","")</f>
        <v/>
      </c>
      <c r="E34" s="463"/>
      <c r="F34" s="461"/>
      <c r="G34" s="464" t="str">
        <f>IF(Berekeningen!F22/10&gt;0,Berekeningen!F22/10&amp;" ml/uur","")</f>
        <v/>
      </c>
      <c r="H34" s="456" t="str">
        <f>IF(AND(Berekeningen!I22&gt;0),ROUND(Berekeningen!I22,2),"")</f>
        <v/>
      </c>
      <c r="I34" s="456">
        <f>IF(_Medicament_1&gt;0,INDEX(Medicamenten,Berekeningen!B22,6),"")</f>
        <v>0</v>
      </c>
      <c r="J34" s="465"/>
      <c r="K34" s="466">
        <f>INDEX(Medicamenten,Berekeningen!B22,2)</f>
        <v>0</v>
      </c>
      <c r="L34" s="466"/>
      <c r="M34" s="467"/>
      <c r="N34" s="468" t="str">
        <f>IF(Berekeningen!I22&gt;0,IF(Berekeningen!Y22*10&gt;1,Berekeningen!X22&amp;" uren",Berekeningen!X22&amp;" minuten"),"")</f>
        <v/>
      </c>
    </row>
    <row r="35" spans="1:14" ht="15.95" customHeight="1" x14ac:dyDescent="0.4">
      <c r="A35" s="451">
        <v>4</v>
      </c>
      <c r="B35" s="461"/>
      <c r="C35" s="462" t="str">
        <f>IF(Berekeningen!C23&gt;0,Berekeningen!C23/10&amp;" mg","")</f>
        <v/>
      </c>
      <c r="D35" s="462" t="str">
        <f>IF(Berekeningen!D23&gt;0,"in "&amp;Berekeningen!D23&amp;" ml","")</f>
        <v/>
      </c>
      <c r="E35" s="463"/>
      <c r="F35" s="461"/>
      <c r="G35" s="464" t="str">
        <f>IF(Berekeningen!F23/10&gt;0,Berekeningen!F23/10&amp;" ml/uur","")</f>
        <v/>
      </c>
      <c r="H35" s="456" t="str">
        <f>IF(AND(Berekeningen!I23&gt;0),ROUND(Berekeningen!I23,2),"")</f>
        <v/>
      </c>
      <c r="I35" s="456">
        <f>IF(_Medicament_1&gt;0,INDEX(Medicamenten,Berekeningen!B23,6),"")</f>
        <v>0</v>
      </c>
      <c r="J35" s="465"/>
      <c r="K35" s="466">
        <f>INDEX(Medicamenten,Berekeningen!B23,2)</f>
        <v>0</v>
      </c>
      <c r="L35" s="466"/>
      <c r="M35" s="467"/>
      <c r="N35" s="468" t="str">
        <f>IF(Berekeningen!I23&gt;0,IF(Berekeningen!Y23*10&gt;1,Berekeningen!X23&amp;" uren",Berekeningen!X23&amp;" minuten"),"")</f>
        <v/>
      </c>
    </row>
    <row r="36" spans="1:14" ht="15.95" customHeight="1" x14ac:dyDescent="0.4">
      <c r="A36" s="451">
        <v>5</v>
      </c>
      <c r="B36" s="461"/>
      <c r="C36" s="462" t="str">
        <f>IF(Berekeningen!C24&gt;0,Berekeningen!C24/10&amp;" mg","")</f>
        <v/>
      </c>
      <c r="D36" s="462" t="str">
        <f>IF(Berekeningen!D24&gt;0,"in "&amp;Berekeningen!D24&amp;" ml","")</f>
        <v/>
      </c>
      <c r="E36" s="463"/>
      <c r="F36" s="461"/>
      <c r="G36" s="464" t="str">
        <f>IF(Berekeningen!F24/10&gt;0,Berekeningen!F24/10&amp;" ml/uur","")</f>
        <v/>
      </c>
      <c r="H36" s="456" t="str">
        <f>IF(AND(Berekeningen!I24&gt;0),ROUND(Berekeningen!I24,2),"")</f>
        <v/>
      </c>
      <c r="I36" s="456">
        <f>IF(_Medicament_1&gt;0,INDEX(Medicamenten,Berekeningen!B24,6),"")</f>
        <v>0</v>
      </c>
      <c r="J36" s="465"/>
      <c r="K36" s="466">
        <f>INDEX(Medicamenten,Berekeningen!B24,2)</f>
        <v>0</v>
      </c>
      <c r="L36" s="466"/>
      <c r="M36" s="467"/>
      <c r="N36" s="468" t="str">
        <f>IF(Berekeningen!I24&gt;0,IF(Berekeningen!Y24*10&gt;1,Berekeningen!X24&amp;" uren",Berekeningen!X24&amp;" minuten"),"")</f>
        <v/>
      </c>
    </row>
    <row r="37" spans="1:14" ht="15.95" customHeight="1" x14ac:dyDescent="0.4">
      <c r="A37" s="451">
        <v>6</v>
      </c>
      <c r="B37" s="461"/>
      <c r="C37" s="462" t="str">
        <f>IF(Berekeningen!C25&gt;0,Berekeningen!C25/10&amp;" mg","")</f>
        <v/>
      </c>
      <c r="D37" s="462" t="str">
        <f>IF(Berekeningen!D25&gt;0,"in "&amp;Berekeningen!D25&amp;" ml","")</f>
        <v/>
      </c>
      <c r="E37" s="463"/>
      <c r="F37" s="461"/>
      <c r="G37" s="464" t="str">
        <f>IF(Berekeningen!F25/10&gt;0,Berekeningen!F25/10&amp;" ml/uur","")</f>
        <v/>
      </c>
      <c r="H37" s="456" t="str">
        <f>IF(AND(Berekeningen!I25&gt;0),ROUND(Berekeningen!I25,2),"")</f>
        <v/>
      </c>
      <c r="I37" s="456">
        <f>IF(_Medicament_1&gt;0,INDEX(Medicamenten,Berekeningen!B25,6),"")</f>
        <v>0</v>
      </c>
      <c r="J37" s="465"/>
      <c r="K37" s="466">
        <f>INDEX(Medicamenten,Berekeningen!B25,2)</f>
        <v>0</v>
      </c>
      <c r="L37" s="466"/>
      <c r="M37" s="467"/>
      <c r="N37" s="468" t="str">
        <f>IF(Berekeningen!I25&gt;0,IF(Berekeningen!Y25*10&gt;1,Berekeningen!X25&amp;" uren",Berekeningen!X25&amp;" minuten"),"")</f>
        <v/>
      </c>
    </row>
    <row r="38" spans="1:14" ht="15.95" customHeight="1" x14ac:dyDescent="0.4">
      <c r="A38" s="451">
        <v>7</v>
      </c>
      <c r="B38" s="461"/>
      <c r="C38" s="462" t="str">
        <f>IF(Berekeningen!C26&gt;0,Berekeningen!C26/10&amp;" mg","")</f>
        <v/>
      </c>
      <c r="D38" s="462" t="str">
        <f>IF(Berekeningen!D26&gt;0,"in "&amp;Berekeningen!D26&amp;" ml","")</f>
        <v/>
      </c>
      <c r="E38" s="463"/>
      <c r="F38" s="461"/>
      <c r="G38" s="464" t="str">
        <f>IF(Berekeningen!F26/10&gt;0,Berekeningen!F26/10&amp;" ml/uur","")</f>
        <v/>
      </c>
      <c r="H38" s="456" t="str">
        <f>IF(AND(Berekeningen!I26&gt;0),ROUND(Berekeningen!I26,2),"")</f>
        <v/>
      </c>
      <c r="I38" s="456">
        <f>IF(_Medicament_1&gt;0,INDEX(Medicamenten,Berekeningen!B26,6),"")</f>
        <v>0</v>
      </c>
      <c r="J38" s="465"/>
      <c r="K38" s="466">
        <f>INDEX(Medicamenten,Berekeningen!B26,2)</f>
        <v>0</v>
      </c>
      <c r="L38" s="466"/>
      <c r="M38" s="467"/>
      <c r="N38" s="468" t="str">
        <f>IF(Berekeningen!I26&gt;0,IF(Berekeningen!Y26*10&gt;1,Berekeningen!X26&amp;" uren",Berekeningen!X26&amp;" minuten"),"")</f>
        <v/>
      </c>
    </row>
    <row r="39" spans="1:14" ht="15.95" customHeight="1" x14ac:dyDescent="0.4">
      <c r="A39" s="451">
        <v>8</v>
      </c>
      <c r="B39" s="461"/>
      <c r="C39" s="462" t="str">
        <f>IF(Berekeningen!C27&gt;0,Berekeningen!C27/10&amp;" mg","")</f>
        <v/>
      </c>
      <c r="D39" s="462" t="str">
        <f>IF(Berekeningen!D27&gt;0,"in "&amp;Berekeningen!D27&amp;" ml","")</f>
        <v/>
      </c>
      <c r="E39" s="463"/>
      <c r="F39" s="461"/>
      <c r="G39" s="464" t="str">
        <f>IF(Berekeningen!F27/10&gt;0,Berekeningen!F27/10&amp;" ml/uur","")</f>
        <v/>
      </c>
      <c r="H39" s="456" t="str">
        <f>IF(AND(Berekeningen!I27&gt;0),ROUND(Berekeningen!I27,2),"")</f>
        <v/>
      </c>
      <c r="I39" s="456">
        <f>IF(_Medicament_1&gt;0,INDEX(Medicamenten,Berekeningen!B27,6),"")</f>
        <v>0</v>
      </c>
      <c r="J39" s="465"/>
      <c r="K39" s="466">
        <f>INDEX(Medicamenten,Berekeningen!B27,2)</f>
        <v>0</v>
      </c>
      <c r="L39" s="466"/>
      <c r="M39" s="467"/>
      <c r="N39" s="468" t="str">
        <f>IF(Berekeningen!I27&gt;0,IF(Berekeningen!Y27*10&gt;1,Berekeningen!X27&amp;" uren",Berekeningen!X27&amp;" minuten"),"")</f>
        <v/>
      </c>
    </row>
    <row r="40" spans="1:14" ht="15.95" customHeight="1" x14ac:dyDescent="0.4">
      <c r="A40" s="451">
        <v>9</v>
      </c>
      <c r="B40" s="461"/>
      <c r="C40" s="462" t="str">
        <f>IF(Berekeningen!C28&gt;0,Berekeningen!C28/10&amp;" mg","")</f>
        <v/>
      </c>
      <c r="D40" s="462" t="str">
        <f>IF(Berekeningen!D28&gt;0,"in "&amp;Berekeningen!D28&amp;" ml","")</f>
        <v/>
      </c>
      <c r="E40" s="463"/>
      <c r="F40" s="455"/>
      <c r="G40" s="458" t="str">
        <f>IF(Berekeningen!F28/10&gt;0,Berekeningen!F28/10&amp;" ml/uur","")</f>
        <v/>
      </c>
      <c r="H40" s="456" t="str">
        <f>IF(AND(Berekeningen!I28&gt;0),ROUND(Berekeningen!I28,2),"")</f>
        <v/>
      </c>
      <c r="I40" s="456">
        <f>IF(_Medicament_1&gt;0,INDEX(Medicamenten,Berekeningen!B28,6),"")</f>
        <v>0</v>
      </c>
      <c r="J40" s="439"/>
      <c r="K40" s="466">
        <f>INDEX(Medicamenten,Berekeningen!B28,2)</f>
        <v>0</v>
      </c>
      <c r="L40" s="466"/>
      <c r="M40" s="467"/>
      <c r="N40" s="468" t="str">
        <f>IF(Berekeningen!I28&gt;0,IF(Berekeningen!Y28*10&gt;1,Berekeningen!X28&amp;" uren",Berekeningen!X28&amp;"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IF(Berekeningen!F29/10&gt;0,Berekeningen!F29/10&amp;" ml/uur","")</f>
        <v/>
      </c>
      <c r="H42" s="476" t="str">
        <f>IF(Berekeningen!I32&gt;0,"= "&amp;ROUND(Berekeningen!I32,2),"")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IF(Berekeningen!F30/10&gt;0,Berekeningen!F30/10&amp;" ml/uur","")</f>
        <v/>
      </c>
      <c r="H43" s="476" t="str">
        <f>IF(Berekeningen!I33&gt;0,"= "&amp;ROUND(Berekeningen!I33,2),"")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IF(Berekeningen!F31/10&gt;0,Berekeningen!F31/10&amp;" ml/uur","")</f>
        <v/>
      </c>
      <c r="H44" s="476" t="str">
        <f>IF(Berekeningen!I34&gt;0,"= "&amp;ROUND(Berekeningen!I34,2),"")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IF(Berekeningen!C35&gt;0,Berekeningen!C35&amp;" ml","")</f>
        <v/>
      </c>
      <c r="F48" s="432" t="str">
        <f ca="1">IF(E48&lt;&gt;"",ROUND(Berekeningen!C35/_Gewicht,0)&amp;" ml/ kg","")</f>
        <v/>
      </c>
      <c r="K48" s="438" t="str">
        <f ca="1">IF(Berekeningen!B35&gt;0,Berekeningen!B35&amp;"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IF(Berekeningen!$D$36=1,Berekeningen!C37&amp;" ml","")</f>
        <v>0 ml</v>
      </c>
      <c r="F52" s="439"/>
      <c r="G52" s="439"/>
      <c r="H52" s="439"/>
      <c r="I52" s="484" t="str">
        <f>IF(Berekeningen!$D$36=3,Berekeningen!C37&amp;" ml","")</f>
        <v/>
      </c>
      <c r="J52" s="439"/>
      <c r="K52" s="438" t="str">
        <f ca="1">IF(Berekeningen!B37&gt;0,Berekeningen!B37&amp;"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IF(Berekeningen!$D$36=1,Berekeningen!C38&amp;" ml","")</f>
        <v>0 ml</v>
      </c>
      <c r="F53" s="465"/>
      <c r="G53" s="465"/>
      <c r="H53" s="465"/>
      <c r="I53" s="486" t="str">
        <f>IF(Berekeningen!$D$36=3,Berekeningen!C38&amp;" ml","")</f>
        <v/>
      </c>
      <c r="J53" s="465"/>
      <c r="K53" s="466" t="str">
        <f ca="1">IF(Berekeningen!B38&gt;0,Berekeningen!B38&amp;"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IF(Berekeningen!$D$36=1,Berekeningen!C39&amp;" ml","")</f>
        <v>0 ml</v>
      </c>
      <c r="F54" s="465"/>
      <c r="G54" s="465"/>
      <c r="H54" s="465"/>
      <c r="I54" s="465"/>
      <c r="J54" s="465"/>
      <c r="K54" s="466" t="str">
        <f ca="1">IF(Berekeningen!B39&gt;0,Berekeningen!B39&amp;"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IF(Berekeningen!$D$36=1,Berekeningen!C40&amp;" ml","")</f>
        <v>0 ml</v>
      </c>
      <c r="F55" s="465"/>
      <c r="G55" s="465"/>
      <c r="H55" s="465"/>
      <c r="I55" s="465"/>
      <c r="J55" s="465"/>
      <c r="K55" s="466" t="str">
        <f ca="1">IF(Berekeningen!B40&gt;0,Berekeningen!B40&amp;"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IF(Berekeningen!$D$36=1,Berekeningen!C41&amp;" ml","")</f>
        <v>0 ml</v>
      </c>
      <c r="F56" s="465"/>
      <c r="G56" s="465"/>
      <c r="H56" s="465"/>
      <c r="I56" s="465"/>
      <c r="J56" s="465"/>
      <c r="K56" s="466" t="str">
        <f ca="1">IF(Berekeningen!B41&gt;0,Berekeningen!B41&amp;"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IF(Berekeningen!$D$36=1,Berekeningen!C42&amp;" ml","")</f>
        <v>0 ml</v>
      </c>
      <c r="F57" s="465"/>
      <c r="G57" s="465"/>
      <c r="H57" s="465"/>
      <c r="I57" s="465"/>
      <c r="J57" s="465"/>
      <c r="K57" s="466" t="str">
        <f ca="1">IF(Berekeningen!B42&gt;0,Berekeningen!B42&amp;"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IF(Berekeningen!D36=2,Berekeningen!C43&amp;" ml","")</f>
        <v/>
      </c>
      <c r="H58" s="487" t="str">
        <f>IF(G58&lt;&gt;"","("&amp;ROUND(Berekeningen!C43/_Gewicht,0)&amp;" ml/kg)","")</f>
        <v/>
      </c>
      <c r="I58" s="465"/>
      <c r="J58" s="465"/>
      <c r="K58" s="466" t="str">
        <f ca="1">IF(Berekeningen!B43&gt;0,Berekeningen!B43&amp;"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IF(Berekeningen!$D$36=3,Berekeningen!C44&amp;" ml","")</f>
        <v/>
      </c>
      <c r="J59" s="487" t="str">
        <f>IF(I59&lt;&gt;"","("&amp;ROUND(Berekeningen!C44/_Gewicht,0)&amp;" ml/kg)","")</f>
        <v/>
      </c>
      <c r="K59" s="466" t="str">
        <f ca="1">IF(Berekeningen!B44&gt;0,Berekeningen!B44&amp;"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IF(Berekeningen!D36=1,Berekeningen!L45,"")</f>
        <v>0</v>
      </c>
      <c r="F60" s="465" t="str">
        <f>IF(E60&lt;&gt;"","ml","")</f>
        <v>ml</v>
      </c>
      <c r="G60" s="488" t="str">
        <f>IF(Berekeningen!D36=2,Berekeningen!L45,"")</f>
        <v/>
      </c>
      <c r="H60" s="465" t="str">
        <f>IF(G60&lt;&gt;"","ml","")</f>
        <v/>
      </c>
      <c r="I60" s="488" t="str">
        <f>IF(Berekeningen!D36=3,Berekeningen!L45,"")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TRIM(Ber_Lab_Neo!P4&amp;" "&amp;Ber_Lab_Neo!P5&amp;" "&amp;Ber_Lab_Neo!P6&amp;" "&amp;Ber_Lab_Neo!P7&amp;" "&amp;Ber_Lab_Neo!P8&amp;" "&amp;Ber_Lab_Neo!P9&amp;" "&amp;Ber_Lab_Neo!P10&amp;" "&amp;Ber_Lab_Neo!P11&amp;" "&amp;Ber_Lab_Neo!P12&amp;" "&amp;Ber_Lab_Neo!P13&amp;" "&amp;Ber_Lab_Neo!P14&amp;" "&amp;Ber_Lab_Neo!P15&amp;" "&amp;Ber_Lab_Neo!P16&amp;" "&amp;Ber_Lab_Neo!P17&amp;" "&amp;Ber_Lab_Neo!P18&amp;" "&amp;Ber_Lab_Neo!P19&amp;" "&amp;Ber_Lab_Neo!P20&amp;" "&amp;Ber_Lab_Neo!P21&amp;" "&amp;Ber_Lab_Neo!P22&amp;" "&amp;Ber_Lab_Neo!P23&amp;" "&amp;Ber_Lab_Neo!P24&amp;" "&amp;Ber_Lab_Neo!P25&amp;" "&amp;Ber_Lab_Neo!P26&amp;" "&amp;Ber_Lab_Neo!P27&amp;" "&amp;Ber_Lab_Neo!P28&amp;" "&amp;Ber_Lab_Neo!P29&amp;" "&amp;Ber_Lab_Neo!P30&amp;" "&amp;Ber_Lab_Neo!P31&amp;" "&amp;Ber_Lab_Neo!P32&amp;" "&amp;Ber_Lab_Neo!P33&amp;" "&amp;Ber_Lab_Neo!P34)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TRIM(Ber_Lab_Neo!R4&amp;" "&amp;Ber_Lab_Neo!R5&amp;" "&amp;Ber_Lab_Neo!R6&amp;" "&amp;Ber_Lab_Neo!R7&amp;" "&amp;Ber_Lab_Neo!R8&amp;" "&amp;Ber_Lab_Neo!R9&amp;" "&amp;Ber_Lab_Neo!R10&amp;" "&amp;Ber_Lab_Neo!R11&amp;" "&amp;Ber_Lab_Neo!R12&amp;" "&amp;Ber_Lab_Neo!R13&amp;" "&amp;Ber_Lab_Neo!R14&amp;" "&amp;Ber_Lab_Neo!R15&amp;" "&amp;Ber_Lab_Neo!R16&amp;" "&amp;Ber_Lab_Neo!R17&amp;" "&amp;Ber_Lab_Neo!R18&amp;" "&amp;Ber_Lab_Neo!R19&amp;" "&amp;Ber_Lab_Neo!R20&amp;" "&amp;Ber_Lab_Neo!R21&amp;" "&amp;Ber_Lab_Neo!R22&amp;" "&amp;Ber_Lab_Neo!R23&amp;" "&amp;Ber_Lab_Neo!R24&amp;" "&amp;Ber_Lab_Neo!R25&amp;" "&amp;Ber_Lab_Neo!R26&amp;" "&amp;Ber_Lab_Neo!R27&amp;" "&amp;Ber_Lab_Neo!R28&amp;" "&amp;Ber_Lab_Neo!R29&amp;" "&amp;Ber_Lab_Neo!R30&amp;" "&amp;Ber_Lab_Neo!R31&amp;" "&amp;Ber_Lab_Neo!R32&amp;" "&amp;Ber_Lab_Neo!R33&amp;" "&amp;Ber_Lab_Neo!R34)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pxWG1yXWwrqPQPzXQkskDGZalXae+G9jJvHAqwNbEZkkzckN2sTwgIV3ixINN7YvBxi8QY7e9YBOBlBJ/tyadA==" saltValue="PBPeJotg3F3rUzqa/JiI8w==" spinCount="10000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IF(Berekeningen!B20&gt;1,IF(AND(H32&lt;&gt;"",H32&gt;=INDEX(Medicamenten,Berekeningen!B20,9)),TRUE,FALSE),FALSE)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IF(AND(C32&lt;&gt;0,G32&lt;&gt;""),IF(AND(H32&gt;=INDEX(Medicamenten,Berekeningen!$B20,7),H32&lt;=INDEX(Medicamenten,Berekeningen!$B20,8)),TRUE,FALSE),TRUE)=FALSE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353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IF(AND(D4&lt;37,_Gewicht&gt;=1),INDEX(Advies!B4:G4,1,Berekeningen!C6),IF(_Gewicht&lt;1,INDEX(Advies!B5:G5,1,Berekeningen!C6),INDEX(Advies!B6:G6,1,Berekeningen!C6)))+IF(B15=1,20,0)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IF(INDEX(Medicamenten,Berekeningen!B20,5)=0,1,INDEX(Medicamenten,Berekeningen!B20,5))</f>
        <v>1</v>
      </c>
      <c r="I20" s="271">
        <f t="shared" ref="I20:I28" si="1">IF(D20&gt;0,(F20*IF(Y20*10&gt;=24,2.4,2.4)*((C20/10)/D20))/($B$4)/J20,0)</f>
        <v>0</v>
      </c>
      <c r="J20" s="271">
        <f>IF(Berekeningen!H20&gt;1,INDEX(Lijsten!$K$3:$K$11,Berekeningen!H20),1)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IF(INDEX(Medicamenten,Berekeningen!B21,5)=0,1,INDEX(Medicamenten,Berekeningen!B21,5))</f>
        <v>1</v>
      </c>
      <c r="I21" s="271">
        <f t="shared" si="1"/>
        <v>0</v>
      </c>
      <c r="J21" s="821">
        <f>IF(Berekeningen!H21&gt;1,INDEX(Lijsten!$K$3:$K$11,Berekeningen!H21),1)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IF(INDEX(Medicamenten,Berekeningen!B22,5)=0,1,INDEX(Medicamenten,Berekeningen!B22,5))</f>
        <v>1</v>
      </c>
      <c r="I22" s="271">
        <f t="shared" si="1"/>
        <v>0</v>
      </c>
      <c r="J22" s="821">
        <f>IF(Berekeningen!H22&gt;1,INDEX(Lijsten!$K$3:$K$11,Berekeningen!H22),1)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IF(INDEX(Medicamenten,Berekeningen!B23,5)=0,1,INDEX(Medicamenten,Berekeningen!B23,5))</f>
        <v>1</v>
      </c>
      <c r="I23" s="271">
        <f t="shared" si="1"/>
        <v>0</v>
      </c>
      <c r="J23" s="821">
        <f>IF(Berekeningen!H23&gt;1,INDEX(Lijsten!$K$3:$K$11,Berekeningen!H23),1)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IF(INDEX(Medicamenten,Berekeningen!B24,5)=0,1,INDEX(Medicamenten,Berekeningen!B24,5))</f>
        <v>1</v>
      </c>
      <c r="I24" s="271">
        <f t="shared" si="1"/>
        <v>0</v>
      </c>
      <c r="J24" s="821">
        <f>IF(Berekeningen!H24&gt;1,INDEX(Lijsten!$K$3:$K$11,Berekeningen!H24),1)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IF(INDEX(Medicamenten,Berekeningen!B25,5)=0,1,INDEX(Medicamenten,Berekeningen!B25,5))</f>
        <v>1</v>
      </c>
      <c r="I25" s="271">
        <f t="shared" si="1"/>
        <v>0</v>
      </c>
      <c r="J25" s="821">
        <f>IF(Berekeningen!H25&gt;1,INDEX(Lijsten!$K$3:$K$11,Berekeningen!H25),1)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IF(INDEX(Medicamenten,Berekeningen!B26,5)=0,1,INDEX(Medicamenten,Berekeningen!B26,5))</f>
        <v>1</v>
      </c>
      <c r="I26" s="271">
        <f t="shared" si="1"/>
        <v>0</v>
      </c>
      <c r="J26" s="821">
        <f>IF(Berekeningen!H26&gt;1,INDEX(Lijsten!$K$3:$K$11,Berekeningen!H26),1)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IF(INDEX(Medicamenten,Berekeningen!B27,5)=0,1,INDEX(Medicamenten,Berekeningen!B27,5))</f>
        <v>1</v>
      </c>
      <c r="I27" s="271">
        <f t="shared" si="1"/>
        <v>0</v>
      </c>
      <c r="J27" s="821">
        <f>IF(Berekeningen!H27&gt;1,INDEX(Lijsten!$K$3:$K$11,Berekeningen!H27),1)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IF(INDEX(Medicamenten,Berekeningen!B28,5)=0,1,INDEX(Medicamenten,Berekeningen!B28,5))</f>
        <v>1</v>
      </c>
      <c r="I28" s="271">
        <f t="shared" si="1"/>
        <v>0</v>
      </c>
      <c r="J28" s="821">
        <f>IF(Berekeningen!H28&gt;1,INDEX(Lijsten!$K$3:$K$11,Berekeningen!H28),1)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ROUND(_Gewicht*INDEX(Advies!$B$9:$G$16,8,Berekeningen!$C$6),0)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ROUND(_Gewicht*INDEX(Advies!$B$9:$G$16,2,Berekeningen!$C$6),0)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ROUND(_Gewicht*INDEX(Advies!$B$9:$G$16,3,Berekeningen!$C$6),0)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ROUND(_Gewicht*INDEX(Advies!$B$9:$G$16,4,Berekeningen!$C$6),0)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ROUND(_Gewicht*INDEX(Advies!$B$9:$G$16,5,Berekeningen!$C$6),1)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ROUND(_Gewicht*INDEX(Advies!$B$9:$G$16,6,Berekeningen!$C$6),1)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ROUND(_Gewicht*INDEX(Advies!$B$9:$G$16,7,Berekeningen!$C$6),0)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ROUND(_Gewicht*INDEX(Advies!$B$9:$G$16,1,Berekeningen!$C$6),1)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ROUND(_Gewicht*INDEX(Advies!$B$9:$G$16,1,Berekeningen!$C$6),1)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INDEX(_VoedingBMFWaarden,Berekeningen!K52)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INDEX(_VoedingToevoegingenWaarden,Berekeningen!K53)</f>
        <v>0</v>
      </c>
      <c r="M53" s="651">
        <f>IF($B53&gt;1,($L53)*$L$49*HLOOKUP(Berekeningen!M$1,LijstenOpzoektabelMM,$C53,FALSE)/100,0)</f>
        <v>0</v>
      </c>
      <c r="N53" s="651">
        <f>IF($B53&gt;1,($L53)*$L$49*HLOOKUP(Berekeningen!N$1,LijstenOpzoektabelMM,$C53,FALSE)/100,0)</f>
        <v>0</v>
      </c>
      <c r="O53" s="651">
        <f>IF($B53&gt;1,($L53)*$L$49*HLOOKUP(Berekeningen!O$1,LijstenOpzoektabelMM,$C53,FALSE)/100,0)</f>
        <v>0</v>
      </c>
      <c r="P53" s="651">
        <f>IF($B53&gt;1,($L53)*$L$49*HLOOKUP(Berekeningen!P$1,LijstenOpzoektabelMM,$C53,FALSE)/100,0)</f>
        <v>0</v>
      </c>
      <c r="Q53" s="651">
        <f>IF($B53&gt;1,($L53)*$L$49*HLOOKUP(Berekeningen!Q$1,LijstenOpzoektabelMM,$C53,FALSE)/100,0)</f>
        <v>0</v>
      </c>
      <c r="R53" s="651">
        <f>IF($B53&gt;1,($L53)*$L$49*HLOOKUP(Berekeningen!R$1,LijstenOpzoektabelMM,$C53,FALSE)/100,0)</f>
        <v>0</v>
      </c>
      <c r="S53" s="651">
        <f>IF($B53&gt;1,($L53)*$L$49*HLOOKUP(Berekeningen!S$1,LijstenOpzoektabelMM,$C53,FALSE)/100,0)</f>
        <v>0</v>
      </c>
      <c r="T53" s="651">
        <f>IF($B53&gt;1,($L53)*$L$49*HLOOKUP(Berekeningen!T$1,LijstenOpzoektabelMM,$C53,FALSE)/100,0)</f>
        <v>0</v>
      </c>
      <c r="U53" s="651">
        <f>IF($B53&gt;1,($L53)*$L$49*HLOOKUP(Berekeningen!U$1,LijstenOpzoektabelMM,$C53,FALSE)/100,0)</f>
        <v>0</v>
      </c>
      <c r="V53" s="651">
        <f>IF($B53&gt;1,($L53)*$L$49*HLOOKUP(Berekeningen!V$1,LijstenOpzoektabelMM,$C53,FALSE)/100,0)</f>
        <v>0</v>
      </c>
      <c r="W53" s="651">
        <f>IF($B53&gt;1,($L53)*$L$49*HLOOKUP(Berekeningen!W$1,LijstenOpzoektabelMM,$C53,FALSE)/100,0)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INDEX(_VoedingToevoegingenWaarden,Berekeningen!K54)</f>
        <v>0</v>
      </c>
      <c r="M54" s="651">
        <f>IF($B54&gt;1,($L54)*$L$49*HLOOKUP(Berekeningen!M$1,LijstenOpzoektabelMM,$C54,FALSE)/100,0)</f>
        <v>0</v>
      </c>
      <c r="N54" s="651">
        <f>IF($B54&gt;1,($L54)*$L$49*HLOOKUP(Berekeningen!N$1,LijstenOpzoektabelMM,$C54,FALSE)/100,0)</f>
        <v>0</v>
      </c>
      <c r="O54" s="651">
        <f>IF($B54&gt;1,($L54)*$L$49*HLOOKUP(Berekeningen!O$1,LijstenOpzoektabelMM,$C54,FALSE)/100,0)</f>
        <v>0</v>
      </c>
      <c r="P54" s="651">
        <f>IF($B54&gt;1,($L54)*$L$49*HLOOKUP(Berekeningen!P$1,LijstenOpzoektabelMM,$C54,FALSE)/100,0)</f>
        <v>0</v>
      </c>
      <c r="Q54" s="651">
        <f>IF($B54&gt;1,($L54)*$L$49*HLOOKUP(Berekeningen!Q$1,LijstenOpzoektabelMM,$C54,FALSE)/100,0)</f>
        <v>0</v>
      </c>
      <c r="R54" s="651">
        <f>IF($B54&gt;1,($L54)*$L$49*HLOOKUP(Berekeningen!R$1,LijstenOpzoektabelMM,$C54,FALSE)/100,0)</f>
        <v>0</v>
      </c>
      <c r="S54" s="651">
        <f>IF($B54&gt;1,($L54)*$L$49*HLOOKUP(Berekeningen!S$1,LijstenOpzoektabelMM,$C54,FALSE)/100,0)</f>
        <v>0</v>
      </c>
      <c r="T54" s="651">
        <f>IF($B54&gt;1,($L54)*$L$49*HLOOKUP(Berekeningen!T$1,LijstenOpzoektabelMM,$C54,FALSE)/100,0)</f>
        <v>0</v>
      </c>
      <c r="U54" s="651">
        <f>IF($B54&gt;1,($L54)*$L$49*HLOOKUP(Berekeningen!U$1,LijstenOpzoektabelMM,$C54,FALSE)/100,0)</f>
        <v>0</v>
      </c>
      <c r="V54" s="651">
        <f>IF($B54&gt;1,($L54)*$L$49*HLOOKUP(Berekeningen!V$1,LijstenOpzoektabelMM,$C54,FALSE)/100,0)</f>
        <v>0</v>
      </c>
      <c r="W54" s="651">
        <f>IF($B54&gt;1,($L54)*$L$49*HLOOKUP(Berekeningen!W$1,LijstenOpzoektabelMM,$C54,FALSE)/100,0)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INDEX(_VoedingToevoegingenWaarden,Berekeningen!K55)</f>
        <v>0</v>
      </c>
      <c r="M55" s="651">
        <f>IF($B55&gt;1,($L55)*$L$49*HLOOKUP(Berekeningen!M$1,LijstenOpzoektabelMM,$C55,FALSE)/100,0)</f>
        <v>0</v>
      </c>
      <c r="N55" s="651">
        <f>IF($B55&gt;1,($L55)*$L$49*HLOOKUP(Berekeningen!N$1,LijstenOpzoektabelMM,$C55,FALSE)/100,0)</f>
        <v>0</v>
      </c>
      <c r="O55" s="651">
        <f>IF($B55&gt;1,($L55)*$L$49*HLOOKUP(Berekeningen!O$1,LijstenOpzoektabelMM,$C55,FALSE)/100,0)</f>
        <v>0</v>
      </c>
      <c r="P55" s="651">
        <f>IF($B55&gt;1,($L55)*$L$49*HLOOKUP(Berekeningen!P$1,LijstenOpzoektabelMM,$C55,FALSE)/100,0)</f>
        <v>0</v>
      </c>
      <c r="Q55" s="651">
        <f>IF($B55&gt;1,($L55)*$L$49*HLOOKUP(Berekeningen!Q$1,LijstenOpzoektabelMM,$C55,FALSE)/100,0)</f>
        <v>0</v>
      </c>
      <c r="R55" s="651">
        <f>IF($B55&gt;1,($L55)*$L$49*HLOOKUP(Berekeningen!R$1,LijstenOpzoektabelMM,$C55,FALSE)/100,0)</f>
        <v>0</v>
      </c>
      <c r="S55" s="651">
        <f>IF($B55&gt;1,($L55)*$L$49*HLOOKUP(Berekeningen!S$1,LijstenOpzoektabelMM,$C55,FALSE)/100,0)</f>
        <v>0</v>
      </c>
      <c r="T55" s="651">
        <f>IF($B55&gt;1,($L55)*$L$49*HLOOKUP(Berekeningen!T$1,LijstenOpzoektabelMM,$C55,FALSE)/100,0)</f>
        <v>0</v>
      </c>
      <c r="U55" s="651">
        <f>IF($B55&gt;1,($L55)*$L$49*HLOOKUP(Berekeningen!U$1,LijstenOpzoektabelMM,$C55,FALSE)/100,0)</f>
        <v>0</v>
      </c>
      <c r="V55" s="651">
        <f>IF($B55&gt;1,($L55)*$L$49*HLOOKUP(Berekeningen!V$1,LijstenOpzoektabelMM,$C55,FALSE)/100,0)</f>
        <v>0</v>
      </c>
      <c r="W55" s="651">
        <f>IF($B55&gt;1,($L55)*$L$49*HLOOKUP(Berekeningen!W$1,LijstenOpzoektabelMM,$C55,FALSE)/100,0)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INDEX(_VoedingToevoegingenWaarden,Berekeningen!K56)</f>
        <v>0</v>
      </c>
      <c r="M56" s="651">
        <f>IF($B56&gt;1,($L56)*$L$49*HLOOKUP(Berekeningen!M$1,LijstenOpzoektabelMM,$C56,FALSE)/100,0)</f>
        <v>0</v>
      </c>
      <c r="N56" s="651">
        <f>IF($B56&gt;1,($L56)*$L$49*HLOOKUP(Berekeningen!N$1,LijstenOpzoektabelMM,$C56,FALSE)/100,0)</f>
        <v>0</v>
      </c>
      <c r="O56" s="651">
        <f>IF($B56&gt;1,($L56)*$L$49*HLOOKUP(Berekeningen!O$1,LijstenOpzoektabelMM,$C56,FALSE)/100,0)</f>
        <v>0</v>
      </c>
      <c r="P56" s="651">
        <f>IF($B56&gt;1,($L56)*$L$49*HLOOKUP(Berekeningen!P$1,LijstenOpzoektabelMM,$C56,FALSE)/100,0)</f>
        <v>0</v>
      </c>
      <c r="Q56" s="651">
        <f>IF($B56&gt;1,($L56)*$L$49*HLOOKUP(Berekeningen!Q$1,LijstenOpzoektabelMM,$C56,FALSE)/100,0)</f>
        <v>0</v>
      </c>
      <c r="R56" s="651">
        <f>IF($B56&gt;1,($L56)*$L$49*HLOOKUP(Berekeningen!R$1,LijstenOpzoektabelMM,$C56,FALSE)/100,0)</f>
        <v>0</v>
      </c>
      <c r="S56" s="651">
        <f>IF($B56&gt;1,($L56)*$L$49*HLOOKUP(Berekeningen!S$1,LijstenOpzoektabelMM,$C56,FALSE)/100,0)</f>
        <v>0</v>
      </c>
      <c r="T56" s="651">
        <f>IF($B56&gt;1,($L56)*$L$49*HLOOKUP(Berekeningen!T$1,LijstenOpzoektabelMM,$C56,FALSE)/100,0)</f>
        <v>0</v>
      </c>
      <c r="U56" s="651">
        <f>IF($B56&gt;1,($L56)*$L$49*HLOOKUP(Berekeningen!U$1,LijstenOpzoektabelMM,$C56,FALSE)/100,0)</f>
        <v>0</v>
      </c>
      <c r="V56" s="651">
        <f>IF($B56&gt;1,($L56)*$L$49*HLOOKUP(Berekeningen!V$1,LijstenOpzoektabelMM,$C56,FALSE)/100,0)</f>
        <v>0</v>
      </c>
      <c r="W56" s="651">
        <f>IF($B56&gt;1,($L56)*$L$49*HLOOKUP(Berekeningen!W$1,LijstenOpzoektabelMM,$C56,FALSE)/100,0)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INDEX(_VoedingToevoegingenWaarden,Berekeningen!K58)</f>
        <v>0</v>
      </c>
      <c r="M58" s="651">
        <f>IF($B58&gt;1,($L58)*$L$49*HLOOKUP(Berekeningen!M$1,LijstenOpzoektabelKV,$C58,FALSE)/100,0)</f>
        <v>0</v>
      </c>
      <c r="N58" s="651">
        <f>IF($B58&gt;1,($L58)*$L$49*HLOOKUP(Berekeningen!N$1,LijstenOpzoektabelKV,$C58,FALSE)/100,0)</f>
        <v>0</v>
      </c>
      <c r="O58" s="651">
        <f>IF($B58&gt;1,($L58)*$L$49*HLOOKUP(Berekeningen!O$1,LijstenOpzoektabelKV,$C58,FALSE)/100,0)</f>
        <v>0</v>
      </c>
      <c r="P58" s="651">
        <f>IF($B58&gt;1,($L58)*$L$49*HLOOKUP(Berekeningen!P$1,LijstenOpzoektabelKV,$C58,FALSE)/100,0)</f>
        <v>0</v>
      </c>
      <c r="Q58" s="651">
        <f>IF($B58&gt;1,($L58)*$L$49*HLOOKUP(Berekeningen!Q$1,LijstenOpzoektabelKV,$C58,FALSE)/100,0)</f>
        <v>0</v>
      </c>
      <c r="R58" s="651">
        <f>IF($B58&gt;1,($L58)*$L$49*HLOOKUP(Berekeningen!R$1,LijstenOpzoektabelKV,$C58,FALSE)/100,0)</f>
        <v>0</v>
      </c>
      <c r="S58" s="651">
        <f>IF($B58&gt;1,($L58)*$L$49*HLOOKUP(Berekeningen!S$1,LijstenOpzoektabelKV,$C58,FALSE)/100,0)</f>
        <v>0</v>
      </c>
      <c r="T58" s="651">
        <f>IF($B58&gt;1,($L58)*$L$49*HLOOKUP(Berekeningen!T$1,LijstenOpzoektabelKV,$C58,FALSE)/100,0)</f>
        <v>0</v>
      </c>
      <c r="U58" s="651">
        <f>IF($B58&gt;1,($L58)*$L$49*HLOOKUP(Berekeningen!U$1,LijstenOpzoektabelKV,$C58,FALSE)/100,0)</f>
        <v>0</v>
      </c>
      <c r="V58" s="651">
        <f>IF($B58&gt;1,($L58)*$L$49*HLOOKUP(Berekeningen!V$1,LijstenOpzoektabelKV,$C58,FALSE)/100,0)</f>
        <v>0</v>
      </c>
      <c r="W58" s="651">
        <f>IF($B58&gt;1,($L58)*$L$49*HLOOKUP(Berekeningen!W$1,LijstenOpzoektabelKV,$C58,FALSE)/100,0)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INDEX(_VoedingToevoegingenWaarden,Berekeningen!K59)</f>
        <v>0</v>
      </c>
      <c r="M59" s="651">
        <f>IF($B59&gt;1,($L59)*$L$49*HLOOKUP(Berekeningen!M$1,LijstenOpzoektabelKV,$C59,FALSE)/100,0)</f>
        <v>0</v>
      </c>
      <c r="N59" s="651">
        <f>IF($B59&gt;1,($L59)*$L$49*HLOOKUP(Berekeningen!N$1,LijstenOpzoektabelKV,$C59,FALSE)/100,0)</f>
        <v>0</v>
      </c>
      <c r="O59" s="651">
        <f>IF($B59&gt;1,($L59)*$L$49*HLOOKUP(Berekeningen!O$1,LijstenOpzoektabelKV,$C59,FALSE)/100,0)</f>
        <v>0</v>
      </c>
      <c r="P59" s="651">
        <f>IF($B59&gt;1,($L59)*$L$49*HLOOKUP(Berekeningen!P$1,LijstenOpzoektabelKV,$C59,FALSE)/100,0)</f>
        <v>0</v>
      </c>
      <c r="Q59" s="651">
        <f>IF($B59&gt;1,($L59)*$L$49*HLOOKUP(Berekeningen!Q$1,LijstenOpzoektabelKV,$C59,FALSE)/100,0)</f>
        <v>0</v>
      </c>
      <c r="R59" s="651">
        <f>IF($B59&gt;1,($L59)*$L$49*HLOOKUP(Berekeningen!R$1,LijstenOpzoektabelKV,$C59,FALSE)/100,0)</f>
        <v>0</v>
      </c>
      <c r="S59" s="651">
        <f>IF($B59&gt;1,($L59)*$L$49*HLOOKUP(Berekeningen!S$1,LijstenOpzoektabelKV,$C59,FALSE)/100,0)</f>
        <v>0</v>
      </c>
      <c r="T59" s="651">
        <f>IF($B59&gt;1,($L59)*$L$49*HLOOKUP(Berekeningen!T$1,LijstenOpzoektabelKV,$C59,FALSE)/100,0)</f>
        <v>0</v>
      </c>
      <c r="U59" s="651">
        <f>IF($B59&gt;1,($L59)*$L$49*HLOOKUP(Berekeningen!U$1,LijstenOpzoektabelKV,$C59,FALSE)/100,0)</f>
        <v>0</v>
      </c>
      <c r="V59" s="651">
        <f>IF($B59&gt;1,($L59)*$L$49*HLOOKUP(Berekeningen!V$1,LijstenOpzoektabelKV,$C59,FALSE)/100,0)</f>
        <v>0</v>
      </c>
      <c r="W59" s="651">
        <f>IF($B59&gt;1,($L59)*$L$49*HLOOKUP(Berekeningen!W$1,LijstenOpzoektabelKV,$C59,FALSE)/100,0)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INDEX(_VoedingToevoegingenWaarden,Berekeningen!K60)</f>
        <v>0</v>
      </c>
      <c r="M60" s="651">
        <f>IF($B60&gt;1,($L60)*$L$49*HLOOKUP(Berekeningen!M$1,LijstenOpzoektabelKV,$C60,FALSE)/100,0)</f>
        <v>0</v>
      </c>
      <c r="N60" s="651">
        <f>IF($B60&gt;1,($L60)*$L$49*HLOOKUP(Berekeningen!N$1,LijstenOpzoektabelKV,$C60,FALSE)/100,0)</f>
        <v>0</v>
      </c>
      <c r="O60" s="651">
        <f>IF($B60&gt;1,($L60)*$L$49*HLOOKUP(Berekeningen!O$1,LijstenOpzoektabelKV,$C60,FALSE)/100,0)</f>
        <v>0</v>
      </c>
      <c r="P60" s="651">
        <f>IF($B60&gt;1,($L60)*$L$49*HLOOKUP(Berekeningen!P$1,LijstenOpzoektabelKV,$C60,FALSE)/100,0)</f>
        <v>0</v>
      </c>
      <c r="Q60" s="651">
        <f>IF($B60&gt;1,($L60)*$L$49*HLOOKUP(Berekeningen!Q$1,LijstenOpzoektabelKV,$C60,FALSE)/100,0)</f>
        <v>0</v>
      </c>
      <c r="R60" s="651">
        <f>IF($B60&gt;1,($L60)*$L$49*HLOOKUP(Berekeningen!R$1,LijstenOpzoektabelKV,$C60,FALSE)/100,0)</f>
        <v>0</v>
      </c>
      <c r="S60" s="651">
        <f>IF($B60&gt;1,($L60)*$L$49*HLOOKUP(Berekeningen!S$1,LijstenOpzoektabelKV,$C60,FALSE)/100,0)</f>
        <v>0</v>
      </c>
      <c r="T60" s="651">
        <f>IF($B60&gt;1,($L60)*$L$49*HLOOKUP(Berekeningen!T$1,LijstenOpzoektabelKV,$C60,FALSE)/100,0)</f>
        <v>0</v>
      </c>
      <c r="U60" s="651">
        <f>IF($B60&gt;1,($L60)*$L$49*HLOOKUP(Berekeningen!U$1,LijstenOpzoektabelKV,$C60,FALSE)/100,0)</f>
        <v>0</v>
      </c>
      <c r="V60" s="651">
        <f>IF($B60&gt;1,($L60)*$L$49*HLOOKUP(Berekeningen!V$1,LijstenOpzoektabelKV,$C60,FALSE)/100,0)</f>
        <v>0</v>
      </c>
      <c r="W60" s="651">
        <f>IF($B60&gt;1,($L60)*$L$49*HLOOKUP(Berekeningen!W$1,LijstenOpzoektabelKV,$C60,FALSE)/100,0)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INDEX(_VoedingToevoegingenWaarden,Berekeningen!K61)</f>
        <v>0</v>
      </c>
      <c r="M61" s="651">
        <f>IF($B61&gt;1,($L61)*$L$49*HLOOKUP(Berekeningen!M$1,LijstenOpzoektabelKV,$C61,FALSE)/100,0)</f>
        <v>0</v>
      </c>
      <c r="N61" s="651">
        <f>IF($B61&gt;1,($L61)*$L$49*HLOOKUP(Berekeningen!N$1,LijstenOpzoektabelKV,$C61,FALSE)/100,0)</f>
        <v>0</v>
      </c>
      <c r="O61" s="651">
        <f>IF($B61&gt;1,($L61)*$L$49*HLOOKUP(Berekeningen!O$1,LijstenOpzoektabelKV,$C61,FALSE)/100,0)</f>
        <v>0</v>
      </c>
      <c r="P61" s="651">
        <f>IF($B61&gt;1,($L61)*$L$49*HLOOKUP(Berekeningen!P$1,LijstenOpzoektabelKV,$C61,FALSE)/100,0)</f>
        <v>0</v>
      </c>
      <c r="Q61" s="651">
        <f>IF($B61&gt;1,($L61)*$L$49*HLOOKUP(Berekeningen!Q$1,LijstenOpzoektabelKV,$C61,FALSE)/100,0)</f>
        <v>0</v>
      </c>
      <c r="R61" s="651">
        <f>IF($B61&gt;1,($L61)*$L$49*HLOOKUP(Berekeningen!R$1,LijstenOpzoektabelKV,$C61,FALSE)/100,0)</f>
        <v>0</v>
      </c>
      <c r="S61" s="651">
        <f>IF($B61&gt;1,($L61)*$L$49*HLOOKUP(Berekeningen!S$1,LijstenOpzoektabelKV,$C61,FALSE)/100,0)</f>
        <v>0</v>
      </c>
      <c r="T61" s="651">
        <f>IF($B61&gt;1,($L61)*$L$49*HLOOKUP(Berekeningen!T$1,LijstenOpzoektabelKV,$C61,FALSE)/100,0)</f>
        <v>0</v>
      </c>
      <c r="U61" s="651">
        <f>IF($B61&gt;1,($L61)*$L$49*HLOOKUP(Berekeningen!U$1,LijstenOpzoektabelKV,$C61,FALSE)/100,0)</f>
        <v>0</v>
      </c>
      <c r="V61" s="651">
        <f>IF($B61&gt;1,($L61)*$L$49*HLOOKUP(Berekeningen!V$1,LijstenOpzoektabelKV,$C61,FALSE)/100,0)</f>
        <v>0</v>
      </c>
      <c r="W61" s="651">
        <f>IF($B61&gt;1,($L61)*$L$49*HLOOKUP(Berekeningen!W$1,LijstenOpzoektabelKV,$C61,FALSE)/100,0)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IF(Afspraken!E18=0,"",CONCATENATE(Afspraken!B18,": ",Afspraken!E18," ",Afspraken!F18," = "&amp;Berekeningen!L47&amp;" ml"))</f>
        <v/>
      </c>
    </row>
    <row r="74" spans="1:13" x14ac:dyDescent="0.35">
      <c r="A74" s="271" t="s">
        <v>1643</v>
      </c>
      <c r="B74" s="271" t="str">
        <f>IF(INDEX(Pos,Berekeningen!D14,1)=0,"",CONCATENATE(Afspraken!H21," ",INDEX(Pos,Berekeningen!D14,1)))</f>
        <v/>
      </c>
    </row>
    <row r="75" spans="1:13" x14ac:dyDescent="0.35">
      <c r="A75" s="271" t="s">
        <v>1644</v>
      </c>
      <c r="B75" s="660" t="str">
        <f>IF(INDEX(Pos,Berekeningen!D14,1)=0,"",CONCATENATE("Hoeveelheid 1:  ",Afspraken!E21," ",Afspraken!F21," ",Afspraken!G21))</f>
        <v/>
      </c>
    </row>
    <row r="76" spans="1:13" x14ac:dyDescent="0.35">
      <c r="A76" s="271" t="s">
        <v>1645</v>
      </c>
      <c r="B76" s="271" t="str">
        <f>IF(INDEX(Pos,Berekeningen!D14,1)=0,"",CONCATENATE("Hoeveelheid 2:  ",Afspraken!E22," ",Afspraken!F22," ",Afspraken!G22))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IF(Afspraken!E28&gt;0,CONCATENATE(Afspraken!B28," ",Afspraken!E28," ",Afspraken!F28),"")</f>
        <v/>
      </c>
    </row>
    <row r="87" spans="1:7" x14ac:dyDescent="0.35">
      <c r="A87" s="660" t="s">
        <v>1995</v>
      </c>
      <c r="B87" s="271" t="str">
        <f>CONCATENATE(Afspraken!B19,": ",IF(Berekeningen!B15=1,"Ja","Nee"))</f>
        <v>Fototherapie: Nee</v>
      </c>
    </row>
    <row r="90" spans="1:7" x14ac:dyDescent="0.35">
      <c r="A90" s="518" t="s">
        <v>2283</v>
      </c>
      <c r="B90" s="271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1" spans="1:7" x14ac:dyDescent="0.35">
      <c r="A91" s="518" t="s">
        <v>2283</v>
      </c>
      <c r="B91" s="821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2" spans="1:7" x14ac:dyDescent="0.35">
      <c r="A92" s="518" t="s">
        <v>2283</v>
      </c>
      <c r="B92" s="821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  <c r="G92" s="821"/>
    </row>
    <row r="93" spans="1:7" x14ac:dyDescent="0.35">
      <c r="A93" s="518" t="s">
        <v>2283</v>
      </c>
      <c r="B93" s="821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  <c r="G93" s="821"/>
    </row>
    <row r="94" spans="1:7" x14ac:dyDescent="0.35">
      <c r="A94" s="518" t="s">
        <v>2283</v>
      </c>
      <c r="B94" s="821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  <c r="G94" s="821"/>
    </row>
    <row r="95" spans="1:7" x14ac:dyDescent="0.35">
      <c r="A95" s="518" t="s">
        <v>2283</v>
      </c>
      <c r="B95" s="821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  <c r="G95" s="821"/>
    </row>
    <row r="96" spans="1:7" x14ac:dyDescent="0.35">
      <c r="A96" s="518" t="s">
        <v>2283</v>
      </c>
      <c r="B96" s="821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  <c r="G96" s="821"/>
    </row>
    <row r="97" spans="1:7" x14ac:dyDescent="0.35">
      <c r="A97" s="518" t="s">
        <v>2283</v>
      </c>
      <c r="B97" s="821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  <c r="G97" s="821"/>
    </row>
    <row r="98" spans="1:7" x14ac:dyDescent="0.35">
      <c r="A98" s="518" t="s">
        <v>2283</v>
      </c>
      <c r="B98" s="821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  <c r="G98" s="821"/>
    </row>
    <row r="99" spans="1:7" x14ac:dyDescent="0.35">
      <c r="A99" s="518" t="s">
        <v>2283</v>
      </c>
      <c r="B99" s="821" t="str">
        <f>IF(Berekeningen!E29&lt;&gt;0, Afspraken!B42&amp;": "&amp; INDEX(Opl,Berekeningen!$E29,1)&amp;" " &amp; Afspraken!G42,"")</f>
        <v/>
      </c>
      <c r="G99" s="821"/>
    </row>
    <row r="100" spans="1:7" x14ac:dyDescent="0.35">
      <c r="A100" s="518" t="s">
        <v>2283</v>
      </c>
      <c r="B100" s="821" t="str">
        <f>IF(Berekeningen!E30&lt;&gt;0, Afspraken!B43&amp;": "&amp; INDEX(Opl,Berekeningen!$E30,1)&amp;" " &amp; Afspraken!G43,"")</f>
        <v/>
      </c>
      <c r="G100" s="821"/>
    </row>
    <row r="101" spans="1:7" x14ac:dyDescent="0.35">
      <c r="A101" s="518" t="s">
        <v>2283</v>
      </c>
      <c r="B101" s="821" t="str">
        <f>IF(Berekeningen!E31&lt;&gt;0, Afspraken!B44&amp;": "&amp; INDEX(Opl,Berekeningen!$E31,1)&amp;" " &amp; Afspraken!G44,"")</f>
        <v/>
      </c>
      <c r="G101" s="821"/>
    </row>
    <row r="102" spans="1:7" x14ac:dyDescent="0.35">
      <c r="A102" s="518" t="s">
        <v>2283</v>
      </c>
      <c r="B102" s="271" t="str">
        <f>IF(Berekeningen!B32="","",Berekeningen!B32)</f>
        <v/>
      </c>
      <c r="G102" s="821"/>
    </row>
    <row r="103" spans="1:7" x14ac:dyDescent="0.35">
      <c r="A103" s="518" t="s">
        <v>2283</v>
      </c>
      <c r="B103" s="821" t="str">
        <f>IF(Berekeningen!B33="","",Berekeningen!B33)</f>
        <v/>
      </c>
      <c r="G103" s="821"/>
    </row>
    <row r="104" spans="1:7" x14ac:dyDescent="0.35">
      <c r="A104" s="518" t="s">
        <v>2283</v>
      </c>
      <c r="B104" s="271" t="str">
        <f ca="1">IF(Berekeningen!C35&lt;&gt;0,CONCATENATE("Intralipid 20% (incl.vitintra) ",ROUNDUP(Berekeningen!C35/24,1),"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Actueel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42722</v>
      </c>
      <c r="J2" s="936"/>
      <c r="K2" s="936"/>
      <c r="L2" s="321" t="s">
        <v>1020</v>
      </c>
      <c r="M2" s="937">
        <f ca="1">NOW()</f>
        <v>42722.605261342593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IF(24*Berekeningen!B18&gt;0,TRUNC(24*Berekeningen!B18/10),"")</f>
        <v/>
      </c>
      <c r="N6" s="335" t="str">
        <f>IF(Berekeningen!B18&gt;0,(24*Berekeningen!B18/10-M6)*10,"")</f>
        <v/>
      </c>
      <c r="O6" s="331" t="str">
        <f>IF(Berekeningen!K18,"extra","")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IF(Berekeningen!$L$37&gt;0,IF(_DagKeuze&lt;&gt;2,TRUNC(Berekeningen!$C$37),0),"")</f>
        <v/>
      </c>
      <c r="N8" s="342" t="str">
        <f ca="1">IF(Berekeningen!$L$37&gt;0,IF(_DagKeuze1700&lt;&gt;2,(Berekeningen!$C$37-M8)*100,0),"")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IF(Berekeningen!$L$38&gt;0,IF(_DagKeuze1700&lt;&gt;2,TRUNC(Berekeningen!$C$38),0),"")</f>
        <v/>
      </c>
      <c r="N9" s="335" t="str">
        <f ca="1">IF(Berekeningen!$L$38&gt;0,IF(_DagKeuze1700&lt;&gt;2,(Berekeningen!$C$38-M9)*100,0),"")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IF(Berekeningen!$L$39&gt;0,TRUNC(Berekeningen!$C$39),"")</f>
        <v/>
      </c>
      <c r="N10" s="342" t="str">
        <f ca="1">IF(Berekeningen!$L$39&gt;0,IF(_DagKeuze1700=1,Berekeningen!$C$39-M10,0),"")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IF(Berekeningen!$L$40&gt;0,TRUNC(Berekeningen!$C$40),"")</f>
        <v/>
      </c>
      <c r="N11" s="335" t="str">
        <f ca="1">IF(Berekeningen!$L$40&gt;0,IF(_DagKeuze1700=1,(Berekeningen!$C$40-M11)*100,0),"")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IF(Berekeningen!$L$41&gt;0,TRUNC(Berekeningen!$C$41),"")</f>
        <v/>
      </c>
      <c r="N12" s="342" t="str">
        <f ca="1">IF(Berekeningen!$L$41&gt;0,IF(_DagKeuze1700=1,(Berekeningen!$C$41-M12)*100,0),"")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IF(Berekeningen!$L$42&gt;0,TRUNC(Berekeningen!$C$42),"")</f>
        <v/>
      </c>
      <c r="N13" s="335" t="str">
        <f ca="1">IF(Berekeningen!$L$42&gt;0,IF(_DagKeuze1700&lt;&gt;1,(Berekeningen!$C$42-M13)*100,0),"")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IF(_DagKeuze=2,TRUNC(Berekeningen!$C$43),"")</f>
        <v/>
      </c>
      <c r="N14" s="342" t="str">
        <f>IF(_DagKeuze=2,(Berekeningen!$C$43-M14)*100,"")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IF(_DagKeuze=3,TRUNC(Berekeningen!$C$44),"")</f>
        <v/>
      </c>
      <c r="N15" s="335" t="str">
        <f>IF(_DagKeuze=3,(Berekeningen!$C$44-M15)*100,"")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INDEX(Opl,Berekeningen!D45+1,1)</f>
        <v>glucose 10%</v>
      </c>
      <c r="I16" s="339"/>
      <c r="J16" s="339"/>
      <c r="K16" s="339"/>
      <c r="L16" s="340"/>
      <c r="M16" s="341" t="str">
        <f>IF(Berekeningen!$L$45&gt;0,TRUNC(Berekeningen!$L$45),"")</f>
        <v/>
      </c>
      <c r="N16" s="342" t="str">
        <f>IF(Berekeningen!$L$45&gt;0,(Berekeningen!$L$45-M16)*100,"")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IF(Berekeningen!E29&gt;1,INDEX(Opl,Berekeningen!E29,1),"")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IF(Berekeningen!E30&gt;1,INDEX(Opl,Berekeningen!E30,1),"")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IF(Berekeningen!E31&gt;1,INDEX(Opl,Berekeningen!E31,1),"")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IF(D23&lt;&gt;"",ROUNDUP(Berekeningen!C35/24,1),"")</f>
        <v/>
      </c>
      <c r="B23" s="352"/>
      <c r="C23" s="353"/>
      <c r="D23" s="327" t="str">
        <f ca="1">IF(Berekeningen!C35&lt;&gt;0,INDEX(lijstIntralipidSmof,SelectedIntralipidSmof),"")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IF(D23&lt;&gt;"",TRUNC(Berekeningen!C35),"")</f>
        <v/>
      </c>
      <c r="N23" s="335" t="str">
        <f ca="1">IF(D23&lt;&gt;"",(Berekeningen!C35-M23)*100,"")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IF(Berekeningen!B20&gt;1,Berekeningen!F20/10,"")</f>
        <v/>
      </c>
      <c r="B26" s="351"/>
      <c r="C26" s="356" t="str">
        <f>IF(A26&lt;&gt;"",IF(Berekeningen!B20&gt;1,INDEX(Medicamenten,Berekeningen!B20,1),""),"")</f>
        <v/>
      </c>
      <c r="D26" s="329"/>
      <c r="E26" s="330" t="str">
        <f>IF(A26&lt;&gt;"",IF(Berekeningen!B20&gt;1,Berekeningen!C20/10,""),"")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IF(A26&lt;&gt;"",IF(Berekeningen!B20&gt;1,INDEX(Medicamenten,Berekeningen!B20,3),""),"")</f>
        <v/>
      </c>
      <c r="I26" s="329" t="s">
        <v>1031</v>
      </c>
      <c r="J26" s="329" t="str">
        <f>IF(A26&lt;&gt;"",IF(Berekeningen!B20&gt;1,INDEX(Medicamenten,Berekeningen!B20,4),""),"")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Berekeningen!B20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IF(Berekeningen!B21&gt;1,Berekeningen!F21/10,"")</f>
        <v/>
      </c>
      <c r="B29" s="351"/>
      <c r="C29" s="356" t="str">
        <f>IF(A29&lt;&gt;"",IF(Berekeningen!B21&gt;1,INDEX(Medicamenten,Berekeningen!B21,1),""),"")</f>
        <v/>
      </c>
      <c r="D29" s="329"/>
      <c r="E29" s="330" t="str">
        <f>IF(A29&lt;&gt;"",IF(Berekeningen!B21&gt;1,Berekeningen!C21/10,""),"")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IF(A29&lt;&gt;"",IF(Berekeningen!B21&gt;1,INDEX(Medicamenten,Berekeningen!B21,3),""),"")</f>
        <v/>
      </c>
      <c r="I29" s="329" t="s">
        <v>1031</v>
      </c>
      <c r="J29" s="329" t="str">
        <f>IF(A29&lt;&gt;"",IF(Berekeningen!B21&gt;1,INDEX(Medicamenten,Berekeningen!B21,4),""),"")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IF(Berekeningen!B22&gt;1,Berekeningen!F22/10,"")</f>
        <v/>
      </c>
      <c r="B32" s="351"/>
      <c r="C32" s="356" t="str">
        <f>IF(A32&lt;&gt;"",IF(Berekeningen!B22&gt;1,INDEX(Medicamenten,Berekeningen!B22,1),""),"")</f>
        <v/>
      </c>
      <c r="D32" s="329"/>
      <c r="E32" s="330" t="str">
        <f>IF(A32&lt;&gt;"",IF(Berekeningen!B22&gt;1,Berekeningen!C22/10,""),"")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IF(A32&lt;&gt;"",IF(Berekeningen!B22&gt;1,INDEX(Medicamenten,Berekeningen!B22,3),""),"")</f>
        <v/>
      </c>
      <c r="I32" s="329" t="s">
        <v>1031</v>
      </c>
      <c r="J32" s="329" t="str">
        <f>IF(A32&lt;&gt;"",IF(Berekeningen!B22&gt;1,INDEX(Medicamenten,Berekeningen!B22,4),""),"")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IF(Berekeningen!B23&gt;1,Berekeningen!F23/10,"")</f>
        <v/>
      </c>
      <c r="B35" s="351"/>
      <c r="C35" s="356" t="str">
        <f>IF(A35&lt;&gt;"",IF(Berekeningen!B23&gt;1,INDEX(Medicamenten,Berekeningen!B23,1),""),"")</f>
        <v/>
      </c>
      <c r="D35" s="329"/>
      <c r="E35" s="330" t="str">
        <f>IF(A35&lt;&gt;"",IF(Berekeningen!B23&gt;1,Berekeningen!C23/10,""),"")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IF(A35&lt;&gt;"",IF(Berekeningen!B23&gt;1,INDEX(Medicamenten,Berekeningen!B23,3),""),"")</f>
        <v/>
      </c>
      <c r="I35" s="329" t="s">
        <v>1031</v>
      </c>
      <c r="J35" s="329" t="str">
        <f>IF(A35&lt;&gt;"",IF(Berekeningen!B23&gt;1,INDEX(Medicamenten,Berekeningen!B23,4),""),"")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IF(Berekeningen!B24&gt;1,Berekeningen!F24/10,"")</f>
        <v/>
      </c>
      <c r="B38" s="351"/>
      <c r="C38" s="356" t="str">
        <f>IF(A38&lt;&gt;"",IF(Berekeningen!B24&gt;1,INDEX(Medicamenten,Berekeningen!B24,1),""),"")</f>
        <v/>
      </c>
      <c r="D38" s="329"/>
      <c r="E38" s="330" t="str">
        <f>IF(A38&lt;&gt;"",IF(Berekeningen!B24&gt;1,Berekeningen!C24/10,""),"")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IF(A38&lt;&gt;"",IF(Berekeningen!B24&gt;1,INDEX(Medicamenten,Berekeningen!B24,3),""),"")</f>
        <v/>
      </c>
      <c r="I38" s="329" t="s">
        <v>1031</v>
      </c>
      <c r="J38" s="329" t="str">
        <f>IF(A38&lt;&gt;"",IF(Berekeningen!B24&gt;1,INDEX(Medicamenten,Berekeningen!B24,4),""),"")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IF(Berekeningen!B25&gt;1,Berekeningen!F25/10,"")</f>
        <v/>
      </c>
      <c r="B41" s="351"/>
      <c r="C41" s="356" t="str">
        <f>IF(A41&lt;&gt;"",IF(Berekeningen!B25&gt;1,INDEX(Medicamenten,Berekeningen!B25,1),""),"")</f>
        <v/>
      </c>
      <c r="D41" s="329"/>
      <c r="E41" s="330" t="str">
        <f>IF(A41&lt;&gt;"",IF(Berekeningen!B25&gt;1,Berekeningen!C25/10,""),"")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IF(A41&lt;&gt;"",IF(Berekeningen!B25&gt;1,INDEX(Medicamenten,Berekeningen!B25,3),""),"")</f>
        <v/>
      </c>
      <c r="I41" s="329" t="s">
        <v>1031</v>
      </c>
      <c r="J41" s="329" t="str">
        <f>IF(A41&lt;&gt;"",IF(Berekeningen!B25&gt;1,INDEX(Medicamenten,Berekeningen!B25,4),""),"")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IF(Berekeningen!B26&gt;1,Berekeningen!F26/10,"")</f>
        <v/>
      </c>
      <c r="B44" s="351"/>
      <c r="C44" s="356" t="str">
        <f>IF(A44&lt;&gt;"",IF(Berekeningen!B26&gt;1,INDEX(Medicamenten,Berekeningen!B26,1),""),"")</f>
        <v/>
      </c>
      <c r="D44" s="329"/>
      <c r="E44" s="330" t="str">
        <f>IF(A44&lt;&gt;"",IF(Berekeningen!B26&gt;1,Berekeningen!C26/10,""),"")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IF(A44&lt;&gt;"",IF(Berekeningen!B26&gt;1,INDEX(Medicamenten,Berekeningen!B26,3),""),"")</f>
        <v/>
      </c>
      <c r="I44" s="329" t="s">
        <v>1031</v>
      </c>
      <c r="J44" s="329" t="str">
        <f>IF(A44&lt;&gt;"",IF(Berekeningen!B26&gt;1,INDEX(Medicamenten,Berekeningen!B26,4),""),"")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IF(Berekeningen!B27&gt;1,Berekeningen!F27/10,"")</f>
        <v/>
      </c>
      <c r="B47" s="351"/>
      <c r="C47" s="356" t="str">
        <f>IF(A47&lt;&gt;"",IF(Berekeningen!B27&gt;1,INDEX(Medicamenten,Berekeningen!B27,1),""),"")</f>
        <v/>
      </c>
      <c r="D47" s="329"/>
      <c r="E47" s="330" t="str">
        <f>IF(A47&lt;&gt;"",IF(Berekeningen!B27&gt;1,Berekeningen!C27/10,""),"")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IF(A47&lt;&gt;"",IF(Berekeningen!B27&gt;1,INDEX(Medicamenten,Berekeningen!B27,3),""),"")</f>
        <v/>
      </c>
      <c r="I47" s="329" t="s">
        <v>1031</v>
      </c>
      <c r="J47" s="329" t="str">
        <f>IF(A47&lt;&gt;"",IF(Berekeningen!B27&gt;1,INDEX(Medicamenten,Berekeningen!B27,4),""),"")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IF(Berekeningen!B28&gt;1,Berekeningen!F28/10,"")</f>
        <v/>
      </c>
      <c r="B50" s="351"/>
      <c r="C50" s="356" t="str">
        <f>IF(A50&lt;&gt;"",IF(Berekeningen!B28&gt;1,INDEX(Medicamenten,Berekeningen!B28,1),""),"")</f>
        <v/>
      </c>
      <c r="D50" s="329"/>
      <c r="E50" s="330" t="str">
        <f>IF(A50&lt;&gt;"",IF(Berekeningen!B28&gt;1,Berekeningen!C28/10,""),"")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IF(A50&lt;&gt;"",IF(Berekeningen!B28&gt;1,INDEX(Medicamenten,Berekeningen!B28,3),""),"")</f>
        <v/>
      </c>
      <c r="I50" s="329" t="s">
        <v>1031</v>
      </c>
      <c r="J50" s="329" t="str">
        <f>IF(A50&lt;&gt;"",IF(Berekeningen!B28&gt;1,INDEX(Medicamenten,Berekeningen!B28,4),""),"")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ROUND(Berekeningen1700!L50/_Gewicht,0)&amp;" ml/kg"</f>
        <v>0 ml/kg</v>
      </c>
      <c r="D3" s="759" t="str">
        <f>ROUND(Berekeningen1700!L49/_Gewicht,0)&amp;" ml/kg"</f>
        <v>0 ml/kg</v>
      </c>
      <c r="E3" s="759" t="str">
        <f ca="1">ROUND(Berekeningen1700!L47/_Gewicht,0)&amp;" ml/kg  "&amp;"= "&amp;ROUND(Berekeningen1700!L47,0)&amp;" ml"</f>
        <v>0 ml/kg  = 0 ml</v>
      </c>
      <c r="G3" s="758" t="s">
        <v>377</v>
      </c>
      <c r="H3" s="759" t="str">
        <f ca="1">ROUND(Berekeningen1700!M50/_Gewicht,1)&amp;" mmol/kg"</f>
        <v>0 mmol/kg</v>
      </c>
      <c r="I3" s="759" t="str">
        <f>ROUND(Berekeningen1700!M49/_Gewicht,1)&amp;" mmol/kg"</f>
        <v>0 mmol/kg</v>
      </c>
      <c r="J3" s="759" t="str">
        <f ca="1">ROUND(Berekeningen1700!M47/_Gewicht,1)&amp;"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ROUND(Berekeningen1700!R50/_Gewicht,1)&amp;" g/kg"</f>
        <v>0 g/kg</v>
      </c>
      <c r="D4" s="759" t="str">
        <f>ROUND(Berekeningen1700!R49/_Gewicht,1)&amp;" g/kg"</f>
        <v>0 g/kg</v>
      </c>
      <c r="E4" s="759" t="str">
        <f ca="1">ROUND(Berekeningen1700!R47/_Gewicht,1)&amp;" g/kg"</f>
        <v>0 g/kg</v>
      </c>
      <c r="G4" s="758" t="s">
        <v>577</v>
      </c>
      <c r="H4" s="759" t="str">
        <f ca="1">ROUND(Berekeningen1700!N50/_Gewicht,1)&amp;" mmol/kg"</f>
        <v>0 mmol/kg</v>
      </c>
      <c r="I4" s="759" t="str">
        <f>ROUND(Berekeningen1700!N49/_Gewicht,1)&amp;" mmol/kg"</f>
        <v>0 mmol/kg</v>
      </c>
      <c r="J4" s="759" t="str">
        <f ca="1">ROUND(Berekeningen1700!N47/_Gewicht,1)&amp;"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ROUND(Berekeningen1700!T50/_Gewicht,1)&amp;" g/kg"</f>
        <v>0 g/kg</v>
      </c>
      <c r="D5" s="759" t="str">
        <f>ROUND(Berekeningen1700!T49/_Gewicht,1)&amp;" g/kg"</f>
        <v>0 g/kg</v>
      </c>
      <c r="E5" s="759" t="str">
        <f ca="1">ROUND(Berekeningen1700!T47/_Gewicht,1)&amp;" g/kg"</f>
        <v>0 g/kg</v>
      </c>
      <c r="G5" s="758" t="s">
        <v>467</v>
      </c>
      <c r="H5" s="759" t="str">
        <f ca="1">ROUND(Berekeningen1700!O50/_Gewicht,1)&amp;" mmol/kg"</f>
        <v>0 mmol/kg</v>
      </c>
      <c r="I5" s="759" t="str">
        <f>ROUND(Berekeningen1700!O49/_Gewicht,1)&amp;" mmol/kg"</f>
        <v>0 mmol/kg</v>
      </c>
      <c r="J5" s="759" t="str">
        <f ca="1">ROUND(Berekeningen1700!O47/_Gewicht,1)&amp;"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ROUND(1000*Berekeningen1700!S50/_Gewicht/1440,1)&amp;" mg/kg/min"</f>
        <v>0 mg/kg/min</v>
      </c>
      <c r="D6" s="759" t="str">
        <f>ROUND(1000*Berekeningen1700!S49/_Gewicht/1440,1)&amp;" mg/kg/min"</f>
        <v>0 mg/kg/min</v>
      </c>
      <c r="E6" s="759" t="str">
        <f>ROUND(1000*Berekeningen1700!S47/_Gewicht/1440,1)&amp;" mg/kg/min"</f>
        <v>0 mg/kg/min</v>
      </c>
      <c r="G6" s="758" t="s">
        <v>643</v>
      </c>
      <c r="H6" s="759" t="str">
        <f ca="1">ROUND(Berekeningen1700!P50/_Gewicht,1)&amp;" mmol/kg"</f>
        <v>0 mmol/kg</v>
      </c>
      <c r="I6" s="759" t="str">
        <f>ROUND(Berekeningen1700!P49/_Gewicht,1)&amp;" mmol/kg"</f>
        <v>0 mmol/kg</v>
      </c>
      <c r="J6" s="759" t="str">
        <f ca="1">ROUND(Berekeningen1700!P47/_Gewicht,1)&amp;"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ROUND(Berekeningen1700!U50/_Gewicht,1)&amp; " kcal/kg"</f>
        <v>0 kcal/kg</v>
      </c>
      <c r="D7" s="759" t="str">
        <f>ROUND(Berekeningen1700!U49/_Gewicht,1)&amp; " kcal/kg"</f>
        <v>0 kcal/kg</v>
      </c>
      <c r="E7" s="759" t="str">
        <f ca="1">ROUND(Berekeningen1700!U47/_Gewicht,1)&amp; " kcal/kg"</f>
        <v>0 kcal/kg</v>
      </c>
      <c r="G7" s="758" t="s">
        <v>1045</v>
      </c>
      <c r="H7" s="759" t="str">
        <f ca="1">ROUND(Berekeningen1700!V50/_Gewicht,1)&amp;" mmol/kg"</f>
        <v>0 mmol/kg</v>
      </c>
      <c r="I7" s="759" t="str">
        <f>ROUND(Berekeningen1700!V49/_Gewicht,1)&amp;" mmol/kg"</f>
        <v>0 mmol/kg</v>
      </c>
      <c r="J7" s="759" t="str">
        <f ca="1">ROUND(Berekeningen1700!V47/_Gewicht,1)&amp;"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ROUND(Berekeningen1700!W50,0)&amp; " IE/ml"</f>
        <v>0 IE/ml</v>
      </c>
      <c r="D8" s="762" t="str">
        <f>ROUND(Berekeningen1700!W49,0)&amp; " IE/ml"</f>
        <v>0 IE/ml</v>
      </c>
      <c r="E8" s="762" t="str">
        <f ca="1">ROUND(Berekeningen1700!W47,0)&amp; " IE/ml"</f>
        <v>0 IE/ml</v>
      </c>
      <c r="F8" s="760"/>
      <c r="G8" s="761" t="s">
        <v>468</v>
      </c>
      <c r="H8" s="762" t="str">
        <f>ROUND(Berekeningen1700!Q50/_Gewicht,1)&amp;" mmol/kg"</f>
        <v>0 mmol/kg</v>
      </c>
      <c r="I8" s="762" t="str">
        <f>ROUND(Berekeningen1700!Q49/_Gewicht,1)&amp;" mmol/kg"</f>
        <v>0 mmol/kg</v>
      </c>
      <c r="J8" s="762" t="str">
        <f>ROUND(Berekeningen1700!Q47/_Gewicht,1)&amp;"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Berekeningen1700!B3-Berekeningen1700!C3</f>
        <v>42370</v>
      </c>
      <c r="J12" s="504" t="str">
        <f ca="1">"=dag "&amp;Berekeningen1700!B6</f>
        <v>=dag 353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TRUNC((H13*7+J13+Berekeningen1700!B6-1)/7)&amp;" weken en "&amp; H13*7+J13+Berekeningen1700!B6-1-TRUNC((H13*7+J13+Berekeningen1700!B6-1)/7)*7&amp;" dag(-en)"</f>
        <v>80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IF(Berekeningen1700!B17,Berekeningen1700!C16,ROUND(Berekeningen1700!L47/_Gewicht,1))</f>
        <v>0</v>
      </c>
      <c r="F18" s="774" t="s">
        <v>1055</v>
      </c>
      <c r="K18" s="775" t="str">
        <f ca="1">ROUND(Berekeningen1700!B16,0)&amp;"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IF(_Voeding1700&gt;1,Berekeningen1700!D10,"")</f>
        <v/>
      </c>
      <c r="F21" s="768" t="s">
        <v>1058</v>
      </c>
      <c r="G21" s="769" t="str">
        <f>IF(_Voeding1700&gt;1,Berekeningen1700!D11/10&amp;"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IF(_Voeding1700&gt;1,Berekeningen1700!D12,"")</f>
        <v/>
      </c>
      <c r="F22" s="768" t="s">
        <v>1058</v>
      </c>
      <c r="G22" s="769" t="str">
        <f>IF(_Voeding1700&gt;1,Berekeningen1700!D13/10&amp;"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INDEX(_VoedingBMFWaarden,Berekeningen1700!L52)&amp;" %"</f>
        <v>#VALUE!</v>
      </c>
    </row>
    <row r="24" spans="1:15" ht="15.95" customHeight="1" x14ac:dyDescent="0.4">
      <c r="H24" s="778"/>
      <c r="K24" s="776" t="e">
        <f>INDEX(_VoedingToevoegingenWaarden,Berekeningen1700!L53)&amp;" %"</f>
        <v>#VALUE!</v>
      </c>
      <c r="O24" s="776" t="e">
        <f>INDEX(_VoedingToevoegingenWaarden,Berekeningen1700!L58)&amp;" %"</f>
        <v>#VALUE!</v>
      </c>
    </row>
    <row r="25" spans="1:15" ht="15.95" customHeight="1" x14ac:dyDescent="0.4">
      <c r="H25" s="778"/>
      <c r="K25" s="776" t="e">
        <f>INDEX(_VoedingToevoegingenWaarden,Berekeningen1700!L54)&amp;" %"</f>
        <v>#VALUE!</v>
      </c>
      <c r="O25" s="776" t="e">
        <f>INDEX(_VoedingToevoegingenWaarden,Berekeningen1700!L59)&amp;" %"</f>
        <v>#VALUE!</v>
      </c>
    </row>
    <row r="26" spans="1:15" ht="15.95" customHeight="1" x14ac:dyDescent="0.4">
      <c r="H26" s="778"/>
      <c r="K26" s="776" t="e">
        <f>INDEX(_VoedingToevoegingenWaarden,Berekeningen1700!L55)&amp;" %"</f>
        <v>#VALUE!</v>
      </c>
      <c r="O26" s="776" t="e">
        <f>INDEX(_VoedingToevoegingenWaarden,Berekeningen1700!L60)&amp;"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INDEX(_VoedingToevoegingenWaarden,Berekeningen1700!L56)&amp;" %"</f>
        <v>#VALUE!</v>
      </c>
      <c r="L27" s="781"/>
      <c r="M27" s="781"/>
      <c r="N27" s="781"/>
      <c r="O27" s="776" t="e">
        <f>INDEX(_VoedingToevoegingenWaarden,Berekeningen1700!L61)&amp;" %"</f>
        <v>#VALUE!</v>
      </c>
    </row>
    <row r="28" spans="1:15" ht="15.95" customHeight="1" x14ac:dyDescent="0.4">
      <c r="B28" s="758" t="s">
        <v>1061</v>
      </c>
      <c r="E28" s="773">
        <f ca="1">IF(Berekeningen1700!B17,Berekeningen1700!C17,Berekeningen1700!L50)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Berekeningen1700!B18/10&amp;"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IF(Berekeningen1700!C20&gt;0,IF(Berekeningen1700!B20&lt;&gt;5,Berekeningen1700!C20/10&amp;" mg",Berekeningen1700!C20/10&amp;" ml"),"")</f>
        <v/>
      </c>
      <c r="D32" s="788" t="str">
        <f>IF(Berekeningen1700!D20&gt;0,"in "&amp;Berekeningen1700!D20&amp;" ml","")</f>
        <v/>
      </c>
      <c r="E32" s="787"/>
      <c r="F32" s="787"/>
      <c r="G32" s="789" t="str">
        <f>IF(Berekeningen1700!F20/10&gt;0,Berekeningen1700!F20/10&amp;" ml/uur","")</f>
        <v/>
      </c>
      <c r="H32" s="788" t="str">
        <f>IF(AND(Berekeningen1700!I20&gt;0),ROUND(Berekeningen1700!I20,2),"")</f>
        <v/>
      </c>
      <c r="I32" s="788" t="str">
        <f>IF(_Medicament1700_1&gt;1,INDEX(Medicamenten,Berekeningen1700!B20,6),"")</f>
        <v/>
      </c>
      <c r="J32" s="776"/>
      <c r="K32" s="775">
        <f>INDEX(Medicamenten,Berekeningen1700!B20,2)</f>
        <v>0</v>
      </c>
      <c r="L32" s="775"/>
      <c r="M32" s="790"/>
      <c r="N32" s="791" t="str">
        <f>IF(Berekeningen1700!I20&gt;0,IF(Berekeningen1700!Y20*10&gt;1,Berekeningen1700!X20&amp;" uren",Berekeningen1700!X20&amp;" minuten"),"")</f>
        <v/>
      </c>
    </row>
    <row r="33" spans="1:14" ht="15.95" customHeight="1" x14ac:dyDescent="0.4">
      <c r="A33" s="784">
        <v>2</v>
      </c>
      <c r="B33" s="792"/>
      <c r="C33" s="793" t="str">
        <f>IF(Berekeningen1700!C21&gt;0,Berekeningen1700!C21/10&amp;" mg","")</f>
        <v/>
      </c>
      <c r="D33" s="793" t="str">
        <f>IF(Berekeningen1700!D21&gt;0,"in "&amp;Berekeningen1700!D21&amp;" ml","")</f>
        <v/>
      </c>
      <c r="E33" s="792"/>
      <c r="F33" s="792"/>
      <c r="G33" s="794" t="str">
        <f>IF(Berekeningen1700!F21/10&gt;0,Berekeningen1700!F21/10&amp;" ml/uur","")</f>
        <v/>
      </c>
      <c r="H33" s="788" t="str">
        <f>IF(AND(Berekeningen1700!I21&gt;0),ROUND(Berekeningen1700!I21,2),"")</f>
        <v/>
      </c>
      <c r="I33" s="788" t="str">
        <f>IF(_Medicament1700_2&gt;1,INDEX(Medicamenten,Berekeningen1700!B21,6),"")</f>
        <v/>
      </c>
      <c r="J33" s="795"/>
      <c r="K33" s="796">
        <f>INDEX(Medicamenten,Berekeningen1700!B21,2)</f>
        <v>0</v>
      </c>
      <c r="L33" s="796"/>
      <c r="M33" s="797"/>
      <c r="N33" s="798" t="str">
        <f>IF(Berekeningen1700!I21&gt;0,IF(Berekeningen1700!Y21*10&gt;1,Berekeningen1700!X21&amp;" uren",Berekeningen1700!X21&amp;" minuten"),"")</f>
        <v/>
      </c>
    </row>
    <row r="34" spans="1:14" ht="15.95" customHeight="1" x14ac:dyDescent="0.4">
      <c r="A34" s="784">
        <v>3</v>
      </c>
      <c r="B34" s="792"/>
      <c r="C34" s="793" t="str">
        <f>IF(Berekeningen1700!C22&gt;0,Berekeningen1700!C22/10&amp;" mg","")</f>
        <v/>
      </c>
      <c r="D34" s="793" t="str">
        <f>IF(Berekeningen1700!D22&gt;0,"in "&amp;Berekeningen1700!D22&amp;" ml","")</f>
        <v/>
      </c>
      <c r="E34" s="792"/>
      <c r="F34" s="792"/>
      <c r="G34" s="794" t="str">
        <f>IF(Berekeningen1700!F22/10&gt;0,Berekeningen1700!F22/10&amp;" ml/uur","")</f>
        <v/>
      </c>
      <c r="H34" s="788" t="str">
        <f>IF(AND(Berekeningen1700!I22&gt;0),ROUND(Berekeningen1700!I22,2),"")</f>
        <v/>
      </c>
      <c r="I34" s="788" t="str">
        <f>IF(_Medicament1700_3&gt;1,INDEX(Medicamenten,Berekeningen1700!B22,6),"")</f>
        <v/>
      </c>
      <c r="J34" s="795"/>
      <c r="K34" s="796">
        <f>INDEX(Medicamenten,Berekeningen1700!B22,2)</f>
        <v>0</v>
      </c>
      <c r="L34" s="796"/>
      <c r="M34" s="797"/>
      <c r="N34" s="798" t="str">
        <f>IF(Berekeningen1700!I22&gt;0,IF(Berekeningen1700!Y22*10&gt;1,Berekeningen1700!X22&amp;" uren",Berekeningen1700!X22&amp;" minuten"),"")</f>
        <v/>
      </c>
    </row>
    <row r="35" spans="1:14" ht="15.95" customHeight="1" x14ac:dyDescent="0.4">
      <c r="A35" s="784">
        <v>4</v>
      </c>
      <c r="B35" s="792"/>
      <c r="C35" s="793" t="str">
        <f>IF(Berekeningen1700!C23&gt;0,Berekeningen1700!C23/10&amp;" mg","")</f>
        <v/>
      </c>
      <c r="D35" s="793" t="str">
        <f>IF(Berekeningen1700!D23&gt;0,"in "&amp;Berekeningen1700!D23&amp;" ml","")</f>
        <v/>
      </c>
      <c r="E35" s="792"/>
      <c r="F35" s="792"/>
      <c r="G35" s="794" t="str">
        <f>IF(Berekeningen1700!F23/10&gt;0,Berekeningen1700!F23/10&amp;" ml/uur","")</f>
        <v/>
      </c>
      <c r="H35" s="788" t="str">
        <f>IF(AND(Berekeningen1700!I23&gt;0),ROUND(Berekeningen1700!I23,2),"")</f>
        <v/>
      </c>
      <c r="I35" s="788" t="str">
        <f>IF(_Medicament1700_4&gt;1,INDEX(Medicamenten,Berekeningen1700!B23,6),"")</f>
        <v/>
      </c>
      <c r="J35" s="795"/>
      <c r="K35" s="796">
        <f>INDEX(Medicamenten,Berekeningen1700!B23,2)</f>
        <v>0</v>
      </c>
      <c r="L35" s="796"/>
      <c r="M35" s="797"/>
      <c r="N35" s="798" t="str">
        <f>IF(Berekeningen1700!I23&gt;0,IF(Berekeningen1700!Y23*10&gt;1,Berekeningen1700!X23&amp;" uren",Berekeningen1700!X23&amp;" minuten"),"")</f>
        <v/>
      </c>
    </row>
    <row r="36" spans="1:14" ht="15.95" customHeight="1" x14ac:dyDescent="0.4">
      <c r="A36" s="784">
        <v>5</v>
      </c>
      <c r="B36" s="792"/>
      <c r="C36" s="793" t="str">
        <f>IF(Berekeningen1700!C24&gt;0,Berekeningen1700!C24/10&amp;" mg","")</f>
        <v/>
      </c>
      <c r="D36" s="793" t="str">
        <f>IF(Berekeningen1700!D24&gt;0,"in "&amp;Berekeningen1700!D24&amp;" ml","")</f>
        <v/>
      </c>
      <c r="E36" s="792"/>
      <c r="F36" s="792"/>
      <c r="G36" s="794" t="str">
        <f>IF(Berekeningen1700!F24/10&gt;0,Berekeningen1700!F24/10&amp;" ml/uur","")</f>
        <v/>
      </c>
      <c r="H36" s="788" t="str">
        <f>IF(AND(Berekeningen1700!I24&gt;0),ROUND(Berekeningen1700!I24,2),"")</f>
        <v/>
      </c>
      <c r="I36" s="788" t="str">
        <f>IF(_Medicament1700_5&gt;1,INDEX(Medicamenten,Berekeningen1700!B24,6),"")</f>
        <v/>
      </c>
      <c r="J36" s="795"/>
      <c r="K36" s="796">
        <f>INDEX(Medicamenten,Berekeningen1700!B24,2)</f>
        <v>0</v>
      </c>
      <c r="L36" s="796"/>
      <c r="M36" s="797"/>
      <c r="N36" s="798" t="str">
        <f>IF(Berekeningen1700!I24&gt;0,IF(Berekeningen1700!Y24*10&gt;1,Berekeningen1700!X24&amp;" uren",Berekeningen1700!X24&amp;" minuten"),"")</f>
        <v/>
      </c>
    </row>
    <row r="37" spans="1:14" ht="15.95" customHeight="1" x14ac:dyDescent="0.4">
      <c r="A37" s="784">
        <v>6</v>
      </c>
      <c r="B37" s="792"/>
      <c r="C37" s="793" t="str">
        <f>IF(Berekeningen1700!C25&gt;0,Berekeningen1700!C25/10&amp;" mg","")</f>
        <v/>
      </c>
      <c r="D37" s="793" t="str">
        <f>IF(Berekeningen1700!D25&gt;0,"in "&amp;Berekeningen1700!D25&amp;" ml","")</f>
        <v/>
      </c>
      <c r="E37" s="792"/>
      <c r="F37" s="792"/>
      <c r="G37" s="794" t="str">
        <f>IF(Berekeningen1700!F25/10&gt;0,Berekeningen1700!F25/10&amp;" ml/uur","")</f>
        <v/>
      </c>
      <c r="H37" s="788" t="str">
        <f>IF(AND(Berekeningen1700!I25&gt;0),ROUND(Berekeningen1700!I25,2),"")</f>
        <v/>
      </c>
      <c r="I37" s="788" t="str">
        <f>IF(_Medicament1700_6&gt;1,INDEX(Medicamenten,Berekeningen1700!B25,6),"")</f>
        <v/>
      </c>
      <c r="J37" s="795"/>
      <c r="K37" s="796">
        <f>INDEX(Medicamenten,Berekeningen1700!B25,2)</f>
        <v>0</v>
      </c>
      <c r="L37" s="796"/>
      <c r="M37" s="797"/>
      <c r="N37" s="798" t="str">
        <f>IF(Berekeningen1700!I25&gt;0,IF(Berekeningen1700!Y25*10&gt;1,Berekeningen1700!X25&amp;" uren",Berekeningen1700!X25&amp;" minuten"),"")</f>
        <v/>
      </c>
    </row>
    <row r="38" spans="1:14" ht="15.95" customHeight="1" x14ac:dyDescent="0.4">
      <c r="A38" s="784">
        <v>7</v>
      </c>
      <c r="B38" s="792"/>
      <c r="C38" s="793" t="str">
        <f>IF(Berekeningen1700!C26&gt;0,Berekeningen1700!C26/10&amp;" mg","")</f>
        <v/>
      </c>
      <c r="D38" s="793" t="str">
        <f>IF(Berekeningen1700!D26&gt;0,"in "&amp;Berekeningen1700!D26&amp;" ml","")</f>
        <v/>
      </c>
      <c r="E38" s="792"/>
      <c r="F38" s="792"/>
      <c r="G38" s="794" t="str">
        <f>IF(Berekeningen1700!F26/10&gt;0,Berekeningen1700!F26/10&amp;" ml/uur","")</f>
        <v/>
      </c>
      <c r="H38" s="788" t="str">
        <f>IF(AND(Berekeningen1700!I26&gt;0),ROUND(Berekeningen1700!I26,2),"")</f>
        <v/>
      </c>
      <c r="I38" s="788" t="str">
        <f>IF(_Medicament1700_7&gt;1,INDEX(Medicamenten,Berekeningen1700!B26,6),"")</f>
        <v/>
      </c>
      <c r="J38" s="795"/>
      <c r="K38" s="796">
        <f>INDEX(Medicamenten,Berekeningen1700!B26,2)</f>
        <v>0</v>
      </c>
      <c r="L38" s="796"/>
      <c r="M38" s="797"/>
      <c r="N38" s="798" t="str">
        <f>IF(Berekeningen1700!I26&gt;0,IF(Berekeningen1700!Y26*10&gt;1,Berekeningen1700!X26&amp;" uren",Berekeningen1700!X26&amp;" minuten"),"")</f>
        <v/>
      </c>
    </row>
    <row r="39" spans="1:14" ht="15.95" customHeight="1" x14ac:dyDescent="0.4">
      <c r="A39" s="784">
        <v>8</v>
      </c>
      <c r="B39" s="792"/>
      <c r="C39" s="793" t="str">
        <f>IF(Berekeningen1700!C27&gt;0,Berekeningen1700!C27/10&amp;" mg","")</f>
        <v/>
      </c>
      <c r="D39" s="793" t="str">
        <f>IF(Berekeningen1700!D27&gt;0,"in "&amp;Berekeningen1700!D27&amp;" ml","")</f>
        <v/>
      </c>
      <c r="E39" s="792"/>
      <c r="F39" s="792"/>
      <c r="G39" s="794" t="str">
        <f>IF(Berekeningen1700!F27/10&gt;0,Berekeningen1700!F27/10&amp;" ml/uur","")</f>
        <v/>
      </c>
      <c r="H39" s="788" t="str">
        <f>IF(AND(Berekeningen1700!I27&gt;0),ROUND(Berekeningen1700!I27,2),"")</f>
        <v/>
      </c>
      <c r="I39" s="788" t="str">
        <f>IF(_Medicament1700_8&gt;1,INDEX(Medicamenten,Berekeningen1700!B27,6),"")</f>
        <v/>
      </c>
      <c r="J39" s="795"/>
      <c r="K39" s="796">
        <f>INDEX(Medicamenten,Berekeningen1700!B27,2)</f>
        <v>0</v>
      </c>
      <c r="L39" s="796"/>
      <c r="M39" s="797"/>
      <c r="N39" s="798" t="str">
        <f>IF(Berekeningen1700!I27&gt;0,IF(Berekeningen1700!Y27*10&gt;1,Berekeningen1700!X27&amp;" uren",Berekeningen1700!X27&amp;" minuten"),"")</f>
        <v/>
      </c>
    </row>
    <row r="40" spans="1:14" ht="15.95" customHeight="1" x14ac:dyDescent="0.4">
      <c r="A40" s="784">
        <v>9</v>
      </c>
      <c r="B40" s="792"/>
      <c r="C40" s="793" t="str">
        <f>IF(Berekeningen1700!C28&gt;0,Berekeningen1700!C28/10&amp;" mg","")</f>
        <v/>
      </c>
      <c r="D40" s="793" t="str">
        <f>IF(Berekeningen1700!D28&gt;0,"in "&amp;Berekeningen1700!D28&amp;" ml","")</f>
        <v/>
      </c>
      <c r="E40" s="792"/>
      <c r="F40" s="787"/>
      <c r="G40" s="789" t="str">
        <f>IF(Berekeningen1700!F28/10&gt;0,Berekeningen1700!F28/10&amp;" ml/uur","")</f>
        <v/>
      </c>
      <c r="H40" s="788" t="str">
        <f>IF(AND(Berekeningen1700!I28&gt;0),ROUND(Berekeningen1700!I28,2),"")</f>
        <v/>
      </c>
      <c r="I40" s="788" t="str">
        <f>IF(_Medicament1700_9&gt;1,INDEX(Medicamenten,Berekeningen1700!B28,6),"")</f>
        <v/>
      </c>
      <c r="J40" s="776"/>
      <c r="K40" s="796">
        <f>INDEX(Medicamenten,Berekeningen1700!B28,2)</f>
        <v>0</v>
      </c>
      <c r="L40" s="796"/>
      <c r="M40" s="797"/>
      <c r="N40" s="798" t="str">
        <f>IF(Berekeningen1700!I28&gt;0,IF(Berekeningen1700!Y28*10&gt;1,Berekeningen1700!X28&amp;" uren",Berekeningen1700!X28&amp;"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IF(Berekeningen1700!F29/10&gt;0,Berekeningen1700!F29/10&amp;" ml/uur","")</f>
        <v/>
      </c>
      <c r="H42" s="805" t="str">
        <f>IF(Berekeningen1700!I32&gt;0,"= "&amp;ROUND(Berekeningen1700!I32,2),"")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IF(Berekeningen1700!F30/10&gt;0,Berekeningen1700!F30/10&amp;" ml/uur","")</f>
        <v/>
      </c>
      <c r="H43" s="805" t="str">
        <f>IF(Berekeningen1700!I33&gt;0,"= "&amp;ROUND(Berekeningen1700!I33,2),"")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IF(Berekeningen1700!F31/10&gt;0,Berekeningen1700!F31/10&amp;" ml/uur","")</f>
        <v/>
      </c>
      <c r="H44" s="805" t="str">
        <f>IF(Berekeningen1700!I34&gt;0,"= "&amp;ROUND(Berekeningen1700!I34,2),"")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IF(Berekeningen1700!C35&gt;0,Berekeningen1700!C35&amp;" ml","")</f>
        <v/>
      </c>
      <c r="F48" s="767" t="str">
        <f ca="1">IF(E48&lt;&gt;"",ROUND(Berekeningen1700!C35/_Gewicht,0)&amp;" ml/ kg","")</f>
        <v/>
      </c>
      <c r="K48" s="775" t="str">
        <f ca="1">IF(Berekeningen1700!B35&gt;0,Berekeningen1700!B35&amp;"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IF(Berekeningen1700!$D$36=1,Berekeningen1700!C37&amp;" ml","")</f>
        <v>0 ml</v>
      </c>
      <c r="F52" s="776"/>
      <c r="G52" s="776"/>
      <c r="H52" s="776"/>
      <c r="I52" s="791" t="str">
        <f>IF(Berekeningen1700!$D$36=3,Berekeningen1700!C37&amp;" ml","")</f>
        <v/>
      </c>
      <c r="J52" s="776"/>
      <c r="K52" s="775" t="str">
        <f ca="1">IF(Berekeningen1700!B37&gt;0,Berekeningen1700!B37&amp;"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IF(Berekeningen1700!$D$36=1,Berekeningen1700!C38&amp;" ml","")</f>
        <v>0 ml</v>
      </c>
      <c r="F53" s="795"/>
      <c r="G53" s="795"/>
      <c r="H53" s="795"/>
      <c r="I53" s="798" t="str">
        <f>IF(Berekeningen1700!$D$36=3,Berekeningen1700!C38&amp;" ml","")</f>
        <v/>
      </c>
      <c r="J53" s="795"/>
      <c r="K53" s="796" t="str">
        <f ca="1">IF(Berekeningen1700!B38&gt;0,Berekeningen1700!B38&amp;"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IF(Berekeningen1700!$D$36=1,Berekeningen1700!C39&amp;" ml","")</f>
        <v>0 ml</v>
      </c>
      <c r="F54" s="795"/>
      <c r="G54" s="795"/>
      <c r="H54" s="795"/>
      <c r="I54" s="795"/>
      <c r="J54" s="795"/>
      <c r="K54" s="796" t="str">
        <f ca="1">IF(Berekeningen1700!B39&gt;0,Berekeningen1700!B39&amp;"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IF(Berekeningen1700!$D$36=1,Berekeningen1700!C40&amp;" ml","")</f>
        <v>0 ml</v>
      </c>
      <c r="F55" s="795"/>
      <c r="G55" s="795"/>
      <c r="H55" s="795"/>
      <c r="I55" s="795"/>
      <c r="J55" s="795"/>
      <c r="K55" s="796" t="str">
        <f ca="1">IF(Berekeningen1700!B40&gt;0,Berekeningen1700!B40&amp;"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IF(Berekeningen1700!$D$36=1,Berekeningen1700!C41&amp;" ml","")</f>
        <v>0 ml</v>
      </c>
      <c r="F56" s="795"/>
      <c r="G56" s="795"/>
      <c r="H56" s="795"/>
      <c r="I56" s="795"/>
      <c r="J56" s="795"/>
      <c r="K56" s="796" t="str">
        <f ca="1">IF(Berekeningen1700!B41&gt;0,Berekeningen1700!B41&amp;"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IF(Berekeningen1700!$D$36=1,Berekeningen1700!C42&amp;" ml","")</f>
        <v>0 ml</v>
      </c>
      <c r="F57" s="795"/>
      <c r="G57" s="795"/>
      <c r="H57" s="795"/>
      <c r="I57" s="795"/>
      <c r="J57" s="795"/>
      <c r="K57" s="796" t="str">
        <f ca="1">IF(Berekeningen1700!B42&gt;0,Berekeningen1700!B42&amp;"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IF(Berekeningen1700!D36=2,Berekeningen1700!C43&amp;" ml","")</f>
        <v/>
      </c>
      <c r="H58" s="813" t="str">
        <f>IF(G58&lt;&gt;"","("&amp;ROUND(Berekeningen1700!C43/_Gewicht,0)&amp;" ml/kg)","")</f>
        <v/>
      </c>
      <c r="I58" s="795"/>
      <c r="J58" s="795"/>
      <c r="K58" s="796" t="str">
        <f ca="1">IF(Berekeningen1700!B43&gt;0,Berekeningen1700!B43&amp;"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IF(Berekeningen1700!$D$36=3,Berekeningen1700!C44&amp;" ml","")</f>
        <v/>
      </c>
      <c r="J59" s="813" t="str">
        <f>IF(I59&lt;&gt;"","("&amp;ROUND(1000*Berekeningen1700!C44/_Gewicht,0)&amp;" ml/kg)","")</f>
        <v/>
      </c>
      <c r="K59" s="796" t="str">
        <f ca="1">IF(Berekeningen1700!B44&gt;0,Berekeningen1700!B44&amp;"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IF(Berekeningen1700!D36=1,Berekeningen1700!L45,"")</f>
        <v>0</v>
      </c>
      <c r="F60" s="795" t="str">
        <f>IF(E60&lt;&gt;"","ml","")</f>
        <v>ml</v>
      </c>
      <c r="G60" s="814" t="str">
        <f>IF(Berekeningen1700!D36=2,Berekeningen1700!L45,"")</f>
        <v/>
      </c>
      <c r="H60" s="795" t="str">
        <f>IF(G60&lt;&gt;"","ml","")</f>
        <v/>
      </c>
      <c r="I60" s="814" t="str">
        <f>IF(Berekeningen1700!D36=3,Berekeningen1700!L45,"")</f>
        <v/>
      </c>
      <c r="J60" s="795" t="str">
        <f>IF(I60&lt;&gt;"","ml","")</f>
        <v/>
      </c>
      <c r="K60" s="796"/>
      <c r="L60" s="796"/>
      <c r="M60" s="796"/>
    </row>
  </sheetData>
  <sheetProtection algorithmName="SHA-512" hashValue="6hRkvZOe81ghA7HHe+C9aVqFuyV6aW/f6iYqrNsXiaerWFD+nOVPJ7UJtZDnXoFmcLdsr0G9eBDUgREQ/KKFkw==" saltValue="EltAIJrMjblBEtwBatLJKQ==" spinCount="100000" sheet="1" objects="1" scenarios="1" selectLockedCells="1" selectUnlockedCell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IF(Berekeningen1700!B20&gt;1,IF(AND(H32&lt;&gt;"""",H32&gt;=INDEX(Medicamenten,Berekeningen1700!B20,9)),TRUE,FALSE),FALSE)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IF(AND(C32&lt;&gt;0,G32&lt;&gt;""),IF(AND(H32&gt;=INDEX(Medicamenten,Berekeningen1700!$B20,7),H32&lt;=INDEX(Medicamenten,Berekeningen1700!$B20,8)),TRUE,FALSE),TRUE)=FALSE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1700">
    <tabColor rgb="FF92D050"/>
  </sheetPr>
  <dimension ref="A1:Y116"/>
  <sheetViews>
    <sheetView workbookViewId="0">
      <pane xSplit="1" ySplit="1" topLeftCell="B2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353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IF(AND(D4&lt;37,_Gewicht&gt;=1),INDEX(Advies!B4:G4,1,Berekeningen1700!C6),IF(_Gewicht&lt;1,INDEX(Advies!B5:G5,1,Berekeningen1700!C6),INDEX(Advies!B6:G6,1,Berekeningen1700!C6)))+IF(B15=1,20,0)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IF(INDEX(Medicamenten,Berekeningen1700!B20,5)=0,1,INDEX(Medicamenten,Berekeningen1700!B20,5))</f>
        <v>1</v>
      </c>
      <c r="I20" s="660">
        <f>IF(D20&gt;0,(F20*IF(Y20*10&gt;=24,2.4,2.4)*((C20/10)/D20))/($B$4)/J20,0)</f>
        <v>0</v>
      </c>
      <c r="J20" s="660">
        <f>IF(Berekeningen1700!H20&gt;1,INDEX(FaktorLijst,Berekeningen1700!H20),1)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IF(INDEX(Medicamenten,Berekeningen1700!B21,5)=0,1,INDEX(Medicamenten,Berekeningen1700!B21,5))</f>
        <v>1</v>
      </c>
      <c r="I21" s="821">
        <f t="shared" ref="I21:I28" si="1">IF(D21&gt;0,(F21*IF(Y21*10&gt;=24,2.4,2.4)*((C21/10)/D21))/($B$4)/J21,0)</f>
        <v>0</v>
      </c>
      <c r="J21" s="821">
        <f>IF(Berekeningen1700!H21&gt;1,INDEX(FaktorLijst,Berekeningen1700!H21),1)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IF(INDEX(Medicamenten,Berekeningen1700!B22,5)=0,1,INDEX(Medicamenten,Berekeningen1700!B22,5))</f>
        <v>1</v>
      </c>
      <c r="I22" s="821">
        <f t="shared" si="1"/>
        <v>0</v>
      </c>
      <c r="J22" s="821">
        <f>IF(Berekeningen1700!H22&gt;1,INDEX(FaktorLijst,Berekeningen1700!H22),1)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IF(INDEX(Medicamenten,Berekeningen1700!B23,5)=0,1,INDEX(Medicamenten,Berekeningen1700!B23,5))</f>
        <v>1</v>
      </c>
      <c r="I23" s="821">
        <f t="shared" si="1"/>
        <v>0</v>
      </c>
      <c r="J23" s="821">
        <f>IF(Berekeningen1700!H23&gt;1,INDEX(FaktorLijst,Berekeningen1700!H23),1)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IF(INDEX(Medicamenten,Berekeningen1700!B24,5)=0,1,INDEX(Medicamenten,Berekeningen1700!B24,5))</f>
        <v>1</v>
      </c>
      <c r="I24" s="821">
        <f t="shared" si="1"/>
        <v>0</v>
      </c>
      <c r="J24" s="821">
        <f>IF(Berekeningen1700!H24&gt;1,INDEX(FaktorLijst,Berekeningen1700!H24),1)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IF(INDEX(Medicamenten,Berekeningen1700!B25,5)=0,1,INDEX(Medicamenten,Berekeningen1700!B25,5))</f>
        <v>1</v>
      </c>
      <c r="I25" s="821">
        <f t="shared" si="1"/>
        <v>0</v>
      </c>
      <c r="J25" s="821">
        <f>IF(Berekeningen1700!H25&gt;1,INDEX(FaktorLijst,Berekeningen1700!H25),1)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IF(INDEX(Medicamenten,Berekeningen1700!B26,5)=0,1,INDEX(Medicamenten,Berekeningen1700!B26,5))</f>
        <v>1</v>
      </c>
      <c r="I26" s="821">
        <f t="shared" si="1"/>
        <v>0</v>
      </c>
      <c r="J26" s="821">
        <f>IF(Berekeningen1700!H26&gt;1,INDEX(FaktorLijst,Berekeningen1700!H26),1)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IF(INDEX(Medicamenten,Berekeningen1700!B27,5)=0,1,INDEX(Medicamenten,Berekeningen1700!B27,5))</f>
        <v>1</v>
      </c>
      <c r="I27" s="821">
        <f t="shared" si="1"/>
        <v>0</v>
      </c>
      <c r="J27" s="821">
        <f>IF(Berekeningen1700!H27&gt;1,INDEX(FaktorLijst,Berekeningen1700!H27),1)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IF(INDEX(Medicamenten,Berekeningen1700!B28,5)=0,1,INDEX(Medicamenten,Berekeningen1700!B28,5))</f>
        <v>1</v>
      </c>
      <c r="I28" s="821">
        <f t="shared" si="1"/>
        <v>0</v>
      </c>
      <c r="J28" s="821">
        <f>IF(Berekeningen1700!H28&gt;1,INDEX(FaktorLijst,Berekeningen1700!H28),1)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ROUND(_Gewicht*INDEX(Advies!$B$9:$G$16,8,Berekeningen1700!$C$6),0)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ROUND(_Gewicht*INDEX(Advies!$B$9:$G$16,2,Berekeningen1700!$C$6),0)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ROUND(_Gewicht*INDEX(Advies!$B$9:$G$16,3,Berekeningen1700!$C$6),0)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ROUND(_Gewicht*INDEX(Advies!$B$9:$G$16,4,Berekeningen1700!$C$6),0)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ROUND(_Gewicht*INDEX(Advies!$B$9:$G$16,5,Berekeningen1700!$C$6),1)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ROUND(_Gewicht*INDEX(Advies!$B$9:$G$16,6,Berekeningen1700!$C$6),1)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ROUND(_Gewicht*INDEX(Advies!$B$9:$G$16,7,Berekeningen1700!$C$6),0)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ROUND(_Gewicht*INDEX(Advies!$B$9:$G$16,1,Berekeningen1700!$C$6),1)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ROUND(_Gewicht*INDEX(Advies!$B$9:$G$16,1,Berekeningen1700!$C$6),1)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INDEX(_VoedingBMFWaarden,Berekeningen1700!K52)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INDEX(_VoedingToevoegingenWaarden,Berekeningen1700!K53)</f>
        <v>0</v>
      </c>
      <c r="M53" s="651">
        <f>IF($B53&gt;1,($L53)*$L$49*HLOOKUP(Berekeningen1700!M$1,LijstenOpzoektabelMM,$C53,FALSE),0)</f>
        <v>0</v>
      </c>
      <c r="N53" s="651">
        <f>IF($B53&gt;1,($L53)*$L$49*HLOOKUP(Berekeningen1700!N$1,LijstenOpzoektabelMM,$C53,FALSE),0)</f>
        <v>0</v>
      </c>
      <c r="O53" s="651">
        <f>IF($B53&gt;1,($L53)*$L$49*HLOOKUP(Berekeningen1700!O$1,LijstenOpzoektabelMM,$C53,FALSE),0)</f>
        <v>0</v>
      </c>
      <c r="P53" s="651">
        <f>IF($B53&gt;1,($L53)*$L$49*HLOOKUP(Berekeningen1700!P$1,LijstenOpzoektabelMM,$C53,FALSE),0)</f>
        <v>0</v>
      </c>
      <c r="Q53" s="651">
        <f>IF($B53&gt;1,($L53)*$L$49*HLOOKUP(Berekeningen1700!Q$1,LijstenOpzoektabelMM,$C53,FALSE),0)</f>
        <v>0</v>
      </c>
      <c r="R53" s="651">
        <f>IF($B53&gt;1,($L53)*$L$49*HLOOKUP(Berekeningen1700!R$1,LijstenOpzoektabelMM,$C53,FALSE),0)</f>
        <v>0</v>
      </c>
      <c r="S53" s="651">
        <f>IF($B53&gt;1,($L53)*$L$49*HLOOKUP(Berekeningen1700!S$1,LijstenOpzoektabelMM,$C53,FALSE),0)</f>
        <v>0</v>
      </c>
      <c r="T53" s="651">
        <f>IF($B53&gt;1,($L53)*$L$49*HLOOKUP(Berekeningen1700!T$1,LijstenOpzoektabelMM,$C53,FALSE),0)</f>
        <v>0</v>
      </c>
      <c r="U53" s="651">
        <f>IF($B53&gt;1,($L53)*$L$49*HLOOKUP(Berekeningen1700!U$1,LijstenOpzoektabelMM,$C53,FALSE),0)</f>
        <v>0</v>
      </c>
      <c r="V53" s="651">
        <f>IF($B53&gt;1,($L53)*$L$49*HLOOKUP(Berekeningen1700!V$1,LijstenOpzoektabelMM,$C53,FALSE),0)</f>
        <v>0</v>
      </c>
      <c r="W53" s="651">
        <f>IF($B53&gt;1,($L53)*$L$49*HLOOKUP(Berekeningen1700!W$1,LijstenOpzoektabelMM,$C53,FALSE),0)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INDEX(_VoedingToevoegingenWaarden,Berekeningen1700!K54)</f>
        <v>0</v>
      </c>
      <c r="M54" s="651">
        <f>IF($B54&gt;1,($L54)*$L$49*HLOOKUP(Berekeningen1700!M$1,LijstenOpzoektabelMM,$C54,FALSE),0)</f>
        <v>0</v>
      </c>
      <c r="N54" s="651">
        <f>IF($B54&gt;1,($L54)*$L$49*HLOOKUP(Berekeningen1700!N$1,LijstenOpzoektabelMM,$C54,FALSE),0)</f>
        <v>0</v>
      </c>
      <c r="O54" s="651">
        <f>IF($B54&gt;1,($L54)*$L$49*HLOOKUP(Berekeningen1700!O$1,LijstenOpzoektabelMM,$C54,FALSE),0)</f>
        <v>0</v>
      </c>
      <c r="P54" s="651">
        <f>IF($B54&gt;1,($L54)*$L$49*HLOOKUP(Berekeningen1700!P$1,LijstenOpzoektabelMM,$C54,FALSE),0)</f>
        <v>0</v>
      </c>
      <c r="Q54" s="651">
        <f>IF($B54&gt;1,($L54)*$L$49*HLOOKUP(Berekeningen1700!Q$1,LijstenOpzoektabelMM,$C54,FALSE),0)</f>
        <v>0</v>
      </c>
      <c r="R54" s="651">
        <f>IF($B54&gt;1,($L54)*$L$49*HLOOKUP(Berekeningen1700!R$1,LijstenOpzoektabelMM,$C54,FALSE),0)</f>
        <v>0</v>
      </c>
      <c r="S54" s="651">
        <f>IF($B54&gt;1,($L54)*$L$49*HLOOKUP(Berekeningen1700!S$1,LijstenOpzoektabelMM,$C54,FALSE),0)</f>
        <v>0</v>
      </c>
      <c r="T54" s="651">
        <f>IF($B54&gt;1,($L54)*$L$49*HLOOKUP(Berekeningen1700!T$1,LijstenOpzoektabelMM,$C54,FALSE),0)</f>
        <v>0</v>
      </c>
      <c r="U54" s="651">
        <f>IF($B54&gt;1,($L54)*$L$49*HLOOKUP(Berekeningen1700!U$1,LijstenOpzoektabelMM,$C54,FALSE),0)</f>
        <v>0</v>
      </c>
      <c r="V54" s="651">
        <f>IF($B54&gt;1,($L54)*$L$49*HLOOKUP(Berekeningen1700!V$1,LijstenOpzoektabelMM,$C54,FALSE),0)</f>
        <v>0</v>
      </c>
      <c r="W54" s="651">
        <f>IF($B54&gt;1,($L54)*$L$49*HLOOKUP(Berekeningen1700!W$1,LijstenOpzoektabelMM,$C54,FALSE),0)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INDEX(_VoedingToevoegingenWaarden,Berekeningen1700!K55)</f>
        <v>0</v>
      </c>
      <c r="M55" s="651">
        <f>IF($B55&gt;1,($L55)*$L$49*HLOOKUP(Berekeningen1700!M$1,LijstenOpzoektabelMM,$C55,FALSE),0)</f>
        <v>0</v>
      </c>
      <c r="N55" s="651">
        <f>IF($B55&gt;1,($L55)*$L$49*HLOOKUP(Berekeningen1700!N$1,LijstenOpzoektabelMM,$C55,FALSE),0)</f>
        <v>0</v>
      </c>
      <c r="O55" s="651">
        <f>IF($B55&gt;1,($L55)*$L$49*HLOOKUP(Berekeningen1700!O$1,LijstenOpzoektabelMM,$C55,FALSE),0)</f>
        <v>0</v>
      </c>
      <c r="P55" s="651">
        <f>IF($B55&gt;1,($L55)*$L$49*HLOOKUP(Berekeningen1700!P$1,LijstenOpzoektabelMM,$C55,FALSE),0)</f>
        <v>0</v>
      </c>
      <c r="Q55" s="651">
        <f>IF($B55&gt;1,($L55)*$L$49*HLOOKUP(Berekeningen1700!Q$1,LijstenOpzoektabelMM,$C55,FALSE),0)</f>
        <v>0</v>
      </c>
      <c r="R55" s="651">
        <f>IF($B55&gt;1,($L55)*$L$49*HLOOKUP(Berekeningen1700!R$1,LijstenOpzoektabelMM,$C55,FALSE),0)</f>
        <v>0</v>
      </c>
      <c r="S55" s="651">
        <f>IF($B55&gt;1,($L55)*$L$49*HLOOKUP(Berekeningen1700!S$1,LijstenOpzoektabelMM,$C55,FALSE),0)</f>
        <v>0</v>
      </c>
      <c r="T55" s="651">
        <f>IF($B55&gt;1,($L55)*$L$49*HLOOKUP(Berekeningen1700!T$1,LijstenOpzoektabelMM,$C55,FALSE),0)</f>
        <v>0</v>
      </c>
      <c r="U55" s="651">
        <f>IF($B55&gt;1,($L55)*$L$49*HLOOKUP(Berekeningen1700!U$1,LijstenOpzoektabelMM,$C55,FALSE),0)</f>
        <v>0</v>
      </c>
      <c r="V55" s="651">
        <f>IF($B55&gt;1,($L55)*$L$49*HLOOKUP(Berekeningen1700!V$1,LijstenOpzoektabelMM,$C55,FALSE),0)</f>
        <v>0</v>
      </c>
      <c r="W55" s="651">
        <f>IF($B55&gt;1,($L55)*$L$49*HLOOKUP(Berekeningen1700!W$1,LijstenOpzoektabelMM,$C55,FALSE),0)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INDEX(_VoedingToevoegingenWaarden,Berekeningen1700!K56)</f>
        <v>0</v>
      </c>
      <c r="M56" s="651">
        <f>IF($B56&gt;1,($L56)*$L$49*HLOOKUP(Berekeningen1700!M$1,LijstenOpzoektabelMM,$C56,FALSE),0)</f>
        <v>0</v>
      </c>
      <c r="N56" s="651">
        <f>IF($B56&gt;1,($L56)*$L$49*HLOOKUP(Berekeningen1700!N$1,LijstenOpzoektabelMM,$C56,FALSE),0)</f>
        <v>0</v>
      </c>
      <c r="O56" s="651">
        <f>IF($B56&gt;1,($L56)*$L$49*HLOOKUP(Berekeningen1700!O$1,LijstenOpzoektabelMM,$C56,FALSE),0)</f>
        <v>0</v>
      </c>
      <c r="P56" s="651">
        <f>IF($B56&gt;1,($L56)*$L$49*HLOOKUP(Berekeningen1700!P$1,LijstenOpzoektabelMM,$C56,FALSE),0)</f>
        <v>0</v>
      </c>
      <c r="Q56" s="651">
        <f>IF($B56&gt;1,($L56)*$L$49*HLOOKUP(Berekeningen1700!Q$1,LijstenOpzoektabelMM,$C56,FALSE),0)</f>
        <v>0</v>
      </c>
      <c r="R56" s="651">
        <f>IF($B56&gt;1,($L56)*$L$49*HLOOKUP(Berekeningen1700!R$1,LijstenOpzoektabelMM,$C56,FALSE),0)</f>
        <v>0</v>
      </c>
      <c r="S56" s="651">
        <f>IF($B56&gt;1,($L56)*$L$49*HLOOKUP(Berekeningen1700!S$1,LijstenOpzoektabelMM,$C56,FALSE),0)</f>
        <v>0</v>
      </c>
      <c r="T56" s="651">
        <f>IF($B56&gt;1,($L56)*$L$49*HLOOKUP(Berekeningen1700!T$1,LijstenOpzoektabelMM,$C56,FALSE),0)</f>
        <v>0</v>
      </c>
      <c r="U56" s="651">
        <f>IF($B56&gt;1,($L56)*$L$49*HLOOKUP(Berekeningen1700!U$1,LijstenOpzoektabelMM,$C56,FALSE),0)</f>
        <v>0</v>
      </c>
      <c r="V56" s="651">
        <f>IF($B56&gt;1,($L56)*$L$49*HLOOKUP(Berekeningen1700!V$1,LijstenOpzoektabelMM,$C56,FALSE),0)</f>
        <v>0</v>
      </c>
      <c r="W56" s="651">
        <f>IF($B56&gt;1,($L56)*$L$49*HLOOKUP(Berekeningen1700!W$1,LijstenOpzoektabelMM,$C56,FALSE),0)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INDEX(_VoedingToevoegingenWaarden,Berekeningen1700!K58)</f>
        <v>0</v>
      </c>
      <c r="M58" s="651">
        <f>IF($B58&gt;1,($L58)*$L$49*HLOOKUP(Berekeningen1700!M$1,LijstenOpzoektabelKV,$C58,FALSE),0)</f>
        <v>0</v>
      </c>
      <c r="N58" s="651">
        <f>IF($B58&gt;1,($L58)*$L$49*HLOOKUP(Berekeningen1700!N$1,LijstenOpzoektabelKV,$C58,FALSE),0)</f>
        <v>0</v>
      </c>
      <c r="O58" s="651">
        <f>IF($B58&gt;1,($L58)*$L$49*HLOOKUP(Berekeningen1700!O$1,LijstenOpzoektabelKV,$C58,FALSE),0)</f>
        <v>0</v>
      </c>
      <c r="P58" s="651">
        <f>IF($B58&gt;1,($L58)*$L$49*HLOOKUP(Berekeningen1700!P$1,LijstenOpzoektabelKV,$C58,FALSE),0)</f>
        <v>0</v>
      </c>
      <c r="Q58" s="651">
        <f>IF($B58&gt;1,($L58)*$L$49*HLOOKUP(Berekeningen1700!Q$1,LijstenOpzoektabelKV,$C58,FALSE),0)</f>
        <v>0</v>
      </c>
      <c r="R58" s="651">
        <f>IF($B58&gt;1,($L58)*$L$49*HLOOKUP(Berekeningen1700!R$1,LijstenOpzoektabelKV,$C58,FALSE),0)</f>
        <v>0</v>
      </c>
      <c r="S58" s="651">
        <f>IF($B58&gt;1,($L58)*$L$49*HLOOKUP(Berekeningen1700!S$1,LijstenOpzoektabelKV,$C58,FALSE),0)</f>
        <v>0</v>
      </c>
      <c r="T58" s="651">
        <f>IF($B58&gt;1,($L58)*$L$49*HLOOKUP(Berekeningen1700!T$1,LijstenOpzoektabelKV,$C58,FALSE),0)</f>
        <v>0</v>
      </c>
      <c r="U58" s="651">
        <f>IF($B58&gt;1,($L58)*$L$49*HLOOKUP(Berekeningen1700!U$1,LijstenOpzoektabelKV,$C58,FALSE),0)</f>
        <v>0</v>
      </c>
      <c r="V58" s="651">
        <f>IF($B58&gt;1,($L58)*$L$49*HLOOKUP(Berekeningen1700!V$1,LijstenOpzoektabelKV,$C58,FALSE),0)</f>
        <v>0</v>
      </c>
      <c r="W58" s="651">
        <f>IF($B58&gt;1,($L58)*$L$49*HLOOKUP(Berekeningen1700!W$1,LijstenOpzoektabelKV,$C58,FALSE),0)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INDEX(_VoedingToevoegingenWaarden,Berekeningen1700!K59)</f>
        <v>0</v>
      </c>
      <c r="M59" s="651">
        <f>IF($B59&gt;1,($L59)*$L$49*HLOOKUP(Berekeningen1700!M$1,LijstenOpzoektabelKV,$C59,FALSE),0)</f>
        <v>0</v>
      </c>
      <c r="N59" s="651">
        <f>IF($B59&gt;1,($L59)*$L$49*HLOOKUP(Berekeningen1700!N$1,LijstenOpzoektabelKV,$C59,FALSE),0)</f>
        <v>0</v>
      </c>
      <c r="O59" s="651">
        <f>IF($B59&gt;1,($L59)*$L$49*HLOOKUP(Berekeningen1700!O$1,LijstenOpzoektabelKV,$C59,FALSE),0)</f>
        <v>0</v>
      </c>
      <c r="P59" s="651">
        <f>IF($B59&gt;1,($L59)*$L$49*HLOOKUP(Berekeningen1700!P$1,LijstenOpzoektabelKV,$C59,FALSE),0)</f>
        <v>0</v>
      </c>
      <c r="Q59" s="651">
        <f>IF($B59&gt;1,($L59)*$L$49*HLOOKUP(Berekeningen1700!Q$1,LijstenOpzoektabelKV,$C59,FALSE),0)</f>
        <v>0</v>
      </c>
      <c r="R59" s="651">
        <f>IF($B59&gt;1,($L59)*$L$49*HLOOKUP(Berekeningen1700!R$1,LijstenOpzoektabelKV,$C59,FALSE),0)</f>
        <v>0</v>
      </c>
      <c r="S59" s="651">
        <f>IF($B59&gt;1,($L59)*$L$49*HLOOKUP(Berekeningen1700!S$1,LijstenOpzoektabelKV,$C59,FALSE),0)</f>
        <v>0</v>
      </c>
      <c r="T59" s="651">
        <f>IF($B59&gt;1,($L59)*$L$49*HLOOKUP(Berekeningen1700!T$1,LijstenOpzoektabelKV,$C59,FALSE),0)</f>
        <v>0</v>
      </c>
      <c r="U59" s="651">
        <f>IF($B59&gt;1,($L59)*$L$49*HLOOKUP(Berekeningen1700!U$1,LijstenOpzoektabelKV,$C59,FALSE),0)</f>
        <v>0</v>
      </c>
      <c r="V59" s="651">
        <f>IF($B59&gt;1,($L59)*$L$49*HLOOKUP(Berekeningen1700!V$1,LijstenOpzoektabelKV,$C59,FALSE),0)</f>
        <v>0</v>
      </c>
      <c r="W59" s="651">
        <f>IF($B59&gt;1,($L59)*$L$49*HLOOKUP(Berekeningen1700!W$1,LijstenOpzoektabelKV,$C59,FALSE),0)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INDEX(_VoedingToevoegingenWaarden,Berekeningen1700!K60)</f>
        <v>0</v>
      </c>
      <c r="M60" s="651">
        <f>IF($B60&gt;1,($L60)*$L$49*HLOOKUP(Berekeningen1700!M$1,LijstenOpzoektabelKV,$C60,FALSE),0)</f>
        <v>0</v>
      </c>
      <c r="N60" s="651">
        <f>IF($B60&gt;1,($L60)*$L$49*HLOOKUP(Berekeningen1700!N$1,LijstenOpzoektabelKV,$C60,FALSE),0)</f>
        <v>0</v>
      </c>
      <c r="O60" s="651">
        <f>IF($B60&gt;1,($L60)*$L$49*HLOOKUP(Berekeningen1700!O$1,LijstenOpzoektabelKV,$C60,FALSE),0)</f>
        <v>0</v>
      </c>
      <c r="P60" s="651">
        <f>IF($B60&gt;1,($L60)*$L$49*HLOOKUP(Berekeningen1700!P$1,LijstenOpzoektabelKV,$C60,FALSE),0)</f>
        <v>0</v>
      </c>
      <c r="Q60" s="651">
        <f>IF($B60&gt;1,($L60)*$L$49*HLOOKUP(Berekeningen1700!Q$1,LijstenOpzoektabelKV,$C60,FALSE),0)</f>
        <v>0</v>
      </c>
      <c r="R60" s="651">
        <f>IF($B60&gt;1,($L60)*$L$49*HLOOKUP(Berekeningen1700!R$1,LijstenOpzoektabelKV,$C60,FALSE),0)</f>
        <v>0</v>
      </c>
      <c r="S60" s="651">
        <f>IF($B60&gt;1,($L60)*$L$49*HLOOKUP(Berekeningen1700!S$1,LijstenOpzoektabelKV,$C60,FALSE),0)</f>
        <v>0</v>
      </c>
      <c r="T60" s="651">
        <f>IF($B60&gt;1,($L60)*$L$49*HLOOKUP(Berekeningen1700!T$1,LijstenOpzoektabelKV,$C60,FALSE),0)</f>
        <v>0</v>
      </c>
      <c r="U60" s="651">
        <f>IF($B60&gt;1,($L60)*$L$49*HLOOKUP(Berekeningen1700!U$1,LijstenOpzoektabelKV,$C60,FALSE),0)</f>
        <v>0</v>
      </c>
      <c r="V60" s="651">
        <f>IF($B60&gt;1,($L60)*$L$49*HLOOKUP(Berekeningen1700!V$1,LijstenOpzoektabelKV,$C60,FALSE),0)</f>
        <v>0</v>
      </c>
      <c r="W60" s="651">
        <f>IF($B60&gt;1,($L60)*$L$49*HLOOKUP(Berekeningen1700!W$1,LijstenOpzoektabelKV,$C60,FALSE),0)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INDEX(_VoedingToevoegingenWaarden,Berekeningen1700!K61)</f>
        <v>0</v>
      </c>
      <c r="M61" s="651">
        <f>IF($B61&gt;1,($L61)*$L$49*HLOOKUP(Berekeningen1700!M$1,LijstenOpzoektabelKV,$C61,FALSE),0)</f>
        <v>0</v>
      </c>
      <c r="N61" s="651">
        <f>IF($B61&gt;1,($L61)*$L$49*HLOOKUP(Berekeningen1700!N$1,LijstenOpzoektabelKV,$C61,FALSE),0)</f>
        <v>0</v>
      </c>
      <c r="O61" s="651">
        <f>IF($B61&gt;1,($L61)*$L$49*HLOOKUP(Berekeningen1700!O$1,LijstenOpzoektabelKV,$C61,FALSE),0)</f>
        <v>0</v>
      </c>
      <c r="P61" s="651">
        <f>IF($B61&gt;1,($L61)*$L$49*HLOOKUP(Berekeningen1700!P$1,LijstenOpzoektabelKV,$C61,FALSE),0)</f>
        <v>0</v>
      </c>
      <c r="Q61" s="651">
        <f>IF($B61&gt;1,($L61)*$L$49*HLOOKUP(Berekeningen1700!Q$1,LijstenOpzoektabelKV,$C61,FALSE),0)</f>
        <v>0</v>
      </c>
      <c r="R61" s="651">
        <f>IF($B61&gt;1,($L61)*$L$49*HLOOKUP(Berekeningen1700!R$1,LijstenOpzoektabelKV,$C61,FALSE),0)</f>
        <v>0</v>
      </c>
      <c r="S61" s="651">
        <f>IF($B61&gt;1,($L61)*$L$49*HLOOKUP(Berekeningen1700!S$1,LijstenOpzoektabelKV,$C61,FALSE),0)</f>
        <v>0</v>
      </c>
      <c r="T61" s="651">
        <f>IF($B61&gt;1,($L61)*$L$49*HLOOKUP(Berekeningen1700!T$1,LijstenOpzoektabelKV,$C61,FALSE),0)</f>
        <v>0</v>
      </c>
      <c r="U61" s="651">
        <f>IF($B61&gt;1,($L61)*$L$49*HLOOKUP(Berekeningen1700!U$1,LijstenOpzoektabelKV,$C61,FALSE),0)</f>
        <v>0</v>
      </c>
      <c r="V61" s="651">
        <f>IF($B61&gt;1,($L61)*$L$49*HLOOKUP(Berekeningen1700!V$1,LijstenOpzoektabelKV,$C61,FALSE),0)</f>
        <v>0</v>
      </c>
      <c r="W61" s="651">
        <f>IF($B61&gt;1,($L61)*$L$49*HLOOKUP(Berekeningen1700!W$1,LijstenOpzoektabelKV,$C61,FALSE),0)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IF(Afspraken1700!E18=0,"",CONCATENATE(Afspraken1700!B18,": ",Afspraken1700!E18," ",Afspraken1700!F18," = "&amp;Berekeningen1700!L47&amp;" ml"))</f>
        <v/>
      </c>
    </row>
    <row r="74" spans="1:13" x14ac:dyDescent="0.35">
      <c r="A74" s="660" t="s">
        <v>1643</v>
      </c>
      <c r="B74" s="818" t="str">
        <f>IF(INDEX(Pos,Berekeningen1700!D14,1)=0,"",CONCATENATE(Afspraken1700!H21," ",INDEX(Pos,Berekeningen1700!D14,1)))</f>
        <v/>
      </c>
    </row>
    <row r="75" spans="1:13" x14ac:dyDescent="0.35">
      <c r="A75" s="660" t="s">
        <v>1644</v>
      </c>
      <c r="B75" s="818" t="str">
        <f>IF(INDEX(Pos,Berekeningen1700!D14,1)=0,"",CONCATENATE("Hoeveelheid 1:  ",Afspraken1700!E21," ",Afspraken1700!F21," ",Afspraken1700!G21))</f>
        <v/>
      </c>
    </row>
    <row r="76" spans="1:13" x14ac:dyDescent="0.35">
      <c r="A76" s="660" t="s">
        <v>1645</v>
      </c>
      <c r="B76" s="818" t="str">
        <f>IF(INDEX(Pos,Berekeningen1700!D14,1)=0,"",CONCATENATE("Hoeveelheid 2:  ",Afspraken1700!E22," ",Afspraken1700!F22," ",Afspraken1700!G22))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IF(Afspraken1700!E28&gt;0,CONCATENATE(Afspraken1700!B28," ",Afspraken1700!E28," ",Afspraken1700!F28),"")</f>
        <v/>
      </c>
    </row>
    <row r="87" spans="1:2" x14ac:dyDescent="0.35">
      <c r="A87" s="660" t="s">
        <v>1995</v>
      </c>
      <c r="B87" s="818" t="str">
        <f>CONCATENATE(Afspraken1700!B19,": ",IF(Berekeningen1700!B15=1,"Ja","Nee"))</f>
        <v>Fototherapie: Nee</v>
      </c>
    </row>
    <row r="90" spans="1:2" x14ac:dyDescent="0.35">
      <c r="A90" s="518" t="s">
        <v>2283</v>
      </c>
      <c r="B90" s="821" t="str">
        <f>IF(Berekeningen1700!B20&gt;1,INDEX(Medicamenten,Berekeningen1700!B20, 1)&amp;" "&amp;Afspraken1700!C32&amp;" "&amp;Afspraken1700!D32&amp;" "&amp; INDEX(Opl,Berekeningen1700!E20,1)&amp;" " &amp; Afspraken1700!G32&amp;" (="&amp;Afspraken1700!H32&amp;" "&amp;Afspraken1700!I32&amp;"), inlooptijd: "&amp;Afspraken1700!N32,"")</f>
        <v/>
      </c>
    </row>
    <row r="91" spans="1:2" x14ac:dyDescent="0.35">
      <c r="A91" s="518" t="s">
        <v>2283</v>
      </c>
      <c r="B91" s="821" t="str">
        <f>IF(Berekeningen1700!B21&gt;1,INDEX(Medicamenten,Berekeningen1700!B21, 1)&amp;" "&amp;Afspraken1700!C33&amp;" "&amp;Afspraken1700!D33&amp;" "&amp; INDEX(Opl,Berekeningen1700!E21,1)&amp;" " &amp; Afspraken1700!G33&amp;" (="&amp;Afspraken1700!H33&amp;" "&amp;Afspraken1700!I33&amp;"), inlooptijd: "&amp;Afspraken1700!N33,"")</f>
        <v/>
      </c>
    </row>
    <row r="92" spans="1:2" x14ac:dyDescent="0.35">
      <c r="A92" s="518" t="s">
        <v>2283</v>
      </c>
      <c r="B92" s="821" t="str">
        <f>IF(Berekeningen1700!B22&gt;1,INDEX(Medicamenten,Berekeningen1700!B22, 1)&amp;" "&amp;Afspraken1700!C34&amp;" "&amp;Afspraken1700!D34&amp;" "&amp; INDEX(Opl,Berekeningen1700!E22,1)&amp;" " &amp; Afspraken1700!G34&amp;" (="&amp;Afspraken1700!H34&amp;" "&amp;Afspraken1700!I34&amp;"), inlooptijd: "&amp;Afspraken1700!N34,"")</f>
        <v/>
      </c>
    </row>
    <row r="93" spans="1:2" x14ac:dyDescent="0.35">
      <c r="A93" s="518" t="s">
        <v>2283</v>
      </c>
      <c r="B93" s="821" t="str">
        <f>IF(Berekeningen1700!B23&gt;1,INDEX(Medicamenten,Berekeningen1700!B23, 1)&amp;" "&amp;Afspraken1700!C35&amp;" "&amp;Afspraken1700!D35&amp;" "&amp; INDEX(Opl,Berekeningen1700!E23,1)&amp;" " &amp; Afspraken1700!G35&amp;" (="&amp;Afspraken1700!H35&amp;" "&amp;Afspraken1700!I35&amp;"), inlooptijd: "&amp;Afspraken1700!N35,"")</f>
        <v/>
      </c>
    </row>
    <row r="94" spans="1:2" x14ac:dyDescent="0.35">
      <c r="A94" s="518" t="s">
        <v>2283</v>
      </c>
      <c r="B94" s="821" t="str">
        <f>IF(Berekeningen1700!B24&gt;1,INDEX(Medicamenten,Berekeningen1700!B24, 1)&amp;" "&amp;Afspraken1700!C36&amp;" "&amp;Afspraken1700!D36&amp;" "&amp; INDEX(Opl,Berekeningen1700!E24,1)&amp;" " &amp; Afspraken1700!G36&amp;" (="&amp;Afspraken1700!H36&amp;" "&amp;Afspraken1700!I36&amp;"), inlooptijd: "&amp;Afspraken1700!N36,"")</f>
        <v/>
      </c>
    </row>
    <row r="95" spans="1:2" x14ac:dyDescent="0.35">
      <c r="A95" s="518" t="s">
        <v>2283</v>
      </c>
      <c r="B95" s="821" t="str">
        <f>IF(Berekeningen1700!B25&gt;1,INDEX(Medicamenten,Berekeningen1700!B25, 1)&amp;" "&amp;Afspraken1700!C37&amp;" "&amp;Afspraken1700!D37&amp;" "&amp; INDEX(Opl,Berekeningen1700!E25,1)&amp;" " &amp; Afspraken1700!G37&amp;" (="&amp;Afspraken1700!H37&amp;" "&amp;Afspraken1700!I37&amp;"), inlooptijd: "&amp;Afspraken1700!N37,"")</f>
        <v/>
      </c>
    </row>
    <row r="96" spans="1:2" x14ac:dyDescent="0.35">
      <c r="A96" s="518" t="s">
        <v>2283</v>
      </c>
      <c r="B96" s="821" t="str">
        <f>IF(Berekeningen1700!B26&gt;1,INDEX(Medicamenten,Berekeningen1700!B26, 1)&amp;" "&amp;Afspraken1700!C38&amp;" "&amp;Afspraken1700!D38&amp;" "&amp; INDEX(Opl,Berekeningen1700!E26,1)&amp;" " &amp; Afspraken1700!G38&amp;" (="&amp;Afspraken1700!H38&amp;" "&amp;Afspraken1700!I38&amp;"), inlooptijd: "&amp;Afspraken1700!N38,"")</f>
        <v/>
      </c>
    </row>
    <row r="97" spans="1:2" x14ac:dyDescent="0.35">
      <c r="A97" s="518" t="s">
        <v>2283</v>
      </c>
      <c r="B97" s="821" t="str">
        <f>IF(Berekeningen1700!B27&gt;1,INDEX(Medicamenten,Berekeningen1700!B27, 1)&amp;" "&amp;Afspraken1700!C39&amp;" "&amp;Afspraken1700!D39&amp;" "&amp; INDEX(Opl,Berekeningen1700!E27,1)&amp;" " &amp; Afspraken1700!G39&amp;" (="&amp;Afspraken1700!H39&amp;" "&amp;Afspraken1700!I39&amp;"), inlooptijd: "&amp;Afspraken1700!N39,"")</f>
        <v/>
      </c>
    </row>
    <row r="98" spans="1:2" x14ac:dyDescent="0.35">
      <c r="A98" s="518" t="s">
        <v>2283</v>
      </c>
      <c r="B98" s="821" t="str">
        <f>IF(Berekeningen1700!B28&gt;1,INDEX(Medicamenten,Berekeningen1700!B28, 1)&amp;" "&amp;Afspraken1700!C40&amp;" "&amp;Afspraken1700!D40&amp;" "&amp; INDEX(Opl,Berekeningen1700!E28,1)&amp;" " &amp; Afspraken1700!G40&amp;" (="&amp;Afspraken1700!H40&amp;" "&amp;Afspraken1700!I40&amp;"), inlooptijd: "&amp;Afspraken1700!N40,"")</f>
        <v/>
      </c>
    </row>
    <row r="99" spans="1:2" x14ac:dyDescent="0.35">
      <c r="A99" s="518" t="s">
        <v>2283</v>
      </c>
      <c r="B99" s="821" t="str">
        <f>IF(Berekeningen1700!E29&gt;1, Afspraken1700!B42&amp;": "&amp; INDEX(Opl,Berekeningen1700!$E29,1)&amp;" " &amp; Afspraken1700!G42,"")</f>
        <v/>
      </c>
    </row>
    <row r="100" spans="1:2" x14ac:dyDescent="0.35">
      <c r="A100" s="518" t="s">
        <v>2283</v>
      </c>
      <c r="B100" s="821" t="str">
        <f>IF(Berekeningen1700!E30&gt;1, Afspraken1700!B43&amp;": "&amp; INDEX(Opl,Berekeningen1700!$E30,1)&amp;" " &amp; Afspraken1700!G43,"")</f>
        <v/>
      </c>
    </row>
    <row r="101" spans="1:2" x14ac:dyDescent="0.35">
      <c r="A101" s="518" t="s">
        <v>2283</v>
      </c>
      <c r="B101" s="821" t="str">
        <f>IF(Berekeningen1700!E31&gt;1, Afspraken1700!B44&amp;": "&amp; INDEX(Opl,Berekeningen1700!$E31,1)&amp;" " &amp; Afspraken1700!G44,"")</f>
        <v/>
      </c>
    </row>
    <row r="102" spans="1:2" x14ac:dyDescent="0.35">
      <c r="A102" s="518" t="s">
        <v>2283</v>
      </c>
      <c r="B102" s="821" t="str">
        <f>IF(Berekeningen1700!B32="","",Berekeningen1700!B32)</f>
        <v/>
      </c>
    </row>
    <row r="103" spans="1:2" x14ac:dyDescent="0.35">
      <c r="A103" s="518" t="s">
        <v>2283</v>
      </c>
      <c r="B103" s="821" t="str">
        <f>IF(Berekeningen1700!B33="","",Berekeningen1700!B33)</f>
        <v/>
      </c>
    </row>
    <row r="104" spans="1:2" x14ac:dyDescent="0.35">
      <c r="A104" s="518" t="s">
        <v>2283</v>
      </c>
      <c r="B104" s="821" t="str">
        <f ca="1">IF(Berekeningen1700!C35&lt;&gt;0,CONCATENATE("Intralipid 20% (incl.vitintra) ",ROUNDUP(Berekeningen1700!C35/24,1),"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WerkBrief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42722</v>
      </c>
      <c r="J2" s="936"/>
      <c r="K2" s="936"/>
      <c r="L2" s="321" t="s">
        <v>1020</v>
      </c>
      <c r="M2" s="937">
        <f ca="1">NOW()</f>
        <v>42722.605261342593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IF(24*Berekeningen1700!B18&gt;0,TRUNC(24*Berekeningen1700!B18/10),"")</f>
        <v/>
      </c>
      <c r="N6" s="335" t="str">
        <f>IF(Berekeningen1700!B18&gt;0,(24*Berekeningen1700!B18/10-M6)*10,"")</f>
        <v/>
      </c>
      <c r="O6" s="331" t="str">
        <f>IF(Berekeningen1700!K18,"extra","")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IF(Berekeningen1700!$L$37&gt;0,IF(_DagKeuze&lt;&gt;2,TRUNC(Berekeningen1700!$C$37),0),"")</f>
        <v/>
      </c>
      <c r="N8" s="342" t="str">
        <f ca="1">IF(Berekeningen1700!$L$37&gt;0,IF(_DagKeuze1700&lt;&gt;2,(Berekeningen1700!$C$37-M8)*100,0),"")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IF(Berekeningen1700!$L$38&gt;0,IF(_DagKeuze1700&lt;&gt;2,TRUNC(Berekeningen1700!$C$38),0),"")</f>
        <v/>
      </c>
      <c r="N9" s="335" t="str">
        <f ca="1">IF(Berekeningen1700!$L$38&gt;0,IF(_DagKeuze1700&lt;&gt;2,(Berekeningen1700!$C$38-M9)*100,0),"")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IF(Berekeningen1700!$L$39&gt;0,TRUNC(Berekeningen1700!$C$39),"")</f>
        <v/>
      </c>
      <c r="N10" s="342" t="str">
        <f ca="1">IF(Berekeningen1700!$L$39&gt;0,IF(_DagKeuze1700=1,Berekeningen1700!$C$39-M10,0),"")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IF(Berekeningen1700!$L$40&gt;0,TRUNC(Berekeningen1700!$C$40),"")</f>
        <v/>
      </c>
      <c r="N11" s="335" t="str">
        <f ca="1">IF(Berekeningen1700!$L$40&gt;0,IF(_DagKeuze1700=1,(Berekeningen1700!$C$40-M11)*100,0),"")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IF(Berekeningen1700!$L$41&gt;0,TRUNC(Berekeningen1700!$C$41),"")</f>
        <v/>
      </c>
      <c r="N12" s="342" t="str">
        <f ca="1">IF(Berekeningen1700!$L$41&gt;0,IF(_DagKeuze1700=1,(Berekeningen1700!$C$41-M12)*100,0),"")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IF(Berekeningen1700!$L$42&gt;0,TRUNC(Berekeningen1700!$C$42),"")</f>
        <v/>
      </c>
      <c r="N13" s="335" t="str">
        <f ca="1">IF(Berekeningen1700!$L$42&gt;0,IF(_DagKeuze1700&lt;&gt;1,(Berekeningen1700!$C$42-M13)*100,0),"")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IF(_DagKeuze=2,TRUNC(Berekeningen1700!$C$43),"")</f>
        <v/>
      </c>
      <c r="N14" s="342" t="str">
        <f>IF(_DagKeuze=2,(Berekeningen1700!$C$43-M14)*100,"")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IF(_DagKeuze=3,TRUNC(Berekeningen1700!$C$44),"")</f>
        <v/>
      </c>
      <c r="N15" s="335" t="str">
        <f>IF(_DagKeuze=3,(Berekeningen1700!$C$44-M15)*100,"")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INDEX(Opl,Berekeningen1700!D45+1,1)</f>
        <v>glucose 10%</v>
      </c>
      <c r="I16" s="339"/>
      <c r="J16" s="339"/>
      <c r="K16" s="339"/>
      <c r="L16" s="340"/>
      <c r="M16" s="341" t="str">
        <f>IF(Berekeningen1700!$L$45&gt;0,TRUNC(Berekeningen1700!$L$45),"")</f>
        <v/>
      </c>
      <c r="N16" s="342" t="str">
        <f>IF(Berekeningen1700!$L$45&gt;0,(Berekeningen1700!$L$45-M16)*100,"")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IF(Berekeningen1700!E29&gt;1,INDEX(Opl,Berekeningen1700!E29,1),"")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IF(Berekeningen1700!E30&gt;1,INDEX(Opl,Berekeningen1700!E30,1),"")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IF(Berekeningen1700!E31&gt;1,INDEX(Opl,Berekeningen1700!E31,1),"")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IF(D23&lt;&gt;"",ROUNDUP(Berekeningen1700!C35/24,1),"")</f>
        <v/>
      </c>
      <c r="B23" s="352"/>
      <c r="C23" s="353"/>
      <c r="D23" s="327" t="str">
        <f ca="1">IF(Berekeningen1700!C35&lt;&gt;0,INDEX(lijstIntralipidSmof,SelectedIntralipidSmof1700),"")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IF(D23&lt;&gt;"",TRUNC(Berekeningen1700!C35),"")</f>
        <v/>
      </c>
      <c r="N23" s="335" t="str">
        <f ca="1">IF(D23&lt;&gt;"",(Berekeningen1700!C35-M23)*100,"")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IF(Berekeningen1700!B20&gt;1,Berekeningen1700!F20/10,"")</f>
        <v/>
      </c>
      <c r="B26" s="351"/>
      <c r="C26" s="356" t="str">
        <f>IF(A26&lt;&gt;"",IF(Berekeningen1700!B20&gt;1,INDEX(Medicamenten,Berekeningen1700!B20,1),""),"")</f>
        <v/>
      </c>
      <c r="D26" s="329"/>
      <c r="E26" s="330" t="str">
        <f>IF(A26&lt;&gt;"",IF(Berekeningen1700!B20&gt;1,Berekeningen1700!C20/10,""),"")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IF(A26&lt;&gt;"",IF(Berekeningen1700!B20&gt;1,INDEX(Medicamenten,Berekeningen1700!B20,3),""),"")</f>
        <v/>
      </c>
      <c r="I26" s="329" t="s">
        <v>1031</v>
      </c>
      <c r="J26" s="329" t="str">
        <f>IF(A26&lt;&gt;"",IF(Berekeningen1700!B20&gt;1,INDEX(Medicamenten,Berekeningen1700!B20,4),""),"")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IF(Berekeningen1700!B21&gt;1,Berekeningen1700!F21/10,"")</f>
        <v/>
      </c>
      <c r="B29" s="351"/>
      <c r="C29" s="356" t="str">
        <f>IF(A29&lt;&gt;"",IF(Berekeningen1700!B21&gt;1,INDEX(Medicamenten,Berekeningen1700!B21,1),""),"")</f>
        <v/>
      </c>
      <c r="D29" s="329"/>
      <c r="E29" s="330" t="str">
        <f>IF(A29&lt;&gt;"",IF(Berekeningen1700!B21&gt;1,Berekeningen1700!C21/10,""),"")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IF(A29&lt;&gt;"",IF(Berekeningen1700!B21&gt;1,INDEX(Medicamenten,Berekeningen1700!B21,3),""),"")</f>
        <v/>
      </c>
      <c r="I29" s="329" t="s">
        <v>1031</v>
      </c>
      <c r="J29" s="329" t="str">
        <f>IF(A29&lt;&gt;"",IF(Berekeningen1700!B21&gt;1,INDEX(Medicamenten,Berekeningen1700!B21,4),""),"")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IF(Berekeningen1700!B22&gt;1,Berekeningen1700!F22/10,"")</f>
        <v/>
      </c>
      <c r="B32" s="351"/>
      <c r="C32" s="356" t="str">
        <f>IF(A32&lt;&gt;"",IF(Berekeningen1700!B22&gt;1,INDEX(Medicamenten,Berekeningen1700!B22,1),""),"")</f>
        <v/>
      </c>
      <c r="D32" s="329"/>
      <c r="E32" s="330" t="str">
        <f>IF(A32&lt;&gt;"",IF(Berekeningen1700!B22&gt;1,Berekeningen1700!C22/10,""),"")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IF(A32&lt;&gt;"",IF(Berekeningen1700!B22&gt;1,INDEX(Medicamenten,Berekeningen1700!B22,3),""),"")</f>
        <v/>
      </c>
      <c r="I32" s="329" t="s">
        <v>1031</v>
      </c>
      <c r="J32" s="329" t="str">
        <f>IF(A32&lt;&gt;"",IF(Berekeningen1700!B22&gt;1,INDEX(Medicamenten,Berekeningen1700!B22,4),""),"")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IF(Berekeningen1700!B23&gt;1,Berekeningen1700!F23/10,"")</f>
        <v/>
      </c>
      <c r="B35" s="351"/>
      <c r="C35" s="356" t="str">
        <f>IF(A35&lt;&gt;"",IF(Berekeningen1700!B23&gt;1,INDEX(Medicamenten,Berekeningen1700!B23,1),""),"")</f>
        <v/>
      </c>
      <c r="D35" s="329"/>
      <c r="E35" s="330" t="str">
        <f>IF(A35&lt;&gt;"",IF(Berekeningen1700!B23&gt;1,Berekeningen1700!C23/10,""),"")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IF(A35&lt;&gt;"",IF(Berekeningen1700!B23&gt;1,INDEX(Medicamenten,Berekeningen1700!B23,3),""),"")</f>
        <v/>
      </c>
      <c r="I35" s="329" t="s">
        <v>1031</v>
      </c>
      <c r="J35" s="329" t="str">
        <f>IF(A35&lt;&gt;"",IF(Berekeningen1700!B23&gt;1,INDEX(Medicamenten,Berekeningen1700!B23,4),""),"")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IF(Berekeningen1700!B24&gt;1,Berekeningen1700!F24/10,"")</f>
        <v/>
      </c>
      <c r="B38" s="351"/>
      <c r="C38" s="356" t="str">
        <f>IF(A38&lt;&gt;"",IF(Berekeningen1700!B24&gt;1,INDEX(Medicamenten,Berekeningen1700!B24,1),""),"")</f>
        <v/>
      </c>
      <c r="D38" s="329"/>
      <c r="E38" s="330" t="str">
        <f>IF(A38&lt;&gt;"",IF(Berekeningen1700!B24&gt;1,Berekeningen1700!C24/10,""),"")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IF(A38&lt;&gt;"",IF(Berekeningen1700!B24&gt;1,INDEX(Medicamenten,Berekeningen1700!B24,3),""),"")</f>
        <v/>
      </c>
      <c r="I38" s="329" t="s">
        <v>1031</v>
      </c>
      <c r="J38" s="329" t="str">
        <f>IF(A38&lt;&gt;"",IF(Berekeningen1700!B24&gt;1,INDEX(Medicamenten,Berekeningen1700!B24,4),""),"")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IF(Berekeningen1700!B25&gt;1,Berekeningen1700!F25/10,"")</f>
        <v/>
      </c>
      <c r="B41" s="351"/>
      <c r="C41" s="356" t="str">
        <f>IF(A41&lt;&gt;"",IF(Berekeningen1700!B25&gt;1,INDEX(Medicamenten,Berekeningen1700!B25,1),""),"")</f>
        <v/>
      </c>
      <c r="D41" s="329"/>
      <c r="E41" s="330" t="str">
        <f>IF(A41&lt;&gt;"",IF(Berekeningen1700!B25&gt;1,Berekeningen1700!C25/10,""),"")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IF(A41&lt;&gt;"",IF(Berekeningen1700!B25&gt;1,INDEX(Medicamenten,Berekeningen1700!B25,3),""),"")</f>
        <v/>
      </c>
      <c r="I41" s="329" t="s">
        <v>1031</v>
      </c>
      <c r="J41" s="329" t="str">
        <f>IF(A41&lt;&gt;"",IF(Berekeningen1700!B25&gt;1,INDEX(Medicamenten,Berekeningen1700!B25,4),""),"")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IF(Berekeningen1700!B26&gt;1,Berekeningen1700!F26/10,"")</f>
        <v/>
      </c>
      <c r="B44" s="351"/>
      <c r="C44" s="356" t="str">
        <f>IF(A44&lt;&gt;"",IF(Berekeningen1700!B26&gt;1,INDEX(Medicamenten,Berekeningen1700!B26,1),""),"")</f>
        <v/>
      </c>
      <c r="D44" s="329"/>
      <c r="E44" s="330" t="str">
        <f>IF(A44&lt;&gt;"",IF(Berekeningen1700!B26&gt;1,Berekeningen1700!C26/10,""),"")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IF(A44&lt;&gt;"",IF(Berekeningen1700!B26&gt;1,INDEX(Medicamenten,Berekeningen1700!B26,3),""),"")</f>
        <v/>
      </c>
      <c r="I44" s="329" t="s">
        <v>1031</v>
      </c>
      <c r="J44" s="329" t="str">
        <f>IF(A44&lt;&gt;"",IF(Berekeningen1700!B26&gt;1,INDEX(Medicamenten,Berekeningen1700!B26,4),""),"")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IF(Berekeningen1700!B27&gt;1,Berekeningen1700!F27/10,"")</f>
        <v/>
      </c>
      <c r="B47" s="351"/>
      <c r="C47" s="356" t="str">
        <f>IF(A47&lt;&gt;"",IF(Berekeningen1700!B27&gt;1,INDEX(Medicamenten,Berekeningen1700!B27,1),""),"")</f>
        <v/>
      </c>
      <c r="D47" s="329"/>
      <c r="E47" s="330" t="str">
        <f>IF(A47&lt;&gt;"",IF(Berekeningen1700!B27&gt;1,Berekeningen1700!C27/10,""),"")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IF(A47&lt;&gt;"",IF(Berekeningen1700!B27&gt;1,INDEX(Medicamenten,Berekeningen1700!B27,3),""),"")</f>
        <v/>
      </c>
      <c r="I47" s="329" t="s">
        <v>1031</v>
      </c>
      <c r="J47" s="329" t="str">
        <f>IF(A47&lt;&gt;"",IF(Berekeningen1700!B27&gt;1,INDEX(Medicamenten,Berekeningen1700!B27,4),""),"")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IF(Berekeningen1700!B28&gt;1,Berekeningen1700!F28/10,"")</f>
        <v/>
      </c>
      <c r="B50" s="351"/>
      <c r="C50" s="356" t="str">
        <f>IF(A50&lt;&gt;"",IF(Berekeningen1700!B28&gt;1,INDEX(Medicamenten,Berekeningen1700!B28,1),""),"")</f>
        <v/>
      </c>
      <c r="D50" s="329"/>
      <c r="E50" s="330" t="str">
        <f>IF(A50&lt;&gt;"",IF(Berekeningen1700!B28&gt;1,Berekeningen1700!C28/10,""),"")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IF(A50&lt;&gt;"",IF(Berekeningen1700!B28&gt;1,INDEX(Medicamenten,Berekeningen1700!B28,3),""),"")</f>
        <v/>
      </c>
      <c r="I50" s="329" t="s">
        <v>1031</v>
      </c>
      <c r="J50" s="329" t="str">
        <f>IF(A50&lt;&gt;"",IF(Berekeningen1700!B28&gt;1,INDEX(Medicamenten,Berekeningen1700!B28,4),""),"")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DLNooY5NEUKS0lGvC28JJMpBsxRBk3UcoXqx7zhRkPIs/0WU0egM/xwN87dIlcbxaf2X7F2yRNr6Y6/vXjQlyg==" saltValue="qh91Gvtn2e3rHN2WD2oszA==" spinCount="10000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Neo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dvies">
    <tabColor rgb="FFFFC000"/>
  </sheetPr>
  <dimension ref="A1:H32"/>
  <sheetViews>
    <sheetView workbookViewId="0"/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ijsten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Voeding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Neo">
    <tabColor rgb="FF7030A0"/>
  </sheetPr>
  <dimension ref="A1:AG22"/>
  <sheetViews>
    <sheetView showGridLines="0"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42722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dd",$D3="5 dd",$D3="6 dd",$D3="8 dd",$D3="12 dd",$D3="24 dd",$D3="an",$D3="zn"),VLOOKUP($D3,ber_tijden_Neo!$A$17:$Y$27,ber_tijden_Neo!B$15,FALSE),"")</f>
        <v/>
      </c>
      <c r="I3" s="611" t="str">
        <f>IF(OR($D3="1 dd",$D3="2 dd",$D3="3 dd",$D3="4 dd",$D3="5 dd",$D3="6 dd",$D3="8 dd",$D3="12 dd",$D3="24 dd",$D3="an",$D3="zn"),VLOOKUP($D3,ber_tijden_Neo!$A$17:$Y$27,ber_tijden_Neo!C$15,FALSE),"")</f>
        <v/>
      </c>
      <c r="J3" s="106" t="str">
        <f>IF(OR($D3="1 dd",$D3="2 dd",$D3="3 dd",$D3="4 dd",$D3="5 dd",$D3="6 dd",$D3="8 dd",$D3="12 dd",$D3="24 dd",$D3="an",$D3="zn"),VLOOKUP($D3,ber_tijden_Neo!$A$17:$Y$27,ber_tijden_Neo!D$15,FALSE),"")</f>
        <v/>
      </c>
      <c r="K3" s="611" t="str">
        <f>IF(OR($D3="1 dd",$D3="2 dd",$D3="3 dd",$D3="4 dd",$D3="5 dd",$D3="6 dd",$D3="8 dd",$D3="12 dd",$D3="24 dd",$D3="an",$D3="zn"),VLOOKUP($D3,ber_tijden_Neo!$A$17:$Y$27,ber_tijden_Neo!E$15,FALSE),"")</f>
        <v/>
      </c>
      <c r="L3" s="106" t="str">
        <f>IF(OR($D3="1 dd",$D3="2 dd",$D3="3 dd",$D3="4 dd",$D3="5 dd",$D3="6 dd",$D3="8 dd",$D3="12 dd",$D3="24 dd",$D3="an",$D3="zn"),VLOOKUP($D3,ber_tijden_Neo!$A$17:$Y$27,ber_tijden_Neo!F$15,FALSE),"")</f>
        <v/>
      </c>
      <c r="M3" s="611" t="str">
        <f>IF(OR($D3="1 dd",$D3="2 dd",$D3="3 dd",$D3="4 dd",$D3="5 dd",$D3="6 dd",$D3="8 dd",$D3="12 dd",$D3="24 dd",$D3="an",$D3="zn"),VLOOKUP($D3,ber_tijden_Neo!$A$17:$Y$27,ber_tijden_Neo!G$15,FALSE),"")</f>
        <v/>
      </c>
      <c r="N3" s="106" t="str">
        <f>IF(OR($D3="1 dd",$D3="2 dd",$D3="3 dd",$D3="4 dd",$D3="5 dd",$D3="6 dd",$D3="8 dd",$D3="12 dd",$D3="24 dd",$D3="an",$D3="zn"),VLOOKUP($D3,ber_tijden_Neo!$A$17:$Y$27,ber_tijden_Neo!H$15,FALSE),"")</f>
        <v/>
      </c>
      <c r="O3" s="611" t="str">
        <f>IF(OR($D3="1 dd",$D3="2 dd",$D3="3 dd",$D3="4 dd",$D3="5 dd",$D3="6 dd",$D3="8 dd",$D3="12 dd",$D3="24 dd",$D3="an",$D3="zn"),VLOOKUP($D3,ber_tijden_Neo!$A$17:$Y$27,ber_tijden_Neo!I$15,FALSE),"")</f>
        <v/>
      </c>
      <c r="P3" s="106" t="str">
        <f>IF(OR($D3="1 dd",$D3="2 dd",$D3="3 dd",$D3="4 dd",$D3="5 dd",$D3="6 dd",$D3="8 dd",$D3="12 dd",$D3="24 dd",$D3="an",$D3="zn"),VLOOKUP($D3,ber_tijden_Neo!$A$17:$Y$27,ber_tijden_Neo!J$15,FALSE),"")</f>
        <v/>
      </c>
      <c r="Q3" s="611" t="str">
        <f>IF(OR($D3="1 dd",$D3="2 dd",$D3="3 dd",$D3="4 dd",$D3="5 dd",$D3="6 dd",$D3="8 dd",$D3="12 dd",$D3="24 dd",$D3="an",$D3="zn"),VLOOKUP($D3,ber_tijden_Neo!$A$17:$Y$27,ber_tijden_Neo!K$15,FALSE),"")</f>
        <v/>
      </c>
      <c r="R3" s="106" t="str">
        <f>IF(OR($D3="1 dd",$D3="2 dd",$D3="3 dd",$D3="4 dd",$D3="5 dd",$D3="6 dd",$D3="8 dd",$D3="12 dd",$D3="24 dd",$D3="an",$D3="zn"),VLOOKUP($D3,ber_tijden_Neo!$A$17:$Y$27,ber_tijden_Neo!L$15,FALSE),"")</f>
        <v/>
      </c>
      <c r="S3" s="611" t="str">
        <f>IF(OR($D3="1 dd",$D3="2 dd",$D3="3 dd",$D3="4 dd",$D3="5 dd",$D3="6 dd",$D3="8 dd",$D3="12 dd",$D3="24 dd",$D3="an",$D3="zn"),VLOOKUP($D3,ber_tijden_Neo!$A$17:$Y$27,ber_tijden_Neo!M$15,FALSE),"")</f>
        <v/>
      </c>
      <c r="T3" s="106" t="str">
        <f>IF(OR($D3="1 dd",$D3="2 dd",$D3="3 dd",$D3="4 dd",$D3="5 dd",$D3="6 dd",$D3="8 dd",$D3="12 dd",$D3="24 dd",$D3="an",$D3="zn"),VLOOKUP($D3,ber_tijden_Neo!$A$17:$Y$27,ber_tijden_Neo!N$15,FALSE),"")</f>
        <v/>
      </c>
      <c r="U3" s="611" t="str">
        <f>IF(OR($D3="1 dd",$D3="2 dd",$D3="3 dd",$D3="4 dd",$D3="5 dd",$D3="6 dd",$D3="8 dd",$D3="12 dd",$D3="24 dd",$D3="an",$D3="zn"),VLOOKUP($D3,ber_tijden_Neo!$A$17:$Y$27,ber_tijden_Neo!O$15,FALSE),"")</f>
        <v/>
      </c>
      <c r="V3" s="106" t="str">
        <f>IF(OR($D3="1 dd",$D3="2 dd",$D3="3 dd",$D3="4 dd",$D3="5 dd",$D3="6 dd",$D3="8 dd",$D3="12 dd",$D3="24 dd",$D3="an",$D3="zn"),VLOOKUP($D3,ber_tijden_Neo!$A$17:$Y$27,ber_tijden_Neo!P$15,FALSE),"")</f>
        <v/>
      </c>
      <c r="W3" s="611" t="str">
        <f>IF(OR($D3="1 dd",$D3="2 dd",$D3="3 dd",$D3="4 dd",$D3="5 dd",$D3="6 dd",$D3="8 dd",$D3="12 dd",$D3="24 dd",$D3="an",$D3="zn"),VLOOKUP($D3,ber_tijden_Neo!$A$17:$Y$27,ber_tijden_Neo!Q$15,FALSE),"")</f>
        <v/>
      </c>
      <c r="X3" s="106" t="str">
        <f>IF(OR($D3="1 dd",$D3="2 dd",$D3="3 dd",$D3="4 dd",$D3="5 dd",$D3="6 dd",$D3="8 dd",$D3="12 dd",$D3="24 dd",$D3="an",$D3="zn"),VLOOKUP($D3,ber_tijden_Neo!$A$17:$Y$27,ber_tijden_Neo!R$15,FALSE),"")</f>
        <v/>
      </c>
      <c r="Y3" s="611" t="str">
        <f>IF(OR($D3="1 dd",$D3="2 dd",$D3="3 dd",$D3="4 dd",$D3="5 dd",$D3="6 dd",$D3="8 dd",$D3="12 dd",$D3="24 dd",$D3="an",$D3="zn"),VLOOKUP($D3,ber_tijden_Neo!$A$17:$Y$27,ber_tijden_Neo!S$15,FALSE),"")</f>
        <v/>
      </c>
      <c r="Z3" s="106" t="str">
        <f>IF(OR($D3="1 dd",$D3="2 dd",$D3="3 dd",$D3="4 dd",$D3="5 dd",$D3="6 dd",$D3="8 dd",$D3="12 dd",$D3="24 dd",$D3="an",$D3="zn"),VLOOKUP($D3,ber_tijden_Neo!$A$17:$Y$27,ber_tijden_Neo!T$15,FALSE),"")</f>
        <v/>
      </c>
      <c r="AA3" s="611" t="str">
        <f>IF(OR($D3="1 dd",$D3="2 dd",$D3="3 dd",$D3="4 dd",$D3="5 dd",$D3="6 dd",$D3="8 dd",$D3="12 dd",$D3="24 dd",$D3="an",$D3="zn"),VLOOKUP($D3,ber_tijden_Neo!$A$17:$Y$27,ber_tijden_Neo!U$15,FALSE),"")</f>
        <v/>
      </c>
      <c r="AB3" s="106" t="str">
        <f>IF(OR($D3="1 dd",$D3="2 dd",$D3="3 dd",$D3="4 dd",$D3="5 dd",$D3="6 dd",$D3="8 dd",$D3="12 dd",$D3="24 dd",$D3="an",$D3="zn"),VLOOKUP($D3,ber_tijden_Neo!$A$17:$Y$27,ber_tijden_Neo!V$15,FALSE),"")</f>
        <v/>
      </c>
      <c r="AC3" s="611" t="str">
        <f>IF(OR($D3="1 dd",$D3="2 dd",$D3="3 dd",$D3="4 dd",$D3="5 dd",$D3="6 dd",$D3="8 dd",$D3="12 dd",$D3="24 dd",$D3="an",$D3="zn"),VLOOKUP($D3,ber_tijden_Neo!$A$17:$Y$27,ber_tijden_Neo!W$15,FALSE),"")</f>
        <v/>
      </c>
      <c r="AD3" s="106" t="str">
        <f>IF(OR($D3="1 dd",$D3="2 dd",$D3="3 dd",$D3="4 dd",$D3="5 dd",$D3="6 dd",$D3="8 dd",$D3="12 dd",$D3="24 dd",$D3="an",$D3="zn"),VLOOKUP($D3,ber_tijden_Neo!$A$17:$Y$27,ber_tijden_Neo!X$15,FALSE),"")</f>
        <v/>
      </c>
      <c r="AE3" s="611" t="str">
        <f>IF(OR($D3="1 dd",$D3="2 dd",$D3="3 dd",$D3="4 dd",$D3="5 dd",$D3="6 dd",$D3="8 dd",$D3="12 dd",$D3="24 dd",$D3="an",$D3="zn"),VLOOKUP($D3,ber_tijden_Neo!$A$17:$Y$27,ber_tijden_Neo!Y$15,FALSE),"")</f>
        <v/>
      </c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dd",$D4="5 dd",$D4="6 dd",$D4="8 dd",$D4="12 dd",$D4="24 dd",$D4="an",$D4="zn"),VLOOKUP($D4,ber_tijden_Neo!$A$17:$Y$27,ber_tijden_Neo!B$15,FALSE),"")</f>
        <v/>
      </c>
      <c r="I4" s="611" t="str">
        <f>IF(OR($D4="1 dd",$D4="2 dd",$D4="3 dd",$D4="4 dd",$D4="5 dd",$D4="6 dd",$D4="8 dd",$D4="12 dd",$D4="24 dd",$D4="an",$D4="zn"),VLOOKUP($D4,ber_tijden_Neo!$A$17:$Y$27,ber_tijden_Neo!C$15,FALSE),"")</f>
        <v/>
      </c>
      <c r="J4" s="106" t="str">
        <f>IF(OR($D4="1 dd",$D4="2 dd",$D4="3 dd",$D4="4 dd",$D4="5 dd",$D4="6 dd",$D4="8 dd",$D4="12 dd",$D4="24 dd",$D4="an",$D4="zn"),VLOOKUP($D4,ber_tijden_Neo!$A$17:$Y$27,ber_tijden_Neo!D$15,FALSE),"")</f>
        <v/>
      </c>
      <c r="K4" s="611" t="str">
        <f>IF(OR($D4="1 dd",$D4="2 dd",$D4="3 dd",$D4="4 dd",$D4="5 dd",$D4="6 dd",$D4="8 dd",$D4="12 dd",$D4="24 dd",$D4="an",$D4="zn"),VLOOKUP($D4,ber_tijden_Neo!$A$17:$Y$27,ber_tijden_Neo!E$15,FALSE),"")</f>
        <v/>
      </c>
      <c r="L4" s="106" t="str">
        <f>IF(OR($D4="1 dd",$D4="2 dd",$D4="3 dd",$D4="4 dd",$D4="5 dd",$D4="6 dd",$D4="8 dd",$D4="12 dd",$D4="24 dd",$D4="an",$D4="zn"),VLOOKUP($D4,ber_tijden_Neo!$A$17:$Y$27,ber_tijden_Neo!F$15,FALSE),"")</f>
        <v/>
      </c>
      <c r="M4" s="611" t="str">
        <f>IF(OR($D4="1 dd",$D4="2 dd",$D4="3 dd",$D4="4 dd",$D4="5 dd",$D4="6 dd",$D4="8 dd",$D4="12 dd",$D4="24 dd",$D4="an",$D4="zn"),VLOOKUP($D4,ber_tijden_Neo!$A$17:$Y$27,ber_tijden_Neo!G$15,FALSE),"")</f>
        <v/>
      </c>
      <c r="N4" s="106" t="str">
        <f>IF(OR($D4="1 dd",$D4="2 dd",$D4="3 dd",$D4="4 dd",$D4="5 dd",$D4="6 dd",$D4="8 dd",$D4="12 dd",$D4="24 dd",$D4="an",$D4="zn"),VLOOKUP($D4,ber_tijden_Neo!$A$17:$Y$27,ber_tijden_Neo!H$15,FALSE),"")</f>
        <v/>
      </c>
      <c r="O4" s="611" t="str">
        <f>IF(OR($D4="1 dd",$D4="2 dd",$D4="3 dd",$D4="4 dd",$D4="5 dd",$D4="6 dd",$D4="8 dd",$D4="12 dd",$D4="24 dd",$D4="an",$D4="zn"),VLOOKUP($D4,ber_tijden_Neo!$A$17:$Y$27,ber_tijden_Neo!I$15,FALSE),"")</f>
        <v/>
      </c>
      <c r="P4" s="106" t="str">
        <f>IF(OR($D4="1 dd",$D4="2 dd",$D4="3 dd",$D4="4 dd",$D4="5 dd",$D4="6 dd",$D4="8 dd",$D4="12 dd",$D4="24 dd",$D4="an",$D4="zn"),VLOOKUP($D4,ber_tijden_Neo!$A$17:$Y$27,ber_tijden_Neo!J$15,FALSE),"")</f>
        <v/>
      </c>
      <c r="Q4" s="611" t="str">
        <f>IF(OR($D4="1 dd",$D4="2 dd",$D4="3 dd",$D4="4 dd",$D4="5 dd",$D4="6 dd",$D4="8 dd",$D4="12 dd",$D4="24 dd",$D4="an",$D4="zn"),VLOOKUP($D4,ber_tijden_Neo!$A$17:$Y$27,ber_tijden_Neo!K$15,FALSE),"")</f>
        <v/>
      </c>
      <c r="R4" s="106" t="str">
        <f>IF(OR($D4="1 dd",$D4="2 dd",$D4="3 dd",$D4="4 dd",$D4="5 dd",$D4="6 dd",$D4="8 dd",$D4="12 dd",$D4="24 dd",$D4="an",$D4="zn"),VLOOKUP($D4,ber_tijden_Neo!$A$17:$Y$27,ber_tijden_Neo!L$15,FALSE),"")</f>
        <v/>
      </c>
      <c r="S4" s="611" t="str">
        <f>IF(OR($D4="1 dd",$D4="2 dd",$D4="3 dd",$D4="4 dd",$D4="5 dd",$D4="6 dd",$D4="8 dd",$D4="12 dd",$D4="24 dd",$D4="an",$D4="zn"),VLOOKUP($D4,ber_tijden_Neo!$A$17:$Y$27,ber_tijden_Neo!M$15,FALSE),"")</f>
        <v/>
      </c>
      <c r="T4" s="106" t="str">
        <f>IF(OR($D4="1 dd",$D4="2 dd",$D4="3 dd",$D4="4 dd",$D4="5 dd",$D4="6 dd",$D4="8 dd",$D4="12 dd",$D4="24 dd",$D4="an",$D4="zn"),VLOOKUP($D4,ber_tijden_Neo!$A$17:$Y$27,ber_tijden_Neo!N$15,FALSE),"")</f>
        <v/>
      </c>
      <c r="U4" s="611" t="str">
        <f>IF(OR($D4="1 dd",$D4="2 dd",$D4="3 dd",$D4="4 dd",$D4="5 dd",$D4="6 dd",$D4="8 dd",$D4="12 dd",$D4="24 dd",$D4="an",$D4="zn"),VLOOKUP($D4,ber_tijden_Neo!$A$17:$Y$27,ber_tijden_Neo!O$15,FALSE),"")</f>
        <v/>
      </c>
      <c r="V4" s="106" t="str">
        <f>IF(OR($D4="1 dd",$D4="2 dd",$D4="3 dd",$D4="4 dd",$D4="5 dd",$D4="6 dd",$D4="8 dd",$D4="12 dd",$D4="24 dd",$D4="an",$D4="zn"),VLOOKUP($D4,ber_tijden_Neo!$A$17:$Y$27,ber_tijden_Neo!P$15,FALSE),"")</f>
        <v/>
      </c>
      <c r="W4" s="611" t="str">
        <f>IF(OR($D4="1 dd",$D4="2 dd",$D4="3 dd",$D4="4 dd",$D4="5 dd",$D4="6 dd",$D4="8 dd",$D4="12 dd",$D4="24 dd",$D4="an",$D4="zn"),VLOOKUP($D4,ber_tijden_Neo!$A$17:$Y$27,ber_tijden_Neo!Q$15,FALSE),"")</f>
        <v/>
      </c>
      <c r="X4" s="106" t="str">
        <f>IF(OR($D4="1 dd",$D4="2 dd",$D4="3 dd",$D4="4 dd",$D4="5 dd",$D4="6 dd",$D4="8 dd",$D4="12 dd",$D4="24 dd",$D4="an",$D4="zn"),VLOOKUP($D4,ber_tijden_Neo!$A$17:$Y$27,ber_tijden_Neo!R$15,FALSE),"")</f>
        <v/>
      </c>
      <c r="Y4" s="611" t="str">
        <f>IF(OR($D4="1 dd",$D4="2 dd",$D4="3 dd",$D4="4 dd",$D4="5 dd",$D4="6 dd",$D4="8 dd",$D4="12 dd",$D4="24 dd",$D4="an",$D4="zn"),VLOOKUP($D4,ber_tijden_Neo!$A$17:$Y$27,ber_tijden_Neo!S$15,FALSE),"")</f>
        <v/>
      </c>
      <c r="Z4" s="106" t="str">
        <f>IF(OR($D4="1 dd",$D4="2 dd",$D4="3 dd",$D4="4 dd",$D4="5 dd",$D4="6 dd",$D4="8 dd",$D4="12 dd",$D4="24 dd",$D4="an",$D4="zn"),VLOOKUP($D4,ber_tijden_Neo!$A$17:$Y$27,ber_tijden_Neo!T$15,FALSE),"")</f>
        <v/>
      </c>
      <c r="AA4" s="611" t="str">
        <f>IF(OR($D4="1 dd",$D4="2 dd",$D4="3 dd",$D4="4 dd",$D4="5 dd",$D4="6 dd",$D4="8 dd",$D4="12 dd",$D4="24 dd",$D4="an",$D4="zn"),VLOOKUP($D4,ber_tijden_Neo!$A$17:$Y$27,ber_tijden_Neo!U$15,FALSE),"")</f>
        <v/>
      </c>
      <c r="AB4" s="106" t="str">
        <f>IF(OR($D4="1 dd",$D4="2 dd",$D4="3 dd",$D4="4 dd",$D4="5 dd",$D4="6 dd",$D4="8 dd",$D4="12 dd",$D4="24 dd",$D4="an",$D4="zn"),VLOOKUP($D4,ber_tijden_Neo!$A$17:$Y$27,ber_tijden_Neo!V$15,FALSE),"")</f>
        <v/>
      </c>
      <c r="AC4" s="611" t="str">
        <f>IF(OR($D4="1 dd",$D4="2 dd",$D4="3 dd",$D4="4 dd",$D4="5 dd",$D4="6 dd",$D4="8 dd",$D4="12 dd",$D4="24 dd",$D4="an",$D4="zn"),VLOOKUP($D4,ber_tijden_Neo!$A$17:$Y$27,ber_tijden_Neo!W$15,FALSE),"")</f>
        <v/>
      </c>
      <c r="AD4" s="106" t="str">
        <f>IF(OR($D4="1 dd",$D4="2 dd",$D4="3 dd",$D4="4 dd",$D4="5 dd",$D4="6 dd",$D4="8 dd",$D4="12 dd",$D4="24 dd",$D4="an",$D4="zn"),VLOOKUP($D4,ber_tijden_Neo!$A$17:$Y$27,ber_tijden_Neo!X$15,FALSE),"")</f>
        <v/>
      </c>
      <c r="AE4" s="611" t="str">
        <f>IF(OR($D4="1 dd",$D4="2 dd",$D4="3 dd",$D4="4 dd",$D4="5 dd",$D4="6 dd",$D4="8 dd",$D4="12 dd",$D4="24 dd",$D4="an",$D4="zn"),VLOOKUP($D4,ber_tijden_Neo!$A$17:$Y$27,ber_tijden_Neo!Y$15,FALSE),"")</f>
        <v/>
      </c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dd",$D5="5 dd",$D5="6 dd",$D5="8 dd",$D5="12 dd",$D5="24 dd",$D5="an",$D5="zn"),VLOOKUP($D5,ber_tijden_Neo!$A$17:$Y$27,ber_tijden_Neo!B$15,FALSE),"")</f>
        <v/>
      </c>
      <c r="I5" s="611" t="str">
        <f>IF(OR($D5="1 dd",$D5="2 dd",$D5="3 dd",$D5="4 dd",$D5="5 dd",$D5="6 dd",$D5="8 dd",$D5="12 dd",$D5="24 dd",$D5="an",$D5="zn"),VLOOKUP($D5,ber_tijden_Neo!$A$17:$Y$27,ber_tijden_Neo!C$15,FALSE),"")</f>
        <v/>
      </c>
      <c r="J5" s="106" t="str">
        <f>IF(OR($D5="1 dd",$D5="2 dd",$D5="3 dd",$D5="4 dd",$D5="5 dd",$D5="6 dd",$D5="8 dd",$D5="12 dd",$D5="24 dd",$D5="an",$D5="zn"),VLOOKUP($D5,ber_tijden_Neo!$A$17:$Y$27,ber_tijden_Neo!D$15,FALSE),"")</f>
        <v/>
      </c>
      <c r="K5" s="611" t="str">
        <f>IF(OR($D5="1 dd",$D5="2 dd",$D5="3 dd",$D5="4 dd",$D5="5 dd",$D5="6 dd",$D5="8 dd",$D5="12 dd",$D5="24 dd",$D5="an",$D5="zn"),VLOOKUP($D5,ber_tijden_Neo!$A$17:$Y$27,ber_tijden_Neo!E$15,FALSE),"")</f>
        <v/>
      </c>
      <c r="L5" s="106" t="str">
        <f>IF(OR($D5="1 dd",$D5="2 dd",$D5="3 dd",$D5="4 dd",$D5="5 dd",$D5="6 dd",$D5="8 dd",$D5="12 dd",$D5="24 dd",$D5="an",$D5="zn"),VLOOKUP($D5,ber_tijden_Neo!$A$17:$Y$27,ber_tijden_Neo!F$15,FALSE),"")</f>
        <v/>
      </c>
      <c r="M5" s="611" t="str">
        <f>IF(OR($D5="1 dd",$D5="2 dd",$D5="3 dd",$D5="4 dd",$D5="5 dd",$D5="6 dd",$D5="8 dd",$D5="12 dd",$D5="24 dd",$D5="an",$D5="zn"),VLOOKUP($D5,ber_tijden_Neo!$A$17:$Y$27,ber_tijden_Neo!G$15,FALSE),"")</f>
        <v/>
      </c>
      <c r="N5" s="106" t="str">
        <f>IF(OR($D5="1 dd",$D5="2 dd",$D5="3 dd",$D5="4 dd",$D5="5 dd",$D5="6 dd",$D5="8 dd",$D5="12 dd",$D5="24 dd",$D5="an",$D5="zn"),VLOOKUP($D5,ber_tijden_Neo!$A$17:$Y$27,ber_tijden_Neo!H$15,FALSE),"")</f>
        <v/>
      </c>
      <c r="O5" s="611" t="str">
        <f>IF(OR($D5="1 dd",$D5="2 dd",$D5="3 dd",$D5="4 dd",$D5="5 dd",$D5="6 dd",$D5="8 dd",$D5="12 dd",$D5="24 dd",$D5="an",$D5="zn"),VLOOKUP($D5,ber_tijden_Neo!$A$17:$Y$27,ber_tijden_Neo!I$15,FALSE),"")</f>
        <v/>
      </c>
      <c r="P5" s="106" t="str">
        <f>IF(OR($D5="1 dd",$D5="2 dd",$D5="3 dd",$D5="4 dd",$D5="5 dd",$D5="6 dd",$D5="8 dd",$D5="12 dd",$D5="24 dd",$D5="an",$D5="zn"),VLOOKUP($D5,ber_tijden_Neo!$A$17:$Y$27,ber_tijden_Neo!J$15,FALSE),"")</f>
        <v/>
      </c>
      <c r="Q5" s="611" t="str">
        <f>IF(OR($D5="1 dd",$D5="2 dd",$D5="3 dd",$D5="4 dd",$D5="5 dd",$D5="6 dd",$D5="8 dd",$D5="12 dd",$D5="24 dd",$D5="an",$D5="zn"),VLOOKUP($D5,ber_tijden_Neo!$A$17:$Y$27,ber_tijden_Neo!K$15,FALSE),"")</f>
        <v/>
      </c>
      <c r="R5" s="106" t="str">
        <f>IF(OR($D5="1 dd",$D5="2 dd",$D5="3 dd",$D5="4 dd",$D5="5 dd",$D5="6 dd",$D5="8 dd",$D5="12 dd",$D5="24 dd",$D5="an",$D5="zn"),VLOOKUP($D5,ber_tijden_Neo!$A$17:$Y$27,ber_tijden_Neo!L$15,FALSE),"")</f>
        <v/>
      </c>
      <c r="S5" s="611" t="str">
        <f>IF(OR($D5="1 dd",$D5="2 dd",$D5="3 dd",$D5="4 dd",$D5="5 dd",$D5="6 dd",$D5="8 dd",$D5="12 dd",$D5="24 dd",$D5="an",$D5="zn"),VLOOKUP($D5,ber_tijden_Neo!$A$17:$Y$27,ber_tijden_Neo!M$15,FALSE),"")</f>
        <v/>
      </c>
      <c r="T5" s="106" t="str">
        <f>IF(OR($D5="1 dd",$D5="2 dd",$D5="3 dd",$D5="4 dd",$D5="5 dd",$D5="6 dd",$D5="8 dd",$D5="12 dd",$D5="24 dd",$D5="an",$D5="zn"),VLOOKUP($D5,ber_tijden_Neo!$A$17:$Y$27,ber_tijden_Neo!N$15,FALSE),"")</f>
        <v/>
      </c>
      <c r="U5" s="611" t="str">
        <f>IF(OR($D5="1 dd",$D5="2 dd",$D5="3 dd",$D5="4 dd",$D5="5 dd",$D5="6 dd",$D5="8 dd",$D5="12 dd",$D5="24 dd",$D5="an",$D5="zn"),VLOOKUP($D5,ber_tijden_Neo!$A$17:$Y$27,ber_tijden_Neo!O$15,FALSE),"")</f>
        <v/>
      </c>
      <c r="V5" s="106" t="str">
        <f>IF(OR($D5="1 dd",$D5="2 dd",$D5="3 dd",$D5="4 dd",$D5="5 dd",$D5="6 dd",$D5="8 dd",$D5="12 dd",$D5="24 dd",$D5="an",$D5="zn"),VLOOKUP($D5,ber_tijden_Neo!$A$17:$Y$27,ber_tijden_Neo!P$15,FALSE),"")</f>
        <v/>
      </c>
      <c r="W5" s="611" t="str">
        <f>IF(OR($D5="1 dd",$D5="2 dd",$D5="3 dd",$D5="4 dd",$D5="5 dd",$D5="6 dd",$D5="8 dd",$D5="12 dd",$D5="24 dd",$D5="an",$D5="zn"),VLOOKUP($D5,ber_tijden_Neo!$A$17:$Y$27,ber_tijden_Neo!Q$15,FALSE),"")</f>
        <v/>
      </c>
      <c r="X5" s="106" t="str">
        <f>IF(OR($D5="1 dd",$D5="2 dd",$D5="3 dd",$D5="4 dd",$D5="5 dd",$D5="6 dd",$D5="8 dd",$D5="12 dd",$D5="24 dd",$D5="an",$D5="zn"),VLOOKUP($D5,ber_tijden_Neo!$A$17:$Y$27,ber_tijden_Neo!R$15,FALSE),"")</f>
        <v/>
      </c>
      <c r="Y5" s="611" t="str">
        <f>IF(OR($D5="1 dd",$D5="2 dd",$D5="3 dd",$D5="4 dd",$D5="5 dd",$D5="6 dd",$D5="8 dd",$D5="12 dd",$D5="24 dd",$D5="an",$D5="zn"),VLOOKUP($D5,ber_tijden_Neo!$A$17:$Y$27,ber_tijden_Neo!S$15,FALSE),"")</f>
        <v/>
      </c>
      <c r="Z5" s="106" t="str">
        <f>IF(OR($D5="1 dd",$D5="2 dd",$D5="3 dd",$D5="4 dd",$D5="5 dd",$D5="6 dd",$D5="8 dd",$D5="12 dd",$D5="24 dd",$D5="an",$D5="zn"),VLOOKUP($D5,ber_tijden_Neo!$A$17:$Y$27,ber_tijden_Neo!T$15,FALSE),"")</f>
        <v/>
      </c>
      <c r="AA5" s="611" t="str">
        <f>IF(OR($D5="1 dd",$D5="2 dd",$D5="3 dd",$D5="4 dd",$D5="5 dd",$D5="6 dd",$D5="8 dd",$D5="12 dd",$D5="24 dd",$D5="an",$D5="zn"),VLOOKUP($D5,ber_tijden_Neo!$A$17:$Y$27,ber_tijden_Neo!U$15,FALSE),"")</f>
        <v/>
      </c>
      <c r="AB5" s="106" t="str">
        <f>IF(OR($D5="1 dd",$D5="2 dd",$D5="3 dd",$D5="4 dd",$D5="5 dd",$D5="6 dd",$D5="8 dd",$D5="12 dd",$D5="24 dd",$D5="an",$D5="zn"),VLOOKUP($D5,ber_tijden_Neo!$A$17:$Y$27,ber_tijden_Neo!V$15,FALSE),"")</f>
        <v/>
      </c>
      <c r="AC5" s="611" t="str">
        <f>IF(OR($D5="1 dd",$D5="2 dd",$D5="3 dd",$D5="4 dd",$D5="5 dd",$D5="6 dd",$D5="8 dd",$D5="12 dd",$D5="24 dd",$D5="an",$D5="zn"),VLOOKUP($D5,ber_tijden_Neo!$A$17:$Y$27,ber_tijden_Neo!W$15,FALSE),"")</f>
        <v/>
      </c>
      <c r="AD5" s="106" t="str">
        <f>IF(OR($D5="1 dd",$D5="2 dd",$D5="3 dd",$D5="4 dd",$D5="5 dd",$D5="6 dd",$D5="8 dd",$D5="12 dd",$D5="24 dd",$D5="an",$D5="zn"),VLOOKUP($D5,ber_tijden_Neo!$A$17:$Y$27,ber_tijden_Neo!X$15,FALSE),"")</f>
        <v/>
      </c>
      <c r="AE5" s="611" t="str">
        <f>IF(OR($D5="1 dd",$D5="2 dd",$D5="3 dd",$D5="4 dd",$D5="5 dd",$D5="6 dd",$D5="8 dd",$D5="12 dd",$D5="24 dd",$D5="an",$D5="zn"),VLOOKUP($D5,ber_tijden_Neo!$A$17:$Y$27,ber_tijden_Neo!Y$15,FALSE),"")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dd",$D6="5 dd",$D6="6 dd",$D6="8 dd",$D6="12 dd",$D6="24 dd",$D6="an",$D6="zn"),VLOOKUP($D6,ber_tijden_Neo!$A$17:$Y$27,ber_tijden_Neo!B$15,FALSE),"")</f>
        <v/>
      </c>
      <c r="I6" s="611" t="str">
        <f>IF(OR($D6="1 dd",$D6="2 dd",$D6="3 dd",$D6="4 dd",$D6="5 dd",$D6="6 dd",$D6="8 dd",$D6="12 dd",$D6="24 dd",$D6="an",$D6="zn"),VLOOKUP($D6,ber_tijden_Neo!$A$17:$Y$27,ber_tijden_Neo!C$15,FALSE),"")</f>
        <v/>
      </c>
      <c r="J6" s="106" t="str">
        <f>IF(OR($D6="1 dd",$D6="2 dd",$D6="3 dd",$D6="4 dd",$D6="5 dd",$D6="6 dd",$D6="8 dd",$D6="12 dd",$D6="24 dd",$D6="an",$D6="zn"),VLOOKUP($D6,ber_tijden_Neo!$A$17:$Y$27,ber_tijden_Neo!D$15,FALSE),"")</f>
        <v/>
      </c>
      <c r="K6" s="611" t="str">
        <f>IF(OR($D6="1 dd",$D6="2 dd",$D6="3 dd",$D6="4 dd",$D6="5 dd",$D6="6 dd",$D6="8 dd",$D6="12 dd",$D6="24 dd",$D6="an",$D6="zn"),VLOOKUP($D6,ber_tijden_Neo!$A$17:$Y$27,ber_tijden_Neo!E$15,FALSE),"")</f>
        <v/>
      </c>
      <c r="L6" s="106" t="str">
        <f>IF(OR($D6="1 dd",$D6="2 dd",$D6="3 dd",$D6="4 dd",$D6="5 dd",$D6="6 dd",$D6="8 dd",$D6="12 dd",$D6="24 dd",$D6="an",$D6="zn"),VLOOKUP($D6,ber_tijden_Neo!$A$17:$Y$27,ber_tijden_Neo!F$15,FALSE),"")</f>
        <v/>
      </c>
      <c r="M6" s="611" t="str">
        <f>IF(OR($D6="1 dd",$D6="2 dd",$D6="3 dd",$D6="4 dd",$D6="5 dd",$D6="6 dd",$D6="8 dd",$D6="12 dd",$D6="24 dd",$D6="an",$D6="zn"),VLOOKUP($D6,ber_tijden_Neo!$A$17:$Y$27,ber_tijden_Neo!G$15,FALSE),"")</f>
        <v/>
      </c>
      <c r="N6" s="106" t="str">
        <f>IF(OR($D6="1 dd",$D6="2 dd",$D6="3 dd",$D6="4 dd",$D6="5 dd",$D6="6 dd",$D6="8 dd",$D6="12 dd",$D6="24 dd",$D6="an",$D6="zn"),VLOOKUP($D6,ber_tijden_Neo!$A$17:$Y$27,ber_tijden_Neo!H$15,FALSE),"")</f>
        <v/>
      </c>
      <c r="O6" s="611" t="str">
        <f>IF(OR($D6="1 dd",$D6="2 dd",$D6="3 dd",$D6="4 dd",$D6="5 dd",$D6="6 dd",$D6="8 dd",$D6="12 dd",$D6="24 dd",$D6="an",$D6="zn"),VLOOKUP($D6,ber_tijden_Neo!$A$17:$Y$27,ber_tijden_Neo!I$15,FALSE),"")</f>
        <v/>
      </c>
      <c r="P6" s="106" t="str">
        <f>IF(OR($D6="1 dd",$D6="2 dd",$D6="3 dd",$D6="4 dd",$D6="5 dd",$D6="6 dd",$D6="8 dd",$D6="12 dd",$D6="24 dd",$D6="an",$D6="zn"),VLOOKUP($D6,ber_tijden_Neo!$A$17:$Y$27,ber_tijden_Neo!J$15,FALSE),"")</f>
        <v/>
      </c>
      <c r="Q6" s="611" t="str">
        <f>IF(OR($D6="1 dd",$D6="2 dd",$D6="3 dd",$D6="4 dd",$D6="5 dd",$D6="6 dd",$D6="8 dd",$D6="12 dd",$D6="24 dd",$D6="an",$D6="zn"),VLOOKUP($D6,ber_tijden_Neo!$A$17:$Y$27,ber_tijden_Neo!K$15,FALSE),"")</f>
        <v/>
      </c>
      <c r="R6" s="106" t="str">
        <f>IF(OR($D6="1 dd",$D6="2 dd",$D6="3 dd",$D6="4 dd",$D6="5 dd",$D6="6 dd",$D6="8 dd",$D6="12 dd",$D6="24 dd",$D6="an",$D6="zn"),VLOOKUP($D6,ber_tijden_Neo!$A$17:$Y$27,ber_tijden_Neo!L$15,FALSE),"")</f>
        <v/>
      </c>
      <c r="S6" s="611" t="str">
        <f>IF(OR($D6="1 dd",$D6="2 dd",$D6="3 dd",$D6="4 dd",$D6="5 dd",$D6="6 dd",$D6="8 dd",$D6="12 dd",$D6="24 dd",$D6="an",$D6="zn"),VLOOKUP($D6,ber_tijden_Neo!$A$17:$Y$27,ber_tijden_Neo!M$15,FALSE),"")</f>
        <v/>
      </c>
      <c r="T6" s="106" t="str">
        <f>IF(OR($D6="1 dd",$D6="2 dd",$D6="3 dd",$D6="4 dd",$D6="5 dd",$D6="6 dd",$D6="8 dd",$D6="12 dd",$D6="24 dd",$D6="an",$D6="zn"),VLOOKUP($D6,ber_tijden_Neo!$A$17:$Y$27,ber_tijden_Neo!N$15,FALSE),"")</f>
        <v/>
      </c>
      <c r="U6" s="611" t="str">
        <f>IF(OR($D6="1 dd",$D6="2 dd",$D6="3 dd",$D6="4 dd",$D6="5 dd",$D6="6 dd",$D6="8 dd",$D6="12 dd",$D6="24 dd",$D6="an",$D6="zn"),VLOOKUP($D6,ber_tijden_Neo!$A$17:$Y$27,ber_tijden_Neo!O$15,FALSE),"")</f>
        <v/>
      </c>
      <c r="V6" s="106" t="str">
        <f>IF(OR($D6="1 dd",$D6="2 dd",$D6="3 dd",$D6="4 dd",$D6="5 dd",$D6="6 dd",$D6="8 dd",$D6="12 dd",$D6="24 dd",$D6="an",$D6="zn"),VLOOKUP($D6,ber_tijden_Neo!$A$17:$Y$27,ber_tijden_Neo!P$15,FALSE),"")</f>
        <v/>
      </c>
      <c r="W6" s="611" t="str">
        <f>IF(OR($D6="1 dd",$D6="2 dd",$D6="3 dd",$D6="4 dd",$D6="5 dd",$D6="6 dd",$D6="8 dd",$D6="12 dd",$D6="24 dd",$D6="an",$D6="zn"),VLOOKUP($D6,ber_tijden_Neo!$A$17:$Y$27,ber_tijden_Neo!Q$15,FALSE),"")</f>
        <v/>
      </c>
      <c r="X6" s="106" t="str">
        <f>IF(OR($D6="1 dd",$D6="2 dd",$D6="3 dd",$D6="4 dd",$D6="5 dd",$D6="6 dd",$D6="8 dd",$D6="12 dd",$D6="24 dd",$D6="an",$D6="zn"),VLOOKUP($D6,ber_tijden_Neo!$A$17:$Y$27,ber_tijden_Neo!R$15,FALSE),"")</f>
        <v/>
      </c>
      <c r="Y6" s="611" t="str">
        <f>IF(OR($D6="1 dd",$D6="2 dd",$D6="3 dd",$D6="4 dd",$D6="5 dd",$D6="6 dd",$D6="8 dd",$D6="12 dd",$D6="24 dd",$D6="an",$D6="zn"),VLOOKUP($D6,ber_tijden_Neo!$A$17:$Y$27,ber_tijden_Neo!S$15,FALSE),"")</f>
        <v/>
      </c>
      <c r="Z6" s="106" t="str">
        <f>IF(OR($D6="1 dd",$D6="2 dd",$D6="3 dd",$D6="4 dd",$D6="5 dd",$D6="6 dd",$D6="8 dd",$D6="12 dd",$D6="24 dd",$D6="an",$D6="zn"),VLOOKUP($D6,ber_tijden_Neo!$A$17:$Y$27,ber_tijden_Neo!T$15,FALSE),"")</f>
        <v/>
      </c>
      <c r="AA6" s="611" t="str">
        <f>IF(OR($D6="1 dd",$D6="2 dd",$D6="3 dd",$D6="4 dd",$D6="5 dd",$D6="6 dd",$D6="8 dd",$D6="12 dd",$D6="24 dd",$D6="an",$D6="zn"),VLOOKUP($D6,ber_tijden_Neo!$A$17:$Y$27,ber_tijden_Neo!U$15,FALSE),"")</f>
        <v/>
      </c>
      <c r="AB6" s="106" t="str">
        <f>IF(OR($D6="1 dd",$D6="2 dd",$D6="3 dd",$D6="4 dd",$D6="5 dd",$D6="6 dd",$D6="8 dd",$D6="12 dd",$D6="24 dd",$D6="an",$D6="zn"),VLOOKUP($D6,ber_tijden_Neo!$A$17:$Y$27,ber_tijden_Neo!V$15,FALSE),"")</f>
        <v/>
      </c>
      <c r="AC6" s="611" t="str">
        <f>IF(OR($D6="1 dd",$D6="2 dd",$D6="3 dd",$D6="4 dd",$D6="5 dd",$D6="6 dd",$D6="8 dd",$D6="12 dd",$D6="24 dd",$D6="an",$D6="zn"),VLOOKUP($D6,ber_tijden_Neo!$A$17:$Y$27,ber_tijden_Neo!W$15,FALSE),"")</f>
        <v/>
      </c>
      <c r="AD6" s="106" t="str">
        <f>IF(OR($D6="1 dd",$D6="2 dd",$D6="3 dd",$D6="4 dd",$D6="5 dd",$D6="6 dd",$D6="8 dd",$D6="12 dd",$D6="24 dd",$D6="an",$D6="zn"),VLOOKUP($D6,ber_tijden_Neo!$A$17:$Y$27,ber_tijden_Neo!X$15,FALSE),"")</f>
        <v/>
      </c>
      <c r="AE6" s="611" t="str">
        <f>IF(OR($D6="1 dd",$D6="2 dd",$D6="3 dd",$D6="4 dd",$D6="5 dd",$D6="6 dd",$D6="8 dd",$D6="12 dd",$D6="24 dd",$D6="an",$D6="zn"),VLOOKUP($D6,ber_tijden_Neo!$A$17:$Y$27,ber_tijden_Neo!Y$15,FALSE),"")</f>
        <v/>
      </c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dd",$D7="5 dd",$D7="6 dd",$D7="8 dd",$D7="12 dd",$D7="24 dd",$D7="an",$D7="zn"),VLOOKUP($D7,ber_tijden_Neo!$A$17:$Y$27,ber_tijden_Neo!B$15,FALSE),"")</f>
        <v/>
      </c>
      <c r="I7" s="611" t="str">
        <f>IF(OR($D7="1 dd",$D7="2 dd",$D7="3 dd",$D7="4 dd",$D7="5 dd",$D7="6 dd",$D7="8 dd",$D7="12 dd",$D7="24 dd",$D7="an",$D7="zn"),VLOOKUP($D7,ber_tijden_Neo!$A$17:$Y$27,ber_tijden_Neo!C$15,FALSE),"")</f>
        <v/>
      </c>
      <c r="J7" s="106" t="str">
        <f>IF(OR($D7="1 dd",$D7="2 dd",$D7="3 dd",$D7="4 dd",$D7="5 dd",$D7="6 dd",$D7="8 dd",$D7="12 dd",$D7="24 dd",$D7="an",$D7="zn"),VLOOKUP($D7,ber_tijden_Neo!$A$17:$Y$27,ber_tijden_Neo!D$15,FALSE),"")</f>
        <v/>
      </c>
      <c r="K7" s="611" t="str">
        <f>IF(OR($D7="1 dd",$D7="2 dd",$D7="3 dd",$D7="4 dd",$D7="5 dd",$D7="6 dd",$D7="8 dd",$D7="12 dd",$D7="24 dd",$D7="an",$D7="zn"),VLOOKUP($D7,ber_tijden_Neo!$A$17:$Y$27,ber_tijden_Neo!E$15,FALSE),"")</f>
        <v/>
      </c>
      <c r="L7" s="106" t="str">
        <f>IF(OR($D7="1 dd",$D7="2 dd",$D7="3 dd",$D7="4 dd",$D7="5 dd",$D7="6 dd",$D7="8 dd",$D7="12 dd",$D7="24 dd",$D7="an",$D7="zn"),VLOOKUP($D7,ber_tijden_Neo!$A$17:$Y$27,ber_tijden_Neo!F$15,FALSE),"")</f>
        <v/>
      </c>
      <c r="M7" s="611" t="str">
        <f>IF(OR($D7="1 dd",$D7="2 dd",$D7="3 dd",$D7="4 dd",$D7="5 dd",$D7="6 dd",$D7="8 dd",$D7="12 dd",$D7="24 dd",$D7="an",$D7="zn"),VLOOKUP($D7,ber_tijden_Neo!$A$17:$Y$27,ber_tijden_Neo!G$15,FALSE),"")</f>
        <v/>
      </c>
      <c r="N7" s="106" t="str">
        <f>IF(OR($D7="1 dd",$D7="2 dd",$D7="3 dd",$D7="4 dd",$D7="5 dd",$D7="6 dd",$D7="8 dd",$D7="12 dd",$D7="24 dd",$D7="an",$D7="zn"),VLOOKUP($D7,ber_tijden_Neo!$A$17:$Y$27,ber_tijden_Neo!H$15,FALSE),"")</f>
        <v/>
      </c>
      <c r="O7" s="611" t="str">
        <f>IF(OR($D7="1 dd",$D7="2 dd",$D7="3 dd",$D7="4 dd",$D7="5 dd",$D7="6 dd",$D7="8 dd",$D7="12 dd",$D7="24 dd",$D7="an",$D7="zn"),VLOOKUP($D7,ber_tijden_Neo!$A$17:$Y$27,ber_tijden_Neo!I$15,FALSE),"")</f>
        <v/>
      </c>
      <c r="P7" s="106" t="str">
        <f>IF(OR($D7="1 dd",$D7="2 dd",$D7="3 dd",$D7="4 dd",$D7="5 dd",$D7="6 dd",$D7="8 dd",$D7="12 dd",$D7="24 dd",$D7="an",$D7="zn"),VLOOKUP($D7,ber_tijden_Neo!$A$17:$Y$27,ber_tijden_Neo!J$15,FALSE),"")</f>
        <v/>
      </c>
      <c r="Q7" s="611" t="str">
        <f>IF(OR($D7="1 dd",$D7="2 dd",$D7="3 dd",$D7="4 dd",$D7="5 dd",$D7="6 dd",$D7="8 dd",$D7="12 dd",$D7="24 dd",$D7="an",$D7="zn"),VLOOKUP($D7,ber_tijden_Neo!$A$17:$Y$27,ber_tijden_Neo!K$15,FALSE),"")</f>
        <v/>
      </c>
      <c r="R7" s="106" t="str">
        <f>IF(OR($D7="1 dd",$D7="2 dd",$D7="3 dd",$D7="4 dd",$D7="5 dd",$D7="6 dd",$D7="8 dd",$D7="12 dd",$D7="24 dd",$D7="an",$D7="zn"),VLOOKUP($D7,ber_tijden_Neo!$A$17:$Y$27,ber_tijden_Neo!L$15,FALSE),"")</f>
        <v/>
      </c>
      <c r="S7" s="611" t="str">
        <f>IF(OR($D7="1 dd",$D7="2 dd",$D7="3 dd",$D7="4 dd",$D7="5 dd",$D7="6 dd",$D7="8 dd",$D7="12 dd",$D7="24 dd",$D7="an",$D7="zn"),VLOOKUP($D7,ber_tijden_Neo!$A$17:$Y$27,ber_tijden_Neo!M$15,FALSE),"")</f>
        <v/>
      </c>
      <c r="T7" s="106" t="str">
        <f>IF(OR($D7="1 dd",$D7="2 dd",$D7="3 dd",$D7="4 dd",$D7="5 dd",$D7="6 dd",$D7="8 dd",$D7="12 dd",$D7="24 dd",$D7="an",$D7="zn"),VLOOKUP($D7,ber_tijden_Neo!$A$17:$Y$27,ber_tijden_Neo!N$15,FALSE),"")</f>
        <v/>
      </c>
      <c r="U7" s="611" t="str">
        <f>IF(OR($D7="1 dd",$D7="2 dd",$D7="3 dd",$D7="4 dd",$D7="5 dd",$D7="6 dd",$D7="8 dd",$D7="12 dd",$D7="24 dd",$D7="an",$D7="zn"),VLOOKUP($D7,ber_tijden_Neo!$A$17:$Y$27,ber_tijden_Neo!O$15,FALSE),"")</f>
        <v/>
      </c>
      <c r="V7" s="106" t="str">
        <f>IF(OR($D7="1 dd",$D7="2 dd",$D7="3 dd",$D7="4 dd",$D7="5 dd",$D7="6 dd",$D7="8 dd",$D7="12 dd",$D7="24 dd",$D7="an",$D7="zn"),VLOOKUP($D7,ber_tijden_Neo!$A$17:$Y$27,ber_tijden_Neo!P$15,FALSE),"")</f>
        <v/>
      </c>
      <c r="W7" s="611" t="str">
        <f>IF(OR($D7="1 dd",$D7="2 dd",$D7="3 dd",$D7="4 dd",$D7="5 dd",$D7="6 dd",$D7="8 dd",$D7="12 dd",$D7="24 dd",$D7="an",$D7="zn"),VLOOKUP($D7,ber_tijden_Neo!$A$17:$Y$27,ber_tijden_Neo!Q$15,FALSE),"")</f>
        <v/>
      </c>
      <c r="X7" s="106" t="str">
        <f>IF(OR($D7="1 dd",$D7="2 dd",$D7="3 dd",$D7="4 dd",$D7="5 dd",$D7="6 dd",$D7="8 dd",$D7="12 dd",$D7="24 dd",$D7="an",$D7="zn"),VLOOKUP($D7,ber_tijden_Neo!$A$17:$Y$27,ber_tijden_Neo!R$15,FALSE),"")</f>
        <v/>
      </c>
      <c r="Y7" s="611" t="str">
        <f>IF(OR($D7="1 dd",$D7="2 dd",$D7="3 dd",$D7="4 dd",$D7="5 dd",$D7="6 dd",$D7="8 dd",$D7="12 dd",$D7="24 dd",$D7="an",$D7="zn"),VLOOKUP($D7,ber_tijden_Neo!$A$17:$Y$27,ber_tijden_Neo!S$15,FALSE),"")</f>
        <v/>
      </c>
      <c r="Z7" s="106" t="str">
        <f>IF(OR($D7="1 dd",$D7="2 dd",$D7="3 dd",$D7="4 dd",$D7="5 dd",$D7="6 dd",$D7="8 dd",$D7="12 dd",$D7="24 dd",$D7="an",$D7="zn"),VLOOKUP($D7,ber_tijden_Neo!$A$17:$Y$27,ber_tijden_Neo!T$15,FALSE),"")</f>
        <v/>
      </c>
      <c r="AA7" s="611" t="str">
        <f>IF(OR($D7="1 dd",$D7="2 dd",$D7="3 dd",$D7="4 dd",$D7="5 dd",$D7="6 dd",$D7="8 dd",$D7="12 dd",$D7="24 dd",$D7="an",$D7="zn"),VLOOKUP($D7,ber_tijden_Neo!$A$17:$Y$27,ber_tijden_Neo!U$15,FALSE),"")</f>
        <v/>
      </c>
      <c r="AB7" s="106" t="str">
        <f>IF(OR($D7="1 dd",$D7="2 dd",$D7="3 dd",$D7="4 dd",$D7="5 dd",$D7="6 dd",$D7="8 dd",$D7="12 dd",$D7="24 dd",$D7="an",$D7="zn"),VLOOKUP($D7,ber_tijden_Neo!$A$17:$Y$27,ber_tijden_Neo!V$15,FALSE),"")</f>
        <v/>
      </c>
      <c r="AC7" s="611" t="str">
        <f>IF(OR($D7="1 dd",$D7="2 dd",$D7="3 dd",$D7="4 dd",$D7="5 dd",$D7="6 dd",$D7="8 dd",$D7="12 dd",$D7="24 dd",$D7="an",$D7="zn"),VLOOKUP($D7,ber_tijden_Neo!$A$17:$Y$27,ber_tijden_Neo!W$15,FALSE),"")</f>
        <v/>
      </c>
      <c r="AD7" s="106" t="str">
        <f>IF(OR($D7="1 dd",$D7="2 dd",$D7="3 dd",$D7="4 dd",$D7="5 dd",$D7="6 dd",$D7="8 dd",$D7="12 dd",$D7="24 dd",$D7="an",$D7="zn"),VLOOKUP($D7,ber_tijden_Neo!$A$17:$Y$27,ber_tijden_Neo!X$15,FALSE),"")</f>
        <v/>
      </c>
      <c r="AE7" s="611" t="str">
        <f>IF(OR($D7="1 dd",$D7="2 dd",$D7="3 dd",$D7="4 dd",$D7="5 dd",$D7="6 dd",$D7="8 dd",$D7="12 dd",$D7="24 dd",$D7="an",$D7="zn"),VLOOKUP($D7,ber_tijden_Neo!$A$17:$Y$27,ber_tijden_Neo!Y$15,FALSE),"")</f>
        <v/>
      </c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dd",$D8="5 dd",$D8="6 dd",$D8="8 dd",$D8="12 dd",$D8="24 dd",$D8="an",$D8="zn"),VLOOKUP($D8,ber_tijden_Neo!$A$17:$Y$27,ber_tijden_Neo!B$15,FALSE),"")</f>
        <v/>
      </c>
      <c r="I8" s="611" t="str">
        <f>IF(OR($D8="1 dd",$D8="2 dd",$D8="3 dd",$D8="4 dd",$D8="5 dd",$D8="6 dd",$D8="8 dd",$D8="12 dd",$D8="24 dd",$D8="an",$D8="zn"),VLOOKUP($D8,ber_tijden_Neo!$A$17:$Y$27,ber_tijden_Neo!C$15,FALSE),"")</f>
        <v/>
      </c>
      <c r="J8" s="106" t="str">
        <f>IF(OR($D8="1 dd",$D8="2 dd",$D8="3 dd",$D8="4 dd",$D8="5 dd",$D8="6 dd",$D8="8 dd",$D8="12 dd",$D8="24 dd",$D8="an",$D8="zn"),VLOOKUP($D8,ber_tijden_Neo!$A$17:$Y$27,ber_tijden_Neo!D$15,FALSE),"")</f>
        <v/>
      </c>
      <c r="K8" s="611" t="str">
        <f>IF(OR($D8="1 dd",$D8="2 dd",$D8="3 dd",$D8="4 dd",$D8="5 dd",$D8="6 dd",$D8="8 dd",$D8="12 dd",$D8="24 dd",$D8="an",$D8="zn"),VLOOKUP($D8,ber_tijden_Neo!$A$17:$Y$27,ber_tijden_Neo!E$15,FALSE),"")</f>
        <v/>
      </c>
      <c r="L8" s="106" t="str">
        <f>IF(OR($D8="1 dd",$D8="2 dd",$D8="3 dd",$D8="4 dd",$D8="5 dd",$D8="6 dd",$D8="8 dd",$D8="12 dd",$D8="24 dd",$D8="an",$D8="zn"),VLOOKUP($D8,ber_tijden_Neo!$A$17:$Y$27,ber_tijden_Neo!F$15,FALSE),"")</f>
        <v/>
      </c>
      <c r="M8" s="611" t="str">
        <f>IF(OR($D8="1 dd",$D8="2 dd",$D8="3 dd",$D8="4 dd",$D8="5 dd",$D8="6 dd",$D8="8 dd",$D8="12 dd",$D8="24 dd",$D8="an",$D8="zn"),VLOOKUP($D8,ber_tijden_Neo!$A$17:$Y$27,ber_tijden_Neo!G$15,FALSE),"")</f>
        <v/>
      </c>
      <c r="N8" s="106" t="str">
        <f>IF(OR($D8="1 dd",$D8="2 dd",$D8="3 dd",$D8="4 dd",$D8="5 dd",$D8="6 dd",$D8="8 dd",$D8="12 dd",$D8="24 dd",$D8="an",$D8="zn"),VLOOKUP($D8,ber_tijden_Neo!$A$17:$Y$27,ber_tijden_Neo!H$15,FALSE),"")</f>
        <v/>
      </c>
      <c r="O8" s="611" t="str">
        <f>IF(OR($D8="1 dd",$D8="2 dd",$D8="3 dd",$D8="4 dd",$D8="5 dd",$D8="6 dd",$D8="8 dd",$D8="12 dd",$D8="24 dd",$D8="an",$D8="zn"),VLOOKUP($D8,ber_tijden_Neo!$A$17:$Y$27,ber_tijden_Neo!I$15,FALSE),"")</f>
        <v/>
      </c>
      <c r="P8" s="106" t="str">
        <f>IF(OR($D8="1 dd",$D8="2 dd",$D8="3 dd",$D8="4 dd",$D8="5 dd",$D8="6 dd",$D8="8 dd",$D8="12 dd",$D8="24 dd",$D8="an",$D8="zn"),VLOOKUP($D8,ber_tijden_Neo!$A$17:$Y$27,ber_tijden_Neo!J$15,FALSE),"")</f>
        <v/>
      </c>
      <c r="Q8" s="611" t="str">
        <f>IF(OR($D8="1 dd",$D8="2 dd",$D8="3 dd",$D8="4 dd",$D8="5 dd",$D8="6 dd",$D8="8 dd",$D8="12 dd",$D8="24 dd",$D8="an",$D8="zn"),VLOOKUP($D8,ber_tijden_Neo!$A$17:$Y$27,ber_tijden_Neo!K$15,FALSE),"")</f>
        <v/>
      </c>
      <c r="R8" s="106" t="str">
        <f>IF(OR($D8="1 dd",$D8="2 dd",$D8="3 dd",$D8="4 dd",$D8="5 dd",$D8="6 dd",$D8="8 dd",$D8="12 dd",$D8="24 dd",$D8="an",$D8="zn"),VLOOKUP($D8,ber_tijden_Neo!$A$17:$Y$27,ber_tijden_Neo!L$15,FALSE),"")</f>
        <v/>
      </c>
      <c r="S8" s="611" t="str">
        <f>IF(OR($D8="1 dd",$D8="2 dd",$D8="3 dd",$D8="4 dd",$D8="5 dd",$D8="6 dd",$D8="8 dd",$D8="12 dd",$D8="24 dd",$D8="an",$D8="zn"),VLOOKUP($D8,ber_tijden_Neo!$A$17:$Y$27,ber_tijden_Neo!M$15,FALSE),"")</f>
        <v/>
      </c>
      <c r="T8" s="106" t="str">
        <f>IF(OR($D8="1 dd",$D8="2 dd",$D8="3 dd",$D8="4 dd",$D8="5 dd",$D8="6 dd",$D8="8 dd",$D8="12 dd",$D8="24 dd",$D8="an",$D8="zn"),VLOOKUP($D8,ber_tijden_Neo!$A$17:$Y$27,ber_tijden_Neo!N$15,FALSE),"")</f>
        <v/>
      </c>
      <c r="U8" s="611" t="str">
        <f>IF(OR($D8="1 dd",$D8="2 dd",$D8="3 dd",$D8="4 dd",$D8="5 dd",$D8="6 dd",$D8="8 dd",$D8="12 dd",$D8="24 dd",$D8="an",$D8="zn"),VLOOKUP($D8,ber_tijden_Neo!$A$17:$Y$27,ber_tijden_Neo!O$15,FALSE),"")</f>
        <v/>
      </c>
      <c r="V8" s="106" t="str">
        <f>IF(OR($D8="1 dd",$D8="2 dd",$D8="3 dd",$D8="4 dd",$D8="5 dd",$D8="6 dd",$D8="8 dd",$D8="12 dd",$D8="24 dd",$D8="an",$D8="zn"),VLOOKUP($D8,ber_tijden_Neo!$A$17:$Y$27,ber_tijden_Neo!P$15,FALSE),"")</f>
        <v/>
      </c>
      <c r="W8" s="611" t="str">
        <f>IF(OR($D8="1 dd",$D8="2 dd",$D8="3 dd",$D8="4 dd",$D8="5 dd",$D8="6 dd",$D8="8 dd",$D8="12 dd",$D8="24 dd",$D8="an",$D8="zn"),VLOOKUP($D8,ber_tijden_Neo!$A$17:$Y$27,ber_tijden_Neo!Q$15,FALSE),"")</f>
        <v/>
      </c>
      <c r="X8" s="106" t="str">
        <f>IF(OR($D8="1 dd",$D8="2 dd",$D8="3 dd",$D8="4 dd",$D8="5 dd",$D8="6 dd",$D8="8 dd",$D8="12 dd",$D8="24 dd",$D8="an",$D8="zn"),VLOOKUP($D8,ber_tijden_Neo!$A$17:$Y$27,ber_tijden_Neo!R$15,FALSE),"")</f>
        <v/>
      </c>
      <c r="Y8" s="611" t="str">
        <f>IF(OR($D8="1 dd",$D8="2 dd",$D8="3 dd",$D8="4 dd",$D8="5 dd",$D8="6 dd",$D8="8 dd",$D8="12 dd",$D8="24 dd",$D8="an",$D8="zn"),VLOOKUP($D8,ber_tijden_Neo!$A$17:$Y$27,ber_tijden_Neo!S$15,FALSE),"")</f>
        <v/>
      </c>
      <c r="Z8" s="106" t="str">
        <f>IF(OR($D8="1 dd",$D8="2 dd",$D8="3 dd",$D8="4 dd",$D8="5 dd",$D8="6 dd",$D8="8 dd",$D8="12 dd",$D8="24 dd",$D8="an",$D8="zn"),VLOOKUP($D8,ber_tijden_Neo!$A$17:$Y$27,ber_tijden_Neo!T$15,FALSE),"")</f>
        <v/>
      </c>
      <c r="AA8" s="611" t="str">
        <f>IF(OR($D8="1 dd",$D8="2 dd",$D8="3 dd",$D8="4 dd",$D8="5 dd",$D8="6 dd",$D8="8 dd",$D8="12 dd",$D8="24 dd",$D8="an",$D8="zn"),VLOOKUP($D8,ber_tijden_Neo!$A$17:$Y$27,ber_tijden_Neo!U$15,FALSE),"")</f>
        <v/>
      </c>
      <c r="AB8" s="106" t="str">
        <f>IF(OR($D8="1 dd",$D8="2 dd",$D8="3 dd",$D8="4 dd",$D8="5 dd",$D8="6 dd",$D8="8 dd",$D8="12 dd",$D8="24 dd",$D8="an",$D8="zn"),VLOOKUP($D8,ber_tijden_Neo!$A$17:$Y$27,ber_tijden_Neo!V$15,FALSE),"")</f>
        <v/>
      </c>
      <c r="AC8" s="611" t="str">
        <f>IF(OR($D8="1 dd",$D8="2 dd",$D8="3 dd",$D8="4 dd",$D8="5 dd",$D8="6 dd",$D8="8 dd",$D8="12 dd",$D8="24 dd",$D8="an",$D8="zn"),VLOOKUP($D8,ber_tijden_Neo!$A$17:$Y$27,ber_tijden_Neo!W$15,FALSE),"")</f>
        <v/>
      </c>
      <c r="AD8" s="106" t="str">
        <f>IF(OR($D8="1 dd",$D8="2 dd",$D8="3 dd",$D8="4 dd",$D8="5 dd",$D8="6 dd",$D8="8 dd",$D8="12 dd",$D8="24 dd",$D8="an",$D8="zn"),VLOOKUP($D8,ber_tijden_Neo!$A$17:$Y$27,ber_tijden_Neo!X$15,FALSE),"")</f>
        <v/>
      </c>
      <c r="AE8" s="611" t="str">
        <f>IF(OR($D8="1 dd",$D8="2 dd",$D8="3 dd",$D8="4 dd",$D8="5 dd",$D8="6 dd",$D8="8 dd",$D8="12 dd",$D8="24 dd",$D8="an",$D8="zn"),VLOOKUP($D8,ber_tijden_Neo!$A$17:$Y$27,ber_tijden_Neo!Y$15,FALSE),"")</f>
        <v/>
      </c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dd",$D9="5 dd",$D9="6 dd",$D9="8 dd",$D9="12 dd",$D9="24 dd",$D9="an",$D9="zn"),VLOOKUP($D9,ber_tijden_Neo!$A$17:$Y$27,ber_tijden_Neo!B$15,FALSE),"")</f>
        <v/>
      </c>
      <c r="I9" s="611" t="str">
        <f>IF(OR($D9="1 dd",$D9="2 dd",$D9="3 dd",$D9="4 dd",$D9="5 dd",$D9="6 dd",$D9="8 dd",$D9="12 dd",$D9="24 dd",$D9="an",$D9="zn"),VLOOKUP($D9,ber_tijden_Neo!$A$17:$Y$27,ber_tijden_Neo!C$15,FALSE),"")</f>
        <v/>
      </c>
      <c r="J9" s="106" t="str">
        <f>IF(OR($D9="1 dd",$D9="2 dd",$D9="3 dd",$D9="4 dd",$D9="5 dd",$D9="6 dd",$D9="8 dd",$D9="12 dd",$D9="24 dd",$D9="an",$D9="zn"),VLOOKUP($D9,ber_tijden_Neo!$A$17:$Y$27,ber_tijden_Neo!D$15,FALSE),"")</f>
        <v/>
      </c>
      <c r="K9" s="611" t="str">
        <f>IF(OR($D9="1 dd",$D9="2 dd",$D9="3 dd",$D9="4 dd",$D9="5 dd",$D9="6 dd",$D9="8 dd",$D9="12 dd",$D9="24 dd",$D9="an",$D9="zn"),VLOOKUP($D9,ber_tijden_Neo!$A$17:$Y$27,ber_tijden_Neo!E$15,FALSE),"")</f>
        <v/>
      </c>
      <c r="L9" s="106" t="str">
        <f>IF(OR($D9="1 dd",$D9="2 dd",$D9="3 dd",$D9="4 dd",$D9="5 dd",$D9="6 dd",$D9="8 dd",$D9="12 dd",$D9="24 dd",$D9="an",$D9="zn"),VLOOKUP($D9,ber_tijden_Neo!$A$17:$Y$27,ber_tijden_Neo!F$15,FALSE),"")</f>
        <v/>
      </c>
      <c r="M9" s="611" t="str">
        <f>IF(OR($D9="1 dd",$D9="2 dd",$D9="3 dd",$D9="4 dd",$D9="5 dd",$D9="6 dd",$D9="8 dd",$D9="12 dd",$D9="24 dd",$D9="an",$D9="zn"),VLOOKUP($D9,ber_tijden_Neo!$A$17:$Y$27,ber_tijden_Neo!G$15,FALSE),"")</f>
        <v/>
      </c>
      <c r="N9" s="106" t="str">
        <f>IF(OR($D9="1 dd",$D9="2 dd",$D9="3 dd",$D9="4 dd",$D9="5 dd",$D9="6 dd",$D9="8 dd",$D9="12 dd",$D9="24 dd",$D9="an",$D9="zn"),VLOOKUP($D9,ber_tijden_Neo!$A$17:$Y$27,ber_tijden_Neo!H$15,FALSE),"")</f>
        <v/>
      </c>
      <c r="O9" s="611" t="str">
        <f>IF(OR($D9="1 dd",$D9="2 dd",$D9="3 dd",$D9="4 dd",$D9="5 dd",$D9="6 dd",$D9="8 dd",$D9="12 dd",$D9="24 dd",$D9="an",$D9="zn"),VLOOKUP($D9,ber_tijden_Neo!$A$17:$Y$27,ber_tijden_Neo!I$15,FALSE),"")</f>
        <v/>
      </c>
      <c r="P9" s="106" t="str">
        <f>IF(OR($D9="1 dd",$D9="2 dd",$D9="3 dd",$D9="4 dd",$D9="5 dd",$D9="6 dd",$D9="8 dd",$D9="12 dd",$D9="24 dd",$D9="an",$D9="zn"),VLOOKUP($D9,ber_tijden_Neo!$A$17:$Y$27,ber_tijden_Neo!J$15,FALSE),"")</f>
        <v/>
      </c>
      <c r="Q9" s="611" t="str">
        <f>IF(OR($D9="1 dd",$D9="2 dd",$D9="3 dd",$D9="4 dd",$D9="5 dd",$D9="6 dd",$D9="8 dd",$D9="12 dd",$D9="24 dd",$D9="an",$D9="zn"),VLOOKUP($D9,ber_tijden_Neo!$A$17:$Y$27,ber_tijden_Neo!K$15,FALSE),"")</f>
        <v/>
      </c>
      <c r="R9" s="106" t="str">
        <f>IF(OR($D9="1 dd",$D9="2 dd",$D9="3 dd",$D9="4 dd",$D9="5 dd",$D9="6 dd",$D9="8 dd",$D9="12 dd",$D9="24 dd",$D9="an",$D9="zn"),VLOOKUP($D9,ber_tijden_Neo!$A$17:$Y$27,ber_tijden_Neo!L$15,FALSE),"")</f>
        <v/>
      </c>
      <c r="S9" s="611" t="str">
        <f>IF(OR($D9="1 dd",$D9="2 dd",$D9="3 dd",$D9="4 dd",$D9="5 dd",$D9="6 dd",$D9="8 dd",$D9="12 dd",$D9="24 dd",$D9="an",$D9="zn"),VLOOKUP($D9,ber_tijden_Neo!$A$17:$Y$27,ber_tijden_Neo!M$15,FALSE),"")</f>
        <v/>
      </c>
      <c r="T9" s="106" t="str">
        <f>IF(OR($D9="1 dd",$D9="2 dd",$D9="3 dd",$D9="4 dd",$D9="5 dd",$D9="6 dd",$D9="8 dd",$D9="12 dd",$D9="24 dd",$D9="an",$D9="zn"),VLOOKUP($D9,ber_tijden_Neo!$A$17:$Y$27,ber_tijden_Neo!N$15,FALSE),"")</f>
        <v/>
      </c>
      <c r="U9" s="611" t="str">
        <f>IF(OR($D9="1 dd",$D9="2 dd",$D9="3 dd",$D9="4 dd",$D9="5 dd",$D9="6 dd",$D9="8 dd",$D9="12 dd",$D9="24 dd",$D9="an",$D9="zn"),VLOOKUP($D9,ber_tijden_Neo!$A$17:$Y$27,ber_tijden_Neo!O$15,FALSE),"")</f>
        <v/>
      </c>
      <c r="V9" s="106" t="str">
        <f>IF(OR($D9="1 dd",$D9="2 dd",$D9="3 dd",$D9="4 dd",$D9="5 dd",$D9="6 dd",$D9="8 dd",$D9="12 dd",$D9="24 dd",$D9="an",$D9="zn"),VLOOKUP($D9,ber_tijden_Neo!$A$17:$Y$27,ber_tijden_Neo!P$15,FALSE),"")</f>
        <v/>
      </c>
      <c r="W9" s="611" t="str">
        <f>IF(OR($D9="1 dd",$D9="2 dd",$D9="3 dd",$D9="4 dd",$D9="5 dd",$D9="6 dd",$D9="8 dd",$D9="12 dd",$D9="24 dd",$D9="an",$D9="zn"),VLOOKUP($D9,ber_tijden_Neo!$A$17:$Y$27,ber_tijden_Neo!Q$15,FALSE),"")</f>
        <v/>
      </c>
      <c r="X9" s="106" t="str">
        <f>IF(OR($D9="1 dd",$D9="2 dd",$D9="3 dd",$D9="4 dd",$D9="5 dd",$D9="6 dd",$D9="8 dd",$D9="12 dd",$D9="24 dd",$D9="an",$D9="zn"),VLOOKUP($D9,ber_tijden_Neo!$A$17:$Y$27,ber_tijden_Neo!R$15,FALSE),"")</f>
        <v/>
      </c>
      <c r="Y9" s="611" t="str">
        <f>IF(OR($D9="1 dd",$D9="2 dd",$D9="3 dd",$D9="4 dd",$D9="5 dd",$D9="6 dd",$D9="8 dd",$D9="12 dd",$D9="24 dd",$D9="an",$D9="zn"),VLOOKUP($D9,ber_tijden_Neo!$A$17:$Y$27,ber_tijden_Neo!S$15,FALSE),"")</f>
        <v/>
      </c>
      <c r="Z9" s="106" t="str">
        <f>IF(OR($D9="1 dd",$D9="2 dd",$D9="3 dd",$D9="4 dd",$D9="5 dd",$D9="6 dd",$D9="8 dd",$D9="12 dd",$D9="24 dd",$D9="an",$D9="zn"),VLOOKUP($D9,ber_tijden_Neo!$A$17:$Y$27,ber_tijden_Neo!T$15,FALSE),"")</f>
        <v/>
      </c>
      <c r="AA9" s="611" t="str">
        <f>IF(OR($D9="1 dd",$D9="2 dd",$D9="3 dd",$D9="4 dd",$D9="5 dd",$D9="6 dd",$D9="8 dd",$D9="12 dd",$D9="24 dd",$D9="an",$D9="zn"),VLOOKUP($D9,ber_tijden_Neo!$A$17:$Y$27,ber_tijden_Neo!U$15,FALSE),"")</f>
        <v/>
      </c>
      <c r="AB9" s="106" t="str">
        <f>IF(OR($D9="1 dd",$D9="2 dd",$D9="3 dd",$D9="4 dd",$D9="5 dd",$D9="6 dd",$D9="8 dd",$D9="12 dd",$D9="24 dd",$D9="an",$D9="zn"),VLOOKUP($D9,ber_tijden_Neo!$A$17:$Y$27,ber_tijden_Neo!V$15,FALSE),"")</f>
        <v/>
      </c>
      <c r="AC9" s="611" t="str">
        <f>IF(OR($D9="1 dd",$D9="2 dd",$D9="3 dd",$D9="4 dd",$D9="5 dd",$D9="6 dd",$D9="8 dd",$D9="12 dd",$D9="24 dd",$D9="an",$D9="zn"),VLOOKUP($D9,ber_tijden_Neo!$A$17:$Y$27,ber_tijden_Neo!W$15,FALSE),"")</f>
        <v/>
      </c>
      <c r="AD9" s="106" t="str">
        <f>IF(OR($D9="1 dd",$D9="2 dd",$D9="3 dd",$D9="4 dd",$D9="5 dd",$D9="6 dd",$D9="8 dd",$D9="12 dd",$D9="24 dd",$D9="an",$D9="zn"),VLOOKUP($D9,ber_tijden_Neo!$A$17:$Y$27,ber_tijden_Neo!X$15,FALSE),"")</f>
        <v/>
      </c>
      <c r="AE9" s="611" t="str">
        <f>IF(OR($D9="1 dd",$D9="2 dd",$D9="3 dd",$D9="4 dd",$D9="5 dd",$D9="6 dd",$D9="8 dd",$D9="12 dd",$D9="24 dd",$D9="an",$D9="zn"),VLOOKUP($D9,ber_tijden_Neo!$A$17:$Y$27,ber_tijden_Neo!Y$15,FALSE),"")</f>
        <v/>
      </c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dd",$D10="5 dd",$D10="6 dd",$D10="8 dd",$D10="12 dd",$D10="24 dd",$D10="an",$D10="zn"),VLOOKUP($D10,ber_tijden_Neo!$A$17:$Y$27,ber_tijden_Neo!B$15,FALSE),"")</f>
        <v/>
      </c>
      <c r="I10" s="611" t="str">
        <f>IF(OR($D10="1 dd",$D10="2 dd",$D10="3 dd",$D10="4 dd",$D10="5 dd",$D10="6 dd",$D10="8 dd",$D10="12 dd",$D10="24 dd",$D10="an",$D10="zn"),VLOOKUP($D10,ber_tijden_Neo!$A$17:$Y$27,ber_tijden_Neo!C$15,FALSE),"")</f>
        <v/>
      </c>
      <c r="J10" s="106" t="str">
        <f>IF(OR($D10="1 dd",$D10="2 dd",$D10="3 dd",$D10="4 dd",$D10="5 dd",$D10="6 dd",$D10="8 dd",$D10="12 dd",$D10="24 dd",$D10="an",$D10="zn"),VLOOKUP($D10,ber_tijden_Neo!$A$17:$Y$27,ber_tijden_Neo!D$15,FALSE),"")</f>
        <v/>
      </c>
      <c r="K10" s="611" t="str">
        <f>IF(OR($D10="1 dd",$D10="2 dd",$D10="3 dd",$D10="4 dd",$D10="5 dd",$D10="6 dd",$D10="8 dd",$D10="12 dd",$D10="24 dd",$D10="an",$D10="zn"),VLOOKUP($D10,ber_tijden_Neo!$A$17:$Y$27,ber_tijden_Neo!E$15,FALSE),"")</f>
        <v/>
      </c>
      <c r="L10" s="106" t="str">
        <f>IF(OR($D10="1 dd",$D10="2 dd",$D10="3 dd",$D10="4 dd",$D10="5 dd",$D10="6 dd",$D10="8 dd",$D10="12 dd",$D10="24 dd",$D10="an",$D10="zn"),VLOOKUP($D10,ber_tijden_Neo!$A$17:$Y$27,ber_tijden_Neo!F$15,FALSE),"")</f>
        <v/>
      </c>
      <c r="M10" s="611" t="str">
        <f>IF(OR($D10="1 dd",$D10="2 dd",$D10="3 dd",$D10="4 dd",$D10="5 dd",$D10="6 dd",$D10="8 dd",$D10="12 dd",$D10="24 dd",$D10="an",$D10="zn"),VLOOKUP($D10,ber_tijden_Neo!$A$17:$Y$27,ber_tijden_Neo!G$15,FALSE),"")</f>
        <v/>
      </c>
      <c r="N10" s="106" t="str">
        <f>IF(OR($D10="1 dd",$D10="2 dd",$D10="3 dd",$D10="4 dd",$D10="5 dd",$D10="6 dd",$D10="8 dd",$D10="12 dd",$D10="24 dd",$D10="an",$D10="zn"),VLOOKUP($D10,ber_tijden_Neo!$A$17:$Y$27,ber_tijden_Neo!H$15,FALSE),"")</f>
        <v/>
      </c>
      <c r="O10" s="611" t="str">
        <f>IF(OR($D10="1 dd",$D10="2 dd",$D10="3 dd",$D10="4 dd",$D10="5 dd",$D10="6 dd",$D10="8 dd",$D10="12 dd",$D10="24 dd",$D10="an",$D10="zn"),VLOOKUP($D10,ber_tijden_Neo!$A$17:$Y$27,ber_tijden_Neo!I$15,FALSE),"")</f>
        <v/>
      </c>
      <c r="P10" s="106" t="str">
        <f>IF(OR($D10="1 dd",$D10="2 dd",$D10="3 dd",$D10="4 dd",$D10="5 dd",$D10="6 dd",$D10="8 dd",$D10="12 dd",$D10="24 dd",$D10="an",$D10="zn"),VLOOKUP($D10,ber_tijden_Neo!$A$17:$Y$27,ber_tijden_Neo!J$15,FALSE),"")</f>
        <v/>
      </c>
      <c r="Q10" s="611" t="str">
        <f>IF(OR($D10="1 dd",$D10="2 dd",$D10="3 dd",$D10="4 dd",$D10="5 dd",$D10="6 dd",$D10="8 dd",$D10="12 dd",$D10="24 dd",$D10="an",$D10="zn"),VLOOKUP($D10,ber_tijden_Neo!$A$17:$Y$27,ber_tijden_Neo!K$15,FALSE),"")</f>
        <v/>
      </c>
      <c r="R10" s="106" t="str">
        <f>IF(OR($D10="1 dd",$D10="2 dd",$D10="3 dd",$D10="4 dd",$D10="5 dd",$D10="6 dd",$D10="8 dd",$D10="12 dd",$D10="24 dd",$D10="an",$D10="zn"),VLOOKUP($D10,ber_tijden_Neo!$A$17:$Y$27,ber_tijden_Neo!L$15,FALSE),"")</f>
        <v/>
      </c>
      <c r="S10" s="611" t="str">
        <f>IF(OR($D10="1 dd",$D10="2 dd",$D10="3 dd",$D10="4 dd",$D10="5 dd",$D10="6 dd",$D10="8 dd",$D10="12 dd",$D10="24 dd",$D10="an",$D10="zn"),VLOOKUP($D10,ber_tijden_Neo!$A$17:$Y$27,ber_tijden_Neo!M$15,FALSE),"")</f>
        <v/>
      </c>
      <c r="T10" s="106" t="str">
        <f>IF(OR($D10="1 dd",$D10="2 dd",$D10="3 dd",$D10="4 dd",$D10="5 dd",$D10="6 dd",$D10="8 dd",$D10="12 dd",$D10="24 dd",$D10="an",$D10="zn"),VLOOKUP($D10,ber_tijden_Neo!$A$17:$Y$27,ber_tijden_Neo!N$15,FALSE),"")</f>
        <v/>
      </c>
      <c r="U10" s="611" t="str">
        <f>IF(OR($D10="1 dd",$D10="2 dd",$D10="3 dd",$D10="4 dd",$D10="5 dd",$D10="6 dd",$D10="8 dd",$D10="12 dd",$D10="24 dd",$D10="an",$D10="zn"),VLOOKUP($D10,ber_tijden_Neo!$A$17:$Y$27,ber_tijden_Neo!O$15,FALSE),"")</f>
        <v/>
      </c>
      <c r="V10" s="106" t="str">
        <f>IF(OR($D10="1 dd",$D10="2 dd",$D10="3 dd",$D10="4 dd",$D10="5 dd",$D10="6 dd",$D10="8 dd",$D10="12 dd",$D10="24 dd",$D10="an",$D10="zn"),VLOOKUP($D10,ber_tijden_Neo!$A$17:$Y$27,ber_tijden_Neo!P$15,FALSE),"")</f>
        <v/>
      </c>
      <c r="W10" s="611" t="str">
        <f>IF(OR($D10="1 dd",$D10="2 dd",$D10="3 dd",$D10="4 dd",$D10="5 dd",$D10="6 dd",$D10="8 dd",$D10="12 dd",$D10="24 dd",$D10="an",$D10="zn"),VLOOKUP($D10,ber_tijden_Neo!$A$17:$Y$27,ber_tijden_Neo!Q$15,FALSE),"")</f>
        <v/>
      </c>
      <c r="X10" s="106" t="str">
        <f>IF(OR($D10="1 dd",$D10="2 dd",$D10="3 dd",$D10="4 dd",$D10="5 dd",$D10="6 dd",$D10="8 dd",$D10="12 dd",$D10="24 dd",$D10="an",$D10="zn"),VLOOKUP($D10,ber_tijden_Neo!$A$17:$Y$27,ber_tijden_Neo!R$15,FALSE),"")</f>
        <v/>
      </c>
      <c r="Y10" s="611" t="str">
        <f>IF(OR($D10="1 dd",$D10="2 dd",$D10="3 dd",$D10="4 dd",$D10="5 dd",$D10="6 dd",$D10="8 dd",$D10="12 dd",$D10="24 dd",$D10="an",$D10="zn"),VLOOKUP($D10,ber_tijden_Neo!$A$17:$Y$27,ber_tijden_Neo!S$15,FALSE),"")</f>
        <v/>
      </c>
      <c r="Z10" s="106" t="str">
        <f>IF(OR($D10="1 dd",$D10="2 dd",$D10="3 dd",$D10="4 dd",$D10="5 dd",$D10="6 dd",$D10="8 dd",$D10="12 dd",$D10="24 dd",$D10="an",$D10="zn"),VLOOKUP($D10,ber_tijden_Neo!$A$17:$Y$27,ber_tijden_Neo!T$15,FALSE),"")</f>
        <v/>
      </c>
      <c r="AA10" s="611" t="str">
        <f>IF(OR($D10="1 dd",$D10="2 dd",$D10="3 dd",$D10="4 dd",$D10="5 dd",$D10="6 dd",$D10="8 dd",$D10="12 dd",$D10="24 dd",$D10="an",$D10="zn"),VLOOKUP($D10,ber_tijden_Neo!$A$17:$Y$27,ber_tijden_Neo!U$15,FALSE),"")</f>
        <v/>
      </c>
      <c r="AB10" s="106" t="str">
        <f>IF(OR($D10="1 dd",$D10="2 dd",$D10="3 dd",$D10="4 dd",$D10="5 dd",$D10="6 dd",$D10="8 dd",$D10="12 dd",$D10="24 dd",$D10="an",$D10="zn"),VLOOKUP($D10,ber_tijden_Neo!$A$17:$Y$27,ber_tijden_Neo!V$15,FALSE),"")</f>
        <v/>
      </c>
      <c r="AC10" s="611" t="str">
        <f>IF(OR($D10="1 dd",$D10="2 dd",$D10="3 dd",$D10="4 dd",$D10="5 dd",$D10="6 dd",$D10="8 dd",$D10="12 dd",$D10="24 dd",$D10="an",$D10="zn"),VLOOKUP($D10,ber_tijden_Neo!$A$17:$Y$27,ber_tijden_Neo!W$15,FALSE),"")</f>
        <v/>
      </c>
      <c r="AD10" s="106" t="str">
        <f>IF(OR($D10="1 dd",$D10="2 dd",$D10="3 dd",$D10="4 dd",$D10="5 dd",$D10="6 dd",$D10="8 dd",$D10="12 dd",$D10="24 dd",$D10="an",$D10="zn"),VLOOKUP($D10,ber_tijden_Neo!$A$17:$Y$27,ber_tijden_Neo!X$15,FALSE),"")</f>
        <v/>
      </c>
      <c r="AE10" s="611" t="str">
        <f>IF(OR($D10="1 dd",$D10="2 dd",$D10="3 dd",$D10="4 dd",$D10="5 dd",$D10="6 dd",$D10="8 dd",$D10="12 dd",$D10="24 dd",$D10="an",$D10="zn"),VLOOKUP($D10,ber_tijden_Neo!$A$17:$Y$27,ber_tijden_Neo!Y$15,FALSE),"")</f>
        <v/>
      </c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dd",$D11="5 dd",$D11="6 dd",$D11="8 dd",$D11="12 dd",$D11="24 dd",$D11="an",$D11="zn"),VLOOKUP($D11,ber_tijden_Neo!$A$17:$Y$27,ber_tijden_Neo!B$15,FALSE),"")</f>
        <v/>
      </c>
      <c r="I11" s="611" t="str">
        <f>IF(OR($D11="1 dd",$D11="2 dd",$D11="3 dd",$D11="4 dd",$D11="5 dd",$D11="6 dd",$D11="8 dd",$D11="12 dd",$D11="24 dd",$D11="an",$D11="zn"),VLOOKUP($D11,ber_tijden_Neo!$A$17:$Y$27,ber_tijden_Neo!C$15,FALSE),"")</f>
        <v/>
      </c>
      <c r="J11" s="106" t="str">
        <f>IF(OR($D11="1 dd",$D11="2 dd",$D11="3 dd",$D11="4 dd",$D11="5 dd",$D11="6 dd",$D11="8 dd",$D11="12 dd",$D11="24 dd",$D11="an",$D11="zn"),VLOOKUP($D11,ber_tijden_Neo!$A$17:$Y$27,ber_tijden_Neo!D$15,FALSE),"")</f>
        <v/>
      </c>
      <c r="K11" s="611" t="str">
        <f>IF(OR($D11="1 dd",$D11="2 dd",$D11="3 dd",$D11="4 dd",$D11="5 dd",$D11="6 dd",$D11="8 dd",$D11="12 dd",$D11="24 dd",$D11="an",$D11="zn"),VLOOKUP($D11,ber_tijden_Neo!$A$17:$Y$27,ber_tijden_Neo!E$15,FALSE),"")</f>
        <v/>
      </c>
      <c r="L11" s="106" t="str">
        <f>IF(OR($D11="1 dd",$D11="2 dd",$D11="3 dd",$D11="4 dd",$D11="5 dd",$D11="6 dd",$D11="8 dd",$D11="12 dd",$D11="24 dd",$D11="an",$D11="zn"),VLOOKUP($D11,ber_tijden_Neo!$A$17:$Y$27,ber_tijden_Neo!F$15,FALSE),"")</f>
        <v/>
      </c>
      <c r="M11" s="611" t="str">
        <f>IF(OR($D11="1 dd",$D11="2 dd",$D11="3 dd",$D11="4 dd",$D11="5 dd",$D11="6 dd",$D11="8 dd",$D11="12 dd",$D11="24 dd",$D11="an",$D11="zn"),VLOOKUP($D11,ber_tijden_Neo!$A$17:$Y$27,ber_tijden_Neo!G$15,FALSE),"")</f>
        <v/>
      </c>
      <c r="N11" s="106" t="str">
        <f>IF(OR($D11="1 dd",$D11="2 dd",$D11="3 dd",$D11="4 dd",$D11="5 dd",$D11="6 dd",$D11="8 dd",$D11="12 dd",$D11="24 dd",$D11="an",$D11="zn"),VLOOKUP($D11,ber_tijden_Neo!$A$17:$Y$27,ber_tijden_Neo!H$15,FALSE),"")</f>
        <v/>
      </c>
      <c r="O11" s="611" t="str">
        <f>IF(OR($D11="1 dd",$D11="2 dd",$D11="3 dd",$D11="4 dd",$D11="5 dd",$D11="6 dd",$D11="8 dd",$D11="12 dd",$D11="24 dd",$D11="an",$D11="zn"),VLOOKUP($D11,ber_tijden_Neo!$A$17:$Y$27,ber_tijden_Neo!I$15,FALSE),"")</f>
        <v/>
      </c>
      <c r="P11" s="106" t="str">
        <f>IF(OR($D11="1 dd",$D11="2 dd",$D11="3 dd",$D11="4 dd",$D11="5 dd",$D11="6 dd",$D11="8 dd",$D11="12 dd",$D11="24 dd",$D11="an",$D11="zn"),VLOOKUP($D11,ber_tijden_Neo!$A$17:$Y$27,ber_tijden_Neo!J$15,FALSE),"")</f>
        <v/>
      </c>
      <c r="Q11" s="611" t="str">
        <f>IF(OR($D11="1 dd",$D11="2 dd",$D11="3 dd",$D11="4 dd",$D11="5 dd",$D11="6 dd",$D11="8 dd",$D11="12 dd",$D11="24 dd",$D11="an",$D11="zn"),VLOOKUP($D11,ber_tijden_Neo!$A$17:$Y$27,ber_tijden_Neo!K$15,FALSE),"")</f>
        <v/>
      </c>
      <c r="R11" s="106" t="str">
        <f>IF(OR($D11="1 dd",$D11="2 dd",$D11="3 dd",$D11="4 dd",$D11="5 dd",$D11="6 dd",$D11="8 dd",$D11="12 dd",$D11="24 dd",$D11="an",$D11="zn"),VLOOKUP($D11,ber_tijden_Neo!$A$17:$Y$27,ber_tijden_Neo!L$15,FALSE),"")</f>
        <v/>
      </c>
      <c r="S11" s="611" t="str">
        <f>IF(OR($D11="1 dd",$D11="2 dd",$D11="3 dd",$D11="4 dd",$D11="5 dd",$D11="6 dd",$D11="8 dd",$D11="12 dd",$D11="24 dd",$D11="an",$D11="zn"),VLOOKUP($D11,ber_tijden_Neo!$A$17:$Y$27,ber_tijden_Neo!M$15,FALSE),"")</f>
        <v/>
      </c>
      <c r="T11" s="106" t="str">
        <f>IF(OR($D11="1 dd",$D11="2 dd",$D11="3 dd",$D11="4 dd",$D11="5 dd",$D11="6 dd",$D11="8 dd",$D11="12 dd",$D11="24 dd",$D11="an",$D11="zn"),VLOOKUP($D11,ber_tijden_Neo!$A$17:$Y$27,ber_tijden_Neo!N$15,FALSE),"")</f>
        <v/>
      </c>
      <c r="U11" s="611" t="str">
        <f>IF(OR($D11="1 dd",$D11="2 dd",$D11="3 dd",$D11="4 dd",$D11="5 dd",$D11="6 dd",$D11="8 dd",$D11="12 dd",$D11="24 dd",$D11="an",$D11="zn"),VLOOKUP($D11,ber_tijden_Neo!$A$17:$Y$27,ber_tijden_Neo!O$15,FALSE),"")</f>
        <v/>
      </c>
      <c r="V11" s="106" t="str">
        <f>IF(OR($D11="1 dd",$D11="2 dd",$D11="3 dd",$D11="4 dd",$D11="5 dd",$D11="6 dd",$D11="8 dd",$D11="12 dd",$D11="24 dd",$D11="an",$D11="zn"),VLOOKUP($D11,ber_tijden_Neo!$A$17:$Y$27,ber_tijden_Neo!P$15,FALSE),"")</f>
        <v/>
      </c>
      <c r="W11" s="611" t="str">
        <f>IF(OR($D11="1 dd",$D11="2 dd",$D11="3 dd",$D11="4 dd",$D11="5 dd",$D11="6 dd",$D11="8 dd",$D11="12 dd",$D11="24 dd",$D11="an",$D11="zn"),VLOOKUP($D11,ber_tijden_Neo!$A$17:$Y$27,ber_tijden_Neo!Q$15,FALSE),"")</f>
        <v/>
      </c>
      <c r="X11" s="106" t="str">
        <f>IF(OR($D11="1 dd",$D11="2 dd",$D11="3 dd",$D11="4 dd",$D11="5 dd",$D11="6 dd",$D11="8 dd",$D11="12 dd",$D11="24 dd",$D11="an",$D11="zn"),VLOOKUP($D11,ber_tijden_Neo!$A$17:$Y$27,ber_tijden_Neo!R$15,FALSE),"")</f>
        <v/>
      </c>
      <c r="Y11" s="611" t="str">
        <f>IF(OR($D11="1 dd",$D11="2 dd",$D11="3 dd",$D11="4 dd",$D11="5 dd",$D11="6 dd",$D11="8 dd",$D11="12 dd",$D11="24 dd",$D11="an",$D11="zn"),VLOOKUP($D11,ber_tijden_Neo!$A$17:$Y$27,ber_tijden_Neo!S$15,FALSE),"")</f>
        <v/>
      </c>
      <c r="Z11" s="106" t="str">
        <f>IF(OR($D11="1 dd",$D11="2 dd",$D11="3 dd",$D11="4 dd",$D11="5 dd",$D11="6 dd",$D11="8 dd",$D11="12 dd",$D11="24 dd",$D11="an",$D11="zn"),VLOOKUP($D11,ber_tijden_Neo!$A$17:$Y$27,ber_tijden_Neo!T$15,FALSE),"")</f>
        <v/>
      </c>
      <c r="AA11" s="611" t="str">
        <f>IF(OR($D11="1 dd",$D11="2 dd",$D11="3 dd",$D11="4 dd",$D11="5 dd",$D11="6 dd",$D11="8 dd",$D11="12 dd",$D11="24 dd",$D11="an",$D11="zn"),VLOOKUP($D11,ber_tijden_Neo!$A$17:$Y$27,ber_tijden_Neo!U$15,FALSE),"")</f>
        <v/>
      </c>
      <c r="AB11" s="106" t="str">
        <f>IF(OR($D11="1 dd",$D11="2 dd",$D11="3 dd",$D11="4 dd",$D11="5 dd",$D11="6 dd",$D11="8 dd",$D11="12 dd",$D11="24 dd",$D11="an",$D11="zn"),VLOOKUP($D11,ber_tijden_Neo!$A$17:$Y$27,ber_tijden_Neo!V$15,FALSE),"")</f>
        <v/>
      </c>
      <c r="AC11" s="611" t="str">
        <f>IF(OR($D11="1 dd",$D11="2 dd",$D11="3 dd",$D11="4 dd",$D11="5 dd",$D11="6 dd",$D11="8 dd",$D11="12 dd",$D11="24 dd",$D11="an",$D11="zn"),VLOOKUP($D11,ber_tijden_Neo!$A$17:$Y$27,ber_tijden_Neo!W$15,FALSE),"")</f>
        <v/>
      </c>
      <c r="AD11" s="106" t="str">
        <f>IF(OR($D11="1 dd",$D11="2 dd",$D11="3 dd",$D11="4 dd",$D11="5 dd",$D11="6 dd",$D11="8 dd",$D11="12 dd",$D11="24 dd",$D11="an",$D11="zn"),VLOOKUP($D11,ber_tijden_Neo!$A$17:$Y$27,ber_tijden_Neo!X$15,FALSE),"")</f>
        <v/>
      </c>
      <c r="AE11" s="611" t="str">
        <f>IF(OR($D11="1 dd",$D11="2 dd",$D11="3 dd",$D11="4 dd",$D11="5 dd",$D11="6 dd",$D11="8 dd",$D11="12 dd",$D11="24 dd",$D11="an",$D11="zn"),VLOOKUP($D11,ber_tijden_Neo!$A$17:$Y$27,ber_tijden_Neo!Y$15,FALSE),"")</f>
        <v/>
      </c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dd",$D12="5 dd",$D12="6 dd",$D12="8 dd",$D12="12 dd",$D12="24 dd",$D12="an",$D12="zn"),VLOOKUP($D12,ber_tijden_Neo!$A$17:$Y$27,ber_tijden_Neo!B$15,FALSE),"")</f>
        <v/>
      </c>
      <c r="I12" s="611" t="str">
        <f>IF(OR($D12="1 dd",$D12="2 dd",$D12="3 dd",$D12="4 dd",$D12="5 dd",$D12="6 dd",$D12="8 dd",$D12="12 dd",$D12="24 dd",$D12="an",$D12="zn"),VLOOKUP($D12,ber_tijden_Neo!$A$17:$Y$27,ber_tijden_Neo!C$15,FALSE),"")</f>
        <v/>
      </c>
      <c r="J12" s="106" t="str">
        <f>IF(OR($D12="1 dd",$D12="2 dd",$D12="3 dd",$D12="4 dd",$D12="5 dd",$D12="6 dd",$D12="8 dd",$D12="12 dd",$D12="24 dd",$D12="an",$D12="zn"),VLOOKUP($D12,ber_tijden_Neo!$A$17:$Y$27,ber_tijden_Neo!D$15,FALSE),"")</f>
        <v/>
      </c>
      <c r="K12" s="611" t="str">
        <f>IF(OR($D12="1 dd",$D12="2 dd",$D12="3 dd",$D12="4 dd",$D12="5 dd",$D12="6 dd",$D12="8 dd",$D12="12 dd",$D12="24 dd",$D12="an",$D12="zn"),VLOOKUP($D12,ber_tijden_Neo!$A$17:$Y$27,ber_tijden_Neo!E$15,FALSE),"")</f>
        <v/>
      </c>
      <c r="L12" s="106" t="str">
        <f>IF(OR($D12="1 dd",$D12="2 dd",$D12="3 dd",$D12="4 dd",$D12="5 dd",$D12="6 dd",$D12="8 dd",$D12="12 dd",$D12="24 dd",$D12="an",$D12="zn"),VLOOKUP($D12,ber_tijden_Neo!$A$17:$Y$27,ber_tijden_Neo!F$15,FALSE),"")</f>
        <v/>
      </c>
      <c r="M12" s="611" t="str">
        <f>IF(OR($D12="1 dd",$D12="2 dd",$D12="3 dd",$D12="4 dd",$D12="5 dd",$D12="6 dd",$D12="8 dd",$D12="12 dd",$D12="24 dd",$D12="an",$D12="zn"),VLOOKUP($D12,ber_tijden_Neo!$A$17:$Y$27,ber_tijden_Neo!G$15,FALSE),"")</f>
        <v/>
      </c>
      <c r="N12" s="106" t="str">
        <f>IF(OR($D12="1 dd",$D12="2 dd",$D12="3 dd",$D12="4 dd",$D12="5 dd",$D12="6 dd",$D12="8 dd",$D12="12 dd",$D12="24 dd",$D12="an",$D12="zn"),VLOOKUP($D12,ber_tijden_Neo!$A$17:$Y$27,ber_tijden_Neo!H$15,FALSE),"")</f>
        <v/>
      </c>
      <c r="O12" s="611" t="str">
        <f>IF(OR($D12="1 dd",$D12="2 dd",$D12="3 dd",$D12="4 dd",$D12="5 dd",$D12="6 dd",$D12="8 dd",$D12="12 dd",$D12="24 dd",$D12="an",$D12="zn"),VLOOKUP($D12,ber_tijden_Neo!$A$17:$Y$27,ber_tijden_Neo!I$15,FALSE),"")</f>
        <v/>
      </c>
      <c r="P12" s="106" t="str">
        <f>IF(OR($D12="1 dd",$D12="2 dd",$D12="3 dd",$D12="4 dd",$D12="5 dd",$D12="6 dd",$D12="8 dd",$D12="12 dd",$D12="24 dd",$D12="an",$D12="zn"),VLOOKUP($D12,ber_tijden_Neo!$A$17:$Y$27,ber_tijden_Neo!J$15,FALSE),"")</f>
        <v/>
      </c>
      <c r="Q12" s="611" t="str">
        <f>IF(OR($D12="1 dd",$D12="2 dd",$D12="3 dd",$D12="4 dd",$D12="5 dd",$D12="6 dd",$D12="8 dd",$D12="12 dd",$D12="24 dd",$D12="an",$D12="zn"),VLOOKUP($D12,ber_tijden_Neo!$A$17:$Y$27,ber_tijden_Neo!K$15,FALSE),"")</f>
        <v/>
      </c>
      <c r="R12" s="106" t="str">
        <f>IF(OR($D12="1 dd",$D12="2 dd",$D12="3 dd",$D12="4 dd",$D12="5 dd",$D12="6 dd",$D12="8 dd",$D12="12 dd",$D12="24 dd",$D12="an",$D12="zn"),VLOOKUP($D12,ber_tijden_Neo!$A$17:$Y$27,ber_tijden_Neo!L$15,FALSE),"")</f>
        <v/>
      </c>
      <c r="S12" s="611" t="str">
        <f>IF(OR($D12="1 dd",$D12="2 dd",$D12="3 dd",$D12="4 dd",$D12="5 dd",$D12="6 dd",$D12="8 dd",$D12="12 dd",$D12="24 dd",$D12="an",$D12="zn"),VLOOKUP($D12,ber_tijden_Neo!$A$17:$Y$27,ber_tijden_Neo!M$15,FALSE),"")</f>
        <v/>
      </c>
      <c r="T12" s="106" t="str">
        <f>IF(OR($D12="1 dd",$D12="2 dd",$D12="3 dd",$D12="4 dd",$D12="5 dd",$D12="6 dd",$D12="8 dd",$D12="12 dd",$D12="24 dd",$D12="an",$D12="zn"),VLOOKUP($D12,ber_tijden_Neo!$A$17:$Y$27,ber_tijden_Neo!N$15,FALSE),"")</f>
        <v/>
      </c>
      <c r="U12" s="611" t="str">
        <f>IF(OR($D12="1 dd",$D12="2 dd",$D12="3 dd",$D12="4 dd",$D12="5 dd",$D12="6 dd",$D12="8 dd",$D12="12 dd",$D12="24 dd",$D12="an",$D12="zn"),VLOOKUP($D12,ber_tijden_Neo!$A$17:$Y$27,ber_tijden_Neo!O$15,FALSE),"")</f>
        <v/>
      </c>
      <c r="V12" s="106" t="str">
        <f>IF(OR($D12="1 dd",$D12="2 dd",$D12="3 dd",$D12="4 dd",$D12="5 dd",$D12="6 dd",$D12="8 dd",$D12="12 dd",$D12="24 dd",$D12="an",$D12="zn"),VLOOKUP($D12,ber_tijden_Neo!$A$17:$Y$27,ber_tijden_Neo!P$15,FALSE),"")</f>
        <v/>
      </c>
      <c r="W12" s="611" t="str">
        <f>IF(OR($D12="1 dd",$D12="2 dd",$D12="3 dd",$D12="4 dd",$D12="5 dd",$D12="6 dd",$D12="8 dd",$D12="12 dd",$D12="24 dd",$D12="an",$D12="zn"),VLOOKUP($D12,ber_tijden_Neo!$A$17:$Y$27,ber_tijden_Neo!Q$15,FALSE),"")</f>
        <v/>
      </c>
      <c r="X12" s="106" t="str">
        <f>IF(OR($D12="1 dd",$D12="2 dd",$D12="3 dd",$D12="4 dd",$D12="5 dd",$D12="6 dd",$D12="8 dd",$D12="12 dd",$D12="24 dd",$D12="an",$D12="zn"),VLOOKUP($D12,ber_tijden_Neo!$A$17:$Y$27,ber_tijden_Neo!R$15,FALSE),"")</f>
        <v/>
      </c>
      <c r="Y12" s="611" t="str">
        <f>IF(OR($D12="1 dd",$D12="2 dd",$D12="3 dd",$D12="4 dd",$D12="5 dd",$D12="6 dd",$D12="8 dd",$D12="12 dd",$D12="24 dd",$D12="an",$D12="zn"),VLOOKUP($D12,ber_tijden_Neo!$A$17:$Y$27,ber_tijden_Neo!S$15,FALSE),"")</f>
        <v/>
      </c>
      <c r="Z12" s="106" t="str">
        <f>IF(OR($D12="1 dd",$D12="2 dd",$D12="3 dd",$D12="4 dd",$D12="5 dd",$D12="6 dd",$D12="8 dd",$D12="12 dd",$D12="24 dd",$D12="an",$D12="zn"),VLOOKUP($D12,ber_tijden_Neo!$A$17:$Y$27,ber_tijden_Neo!T$15,FALSE),"")</f>
        <v/>
      </c>
      <c r="AA12" s="611" t="str">
        <f>IF(OR($D12="1 dd",$D12="2 dd",$D12="3 dd",$D12="4 dd",$D12="5 dd",$D12="6 dd",$D12="8 dd",$D12="12 dd",$D12="24 dd",$D12="an",$D12="zn"),VLOOKUP($D12,ber_tijden_Neo!$A$17:$Y$27,ber_tijden_Neo!U$15,FALSE),"")</f>
        <v/>
      </c>
      <c r="AB12" s="106" t="str">
        <f>IF(OR($D12="1 dd",$D12="2 dd",$D12="3 dd",$D12="4 dd",$D12="5 dd",$D12="6 dd",$D12="8 dd",$D12="12 dd",$D12="24 dd",$D12="an",$D12="zn"),VLOOKUP($D12,ber_tijden_Neo!$A$17:$Y$27,ber_tijden_Neo!V$15,FALSE),"")</f>
        <v/>
      </c>
      <c r="AC12" s="611" t="str">
        <f>IF(OR($D12="1 dd",$D12="2 dd",$D12="3 dd",$D12="4 dd",$D12="5 dd",$D12="6 dd",$D12="8 dd",$D12="12 dd",$D12="24 dd",$D12="an",$D12="zn"),VLOOKUP($D12,ber_tijden_Neo!$A$17:$Y$27,ber_tijden_Neo!W$15,FALSE),"")</f>
        <v/>
      </c>
      <c r="AD12" s="106" t="str">
        <f>IF(OR($D12="1 dd",$D12="2 dd",$D12="3 dd",$D12="4 dd",$D12="5 dd",$D12="6 dd",$D12="8 dd",$D12="12 dd",$D12="24 dd",$D12="an",$D12="zn"),VLOOKUP($D12,ber_tijden_Neo!$A$17:$Y$27,ber_tijden_Neo!X$15,FALSE),"")</f>
        <v/>
      </c>
      <c r="AE12" s="611" t="str">
        <f>IF(OR($D12="1 dd",$D12="2 dd",$D12="3 dd",$D12="4 dd",$D12="5 dd",$D12="6 dd",$D12="8 dd",$D12="12 dd",$D12="24 dd",$D12="an",$D12="zn"),VLOOKUP($D12,ber_tijden_Neo!$A$17:$Y$27,ber_tijden_Neo!Y$15,FALSE),"")</f>
        <v/>
      </c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dd",$D13="5 dd",$D13="6 dd",$D13="8 dd",$D13="12 dd",$D13="24 dd",$D13="an",$D13="zn"),VLOOKUP($D13,ber_tijden_Neo!$A$17:$Y$27,ber_tijden_Neo!B$15,FALSE),"")</f>
        <v/>
      </c>
      <c r="I13" s="611" t="str">
        <f>IF(OR($D13="1 dd",$D13="2 dd",$D13="3 dd",$D13="4 dd",$D13="5 dd",$D13="6 dd",$D13="8 dd",$D13="12 dd",$D13="24 dd",$D13="an",$D13="zn"),VLOOKUP($D13,ber_tijden_Neo!$A$17:$Y$27,ber_tijden_Neo!C$15,FALSE),"")</f>
        <v/>
      </c>
      <c r="J13" s="106" t="str">
        <f>IF(OR($D13="1 dd",$D13="2 dd",$D13="3 dd",$D13="4 dd",$D13="5 dd",$D13="6 dd",$D13="8 dd",$D13="12 dd",$D13="24 dd",$D13="an",$D13="zn"),VLOOKUP($D13,ber_tijden_Neo!$A$17:$Y$27,ber_tijden_Neo!D$15,FALSE),"")</f>
        <v/>
      </c>
      <c r="K13" s="611" t="str">
        <f>IF(OR($D13="1 dd",$D13="2 dd",$D13="3 dd",$D13="4 dd",$D13="5 dd",$D13="6 dd",$D13="8 dd",$D13="12 dd",$D13="24 dd",$D13="an",$D13="zn"),VLOOKUP($D13,ber_tijden_Neo!$A$17:$Y$27,ber_tijden_Neo!E$15,FALSE),"")</f>
        <v/>
      </c>
      <c r="L13" s="106" t="str">
        <f>IF(OR($D13="1 dd",$D13="2 dd",$D13="3 dd",$D13="4 dd",$D13="5 dd",$D13="6 dd",$D13="8 dd",$D13="12 dd",$D13="24 dd",$D13="an",$D13="zn"),VLOOKUP($D13,ber_tijden_Neo!$A$17:$Y$27,ber_tijden_Neo!F$15,FALSE),"")</f>
        <v/>
      </c>
      <c r="M13" s="611" t="str">
        <f>IF(OR($D13="1 dd",$D13="2 dd",$D13="3 dd",$D13="4 dd",$D13="5 dd",$D13="6 dd",$D13="8 dd",$D13="12 dd",$D13="24 dd",$D13="an",$D13="zn"),VLOOKUP($D13,ber_tijden_Neo!$A$17:$Y$27,ber_tijden_Neo!G$15,FALSE),"")</f>
        <v/>
      </c>
      <c r="N13" s="106" t="str">
        <f>IF(OR($D13="1 dd",$D13="2 dd",$D13="3 dd",$D13="4 dd",$D13="5 dd",$D13="6 dd",$D13="8 dd",$D13="12 dd",$D13="24 dd",$D13="an",$D13="zn"),VLOOKUP($D13,ber_tijden_Neo!$A$17:$Y$27,ber_tijden_Neo!H$15,FALSE),"")</f>
        <v/>
      </c>
      <c r="O13" s="611" t="str">
        <f>IF(OR($D13="1 dd",$D13="2 dd",$D13="3 dd",$D13="4 dd",$D13="5 dd",$D13="6 dd",$D13="8 dd",$D13="12 dd",$D13="24 dd",$D13="an",$D13="zn"),VLOOKUP($D13,ber_tijden_Neo!$A$17:$Y$27,ber_tijden_Neo!I$15,FALSE),"")</f>
        <v/>
      </c>
      <c r="P13" s="106" t="str">
        <f>IF(OR($D13="1 dd",$D13="2 dd",$D13="3 dd",$D13="4 dd",$D13="5 dd",$D13="6 dd",$D13="8 dd",$D13="12 dd",$D13="24 dd",$D13="an",$D13="zn"),VLOOKUP($D13,ber_tijden_Neo!$A$17:$Y$27,ber_tijden_Neo!J$15,FALSE),"")</f>
        <v/>
      </c>
      <c r="Q13" s="611" t="str">
        <f>IF(OR($D13="1 dd",$D13="2 dd",$D13="3 dd",$D13="4 dd",$D13="5 dd",$D13="6 dd",$D13="8 dd",$D13="12 dd",$D13="24 dd",$D13="an",$D13="zn"),VLOOKUP($D13,ber_tijden_Neo!$A$17:$Y$27,ber_tijden_Neo!K$15,FALSE),"")</f>
        <v/>
      </c>
      <c r="R13" s="106" t="str">
        <f>IF(OR($D13="1 dd",$D13="2 dd",$D13="3 dd",$D13="4 dd",$D13="5 dd",$D13="6 dd",$D13="8 dd",$D13="12 dd",$D13="24 dd",$D13="an",$D13="zn"),VLOOKUP($D13,ber_tijden_Neo!$A$17:$Y$27,ber_tijden_Neo!L$15,FALSE),"")</f>
        <v/>
      </c>
      <c r="S13" s="611" t="str">
        <f>IF(OR($D13="1 dd",$D13="2 dd",$D13="3 dd",$D13="4 dd",$D13="5 dd",$D13="6 dd",$D13="8 dd",$D13="12 dd",$D13="24 dd",$D13="an",$D13="zn"),VLOOKUP($D13,ber_tijden_Neo!$A$17:$Y$27,ber_tijden_Neo!M$15,FALSE),"")</f>
        <v/>
      </c>
      <c r="T13" s="106" t="str">
        <f>IF(OR($D13="1 dd",$D13="2 dd",$D13="3 dd",$D13="4 dd",$D13="5 dd",$D13="6 dd",$D13="8 dd",$D13="12 dd",$D13="24 dd",$D13="an",$D13="zn"),VLOOKUP($D13,ber_tijden_Neo!$A$17:$Y$27,ber_tijden_Neo!N$15,FALSE),"")</f>
        <v/>
      </c>
      <c r="U13" s="611" t="str">
        <f>IF(OR($D13="1 dd",$D13="2 dd",$D13="3 dd",$D13="4 dd",$D13="5 dd",$D13="6 dd",$D13="8 dd",$D13="12 dd",$D13="24 dd",$D13="an",$D13="zn"),VLOOKUP($D13,ber_tijden_Neo!$A$17:$Y$27,ber_tijden_Neo!O$15,FALSE),"")</f>
        <v/>
      </c>
      <c r="V13" s="106" t="str">
        <f>IF(OR($D13="1 dd",$D13="2 dd",$D13="3 dd",$D13="4 dd",$D13="5 dd",$D13="6 dd",$D13="8 dd",$D13="12 dd",$D13="24 dd",$D13="an",$D13="zn"),VLOOKUP($D13,ber_tijden_Neo!$A$17:$Y$27,ber_tijden_Neo!P$15,FALSE),"")</f>
        <v/>
      </c>
      <c r="W13" s="611" t="str">
        <f>IF(OR($D13="1 dd",$D13="2 dd",$D13="3 dd",$D13="4 dd",$D13="5 dd",$D13="6 dd",$D13="8 dd",$D13="12 dd",$D13="24 dd",$D13="an",$D13="zn"),VLOOKUP($D13,ber_tijden_Neo!$A$17:$Y$27,ber_tijden_Neo!Q$15,FALSE),"")</f>
        <v/>
      </c>
      <c r="X13" s="106" t="str">
        <f>IF(OR($D13="1 dd",$D13="2 dd",$D13="3 dd",$D13="4 dd",$D13="5 dd",$D13="6 dd",$D13="8 dd",$D13="12 dd",$D13="24 dd",$D13="an",$D13="zn"),VLOOKUP($D13,ber_tijden_Neo!$A$17:$Y$27,ber_tijden_Neo!R$15,FALSE),"")</f>
        <v/>
      </c>
      <c r="Y13" s="611" t="str">
        <f>IF(OR($D13="1 dd",$D13="2 dd",$D13="3 dd",$D13="4 dd",$D13="5 dd",$D13="6 dd",$D13="8 dd",$D13="12 dd",$D13="24 dd",$D13="an",$D13="zn"),VLOOKUP($D13,ber_tijden_Neo!$A$17:$Y$27,ber_tijden_Neo!S$15,FALSE),"")</f>
        <v/>
      </c>
      <c r="Z13" s="106" t="str">
        <f>IF(OR($D13="1 dd",$D13="2 dd",$D13="3 dd",$D13="4 dd",$D13="5 dd",$D13="6 dd",$D13="8 dd",$D13="12 dd",$D13="24 dd",$D13="an",$D13="zn"),VLOOKUP($D13,ber_tijden_Neo!$A$17:$Y$27,ber_tijden_Neo!T$15,FALSE),"")</f>
        <v/>
      </c>
      <c r="AA13" s="611" t="str">
        <f>IF(OR($D13="1 dd",$D13="2 dd",$D13="3 dd",$D13="4 dd",$D13="5 dd",$D13="6 dd",$D13="8 dd",$D13="12 dd",$D13="24 dd",$D13="an",$D13="zn"),VLOOKUP($D13,ber_tijden_Neo!$A$17:$Y$27,ber_tijden_Neo!U$15,FALSE),"")</f>
        <v/>
      </c>
      <c r="AB13" s="106" t="str">
        <f>IF(OR($D13="1 dd",$D13="2 dd",$D13="3 dd",$D13="4 dd",$D13="5 dd",$D13="6 dd",$D13="8 dd",$D13="12 dd",$D13="24 dd",$D13="an",$D13="zn"),VLOOKUP($D13,ber_tijden_Neo!$A$17:$Y$27,ber_tijden_Neo!V$15,FALSE),"")</f>
        <v/>
      </c>
      <c r="AC13" s="611" t="str">
        <f>IF(OR($D13="1 dd",$D13="2 dd",$D13="3 dd",$D13="4 dd",$D13="5 dd",$D13="6 dd",$D13="8 dd",$D13="12 dd",$D13="24 dd",$D13="an",$D13="zn"),VLOOKUP($D13,ber_tijden_Neo!$A$17:$Y$27,ber_tijden_Neo!W$15,FALSE),"")</f>
        <v/>
      </c>
      <c r="AD13" s="106" t="str">
        <f>IF(OR($D13="1 dd",$D13="2 dd",$D13="3 dd",$D13="4 dd",$D13="5 dd",$D13="6 dd",$D13="8 dd",$D13="12 dd",$D13="24 dd",$D13="an",$D13="zn"),VLOOKUP($D13,ber_tijden_Neo!$A$17:$Y$27,ber_tijden_Neo!X$15,FALSE),"")</f>
        <v/>
      </c>
      <c r="AE13" s="611" t="str">
        <f>IF(OR($D13="1 dd",$D13="2 dd",$D13="3 dd",$D13="4 dd",$D13="5 dd",$D13="6 dd",$D13="8 dd",$D13="12 dd",$D13="24 dd",$D13="an",$D13="zn"),VLOOKUP($D13,ber_tijden_Neo!$A$17:$Y$27,ber_tijden_Neo!Y$15,FALSE),"")</f>
        <v/>
      </c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Neo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0.46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CONCATENATE(ber_AanvullendeAfsprakenNeo!$B$12,"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CONCATENATE(ber_AanvullendeAfsprakenNeo!$K$17," dd")</f>
        <v xml:space="preserve"> dd</v>
      </c>
      <c r="K17" s="548" t="str">
        <f>CONCATENATE(ber_AanvullendeAfsprakenNeo!$L$17,"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CONCATENATE(ber_AanvullendeAfsprakenNeo!C27,"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ber_AanvullendeAfsprakenNeo!D47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qUmKZMLY9kexIji8RD+3WdXXWUIhaA3gQO6iZ2za+mnNpk7sC0WNLb6P7pTkULL1/EAcc3QI50aLBIOnGysnaw==" saltValue="NwVaAxR1ig4DxoStyzo5RQ==" spinCount="10000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Neo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PxoXZHTX0iGuoUon7jYgjUQam8RzgKSmdJxJ/8NpqXKePHAkqWc96EN9XYCwMFaTmvXgCK3/SJWGZwDpggme5g==" saltValue="Eirjcfagrv+gRceoiWMKuw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Neo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Neo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3.5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19.2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0.1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0.144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0.72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0.2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2.25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0.6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KqvaFboy8UqYakXuaP0HJC8XJUm6IKGL8t4MslN5ny9YQxJ6g+aVOql6EzFnlULS85MIsWfbHgr0OOa/LzQQZw==" saltValue="GCvX3PO73yxSjgKzpirTXg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42722</v>
      </c>
      <c r="N1" s="949"/>
      <c r="O1" s="273">
        <f ca="1">NOW()</f>
        <v>42722.605261342593</v>
      </c>
      <c r="P1" s="273"/>
    </row>
    <row r="2" spans="1:17" ht="6.8" customHeight="1" x14ac:dyDescent="0.35"/>
    <row r="3" spans="1:17" ht="13.2" x14ac:dyDescent="0.4">
      <c r="B3" s="274" t="str">
        <f>Afspraken1700!B10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Afspraken1700!B11</f>
        <v>Afdeling Neonatologie (IC-HC-MC)</v>
      </c>
      <c r="J4" s="271" t="str">
        <f>Afspraken1700!G11</f>
        <v>Naam:</v>
      </c>
      <c r="M4" s="276" t="str">
        <f>Afspraken1700!I11</f>
        <v>Achternaam,  Voornaam</v>
      </c>
      <c r="N4" s="277"/>
      <c r="O4" s="275"/>
    </row>
    <row r="5" spans="1:17" ht="13.2" x14ac:dyDescent="0.4">
      <c r="B5" s="274" t="str">
        <f>Afspraken1700!B12</f>
        <v>Divisie Obstetrie Neonatologie en Gynaecologie</v>
      </c>
      <c r="J5" s="271" t="str">
        <f>Afspraken1700!G12</f>
        <v>Geboortedatum:</v>
      </c>
      <c r="M5" s="951">
        <f>Afspraken1700!I12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353 dag(-en)</v>
      </c>
      <c r="N6" s="279" t="s">
        <v>1007</v>
      </c>
      <c r="O6" s="279" t="str">
        <f>Afspraken1700!H13&amp;" weken en "&amp;Afspraken1700!J13&amp;"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Afspraken1700!B14</f>
        <v>Datum:</v>
      </c>
      <c r="D9" s="952">
        <f>Afspraken1700!C14</f>
        <v>42370</v>
      </c>
      <c r="E9" s="952"/>
      <c r="F9" s="949"/>
      <c r="I9" s="271" t="str">
        <f>Afspraken1700!G16</f>
        <v>Gewicht:</v>
      </c>
      <c r="K9" s="271" t="str">
        <f>Afspraken1700!H16</f>
        <v>10 kg</v>
      </c>
      <c r="P9" s="283" t="s">
        <v>1009</v>
      </c>
      <c r="Q9" s="284"/>
    </row>
    <row r="10" spans="1:17" x14ac:dyDescent="0.35">
      <c r="B10" s="271" t="str">
        <f>Afspraken1700!B15</f>
        <v>Bed:</v>
      </c>
      <c r="F10" s="271">
        <f>_Arts</f>
        <v>0</v>
      </c>
      <c r="I10" s="953" t="str">
        <f ca="1">"Leeftijd: "&amp;Afspraken1700!$H$15</f>
        <v>Leeftijd: 80 weken en 2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Afspraken1700!B18</f>
        <v>Totale vochtintake</v>
      </c>
      <c r="C13" s="279"/>
      <c r="D13" s="279"/>
      <c r="E13" s="279"/>
      <c r="F13" s="286">
        <f ca="1">Afspraken1700!E18</f>
        <v>0</v>
      </c>
      <c r="G13" s="279" t="str">
        <f>Afspraken1700!F18</f>
        <v>ml/ kg/ 24 uur</v>
      </c>
      <c r="H13" s="279"/>
      <c r="I13" s="279"/>
      <c r="J13" s="271" t="str">
        <f ca="1">"= "&amp;Berekeningen1700!L47&amp;"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Afspraken1700!H21</f>
        <v>Voeding:</v>
      </c>
      <c r="E16" s="271">
        <f>INDEX(Pos,Berekeningen1700!D14,1)</f>
        <v>0</v>
      </c>
      <c r="I16" s="271" t="str">
        <f>IF(OR(J16&lt;&gt;0,J17&lt;&gt;0,J18&lt;&gt;0,J19&lt;&gt;0,J20&lt;&gt;0),"met","")</f>
        <v>met</v>
      </c>
      <c r="J16" s="271" t="str">
        <f>IF(Berekeningen1700!L52=0,"","BMF in MM")</f>
        <v/>
      </c>
      <c r="M16" s="277">
        <f>IF(J16&lt;&gt;0,Berekeningen1700!L52,0)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Afspraken1700!D21</f>
        <v>Hoeveelheid:</v>
      </c>
      <c r="E17" s="276" t="str">
        <f>Afspraken1700!$E$21</f>
        <v/>
      </c>
      <c r="F17" s="271" t="str">
        <f>Afspraken1700!F21</f>
        <v>maal</v>
      </c>
      <c r="G17" s="277" t="str">
        <f>Afspraken1700!G21</f>
        <v/>
      </c>
      <c r="J17" s="271">
        <f>INDEX(lijstToevoegingenMMPrint,Berekeningen1700!B53,1)</f>
        <v>0</v>
      </c>
      <c r="M17" s="277">
        <f>IF(J17&lt;&gt;0,Berekeningen1700!L53,0)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IF(Afspraken1700!G22&lt;&gt;"0 ml",Afspraken1700!$E$22,"")</f>
        <v/>
      </c>
      <c r="F18" s="271" t="str">
        <f>IF(Afspraken1700!G22&lt;&gt;"0 ml",Afspraken1700!F22,"")</f>
        <v>maal</v>
      </c>
      <c r="G18" s="277" t="str">
        <f>IF(Afspraken1700!G22&lt;&gt;"0 ml",Afspraken1700!G22,"")</f>
        <v/>
      </c>
      <c r="J18" s="271">
        <f>INDEX(lijstToevoegingenMMPrint,Berekeningen1700!B54,1)</f>
        <v>0</v>
      </c>
      <c r="M18" s="277">
        <f>IF(J18&lt;&gt;0,Berekeningen1700!L54,0)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INDEX(lijstToevoegingenMMPrint,Berekeningen1700!B55,1)</f>
        <v>0</v>
      </c>
      <c r="M19" s="277">
        <f>IF(J19&lt;&gt;0,Berekeningen1700!L55,0)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INDEX(lijstToevoegingenMMPrint,Berekeningen1700!B56,1)</f>
        <v>0</v>
      </c>
      <c r="K20" s="279"/>
      <c r="L20" s="289"/>
      <c r="M20" s="277">
        <f>IF(J20&lt;&gt;0,Berekeningen1700!L56,0)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INDEX(lijstToevoegingenKVPrint,Berekeningen1700!B58,1)</f>
        <v>0</v>
      </c>
      <c r="M23" s="277">
        <f>IF(J23&lt;&gt;0,Berekeningen1700!L58,0)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INDEX(lijstToevoegingenKVPrint,Berekeningen1700!B59,1)</f>
        <v>0</v>
      </c>
      <c r="M24" s="277">
        <f>IF(J24&lt;&gt;0,Berekeningen1700!L59,0)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INDEX(lijstToevoegingenKVPrint,Berekeningen1700!B60,1)</f>
        <v>0</v>
      </c>
      <c r="M25" s="277">
        <f>IF(J25&lt;&gt;0,Berekeningen1700!L60,0)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INDEX(lijstToevoegingenKVPrint,Berekeningen1700!B61,1)</f>
        <v>0</v>
      </c>
      <c r="M26" s="277">
        <f>IF(J26&lt;&gt;0,Berekeningen1700!L61,0)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IF(Berekeningen1700!K14=1,"De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Afspraken1700!B28</f>
        <v>Infuus/parenterale voeding:</v>
      </c>
      <c r="G30" s="277">
        <f ca="1">Afspraken1700!E28</f>
        <v>0</v>
      </c>
      <c r="H30" s="271" t="str">
        <f>Afspraken1700!F28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IF(_ArtLijn&gt;0,Afspraken1700!B30,"")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IF(Afspraken1700!G30&lt;&gt; "0 ml/uur",Afspraken1700!G30,"")</f>
        <v/>
      </c>
      <c r="L32" s="294"/>
      <c r="M32" s="294"/>
      <c r="N32" s="294"/>
      <c r="O32" s="296"/>
      <c r="P32" s="297" t="str">
        <f>IF(B32="","",IF(Berekeningen1700!K18,"ja","nee"))</f>
        <v/>
      </c>
      <c r="Q32" s="298"/>
    </row>
    <row r="33" spans="1:17" ht="15.95" customHeight="1" x14ac:dyDescent="0.4">
      <c r="A33" s="271">
        <v>2</v>
      </c>
      <c r="B33" s="299">
        <f>INDEX(Medicamenten,Berekeningen1700!B20,1)</f>
        <v>0</v>
      </c>
      <c r="C33" s="294"/>
      <c r="D33" s="299"/>
      <c r="E33" s="300" t="str">
        <f>Afspraken1700!C32</f>
        <v/>
      </c>
      <c r="F33" s="299"/>
      <c r="G33" s="301" t="str">
        <f>Afspraken1700!D32</f>
        <v/>
      </c>
      <c r="H33" s="299"/>
      <c r="I33" s="302">
        <f>INDEX(Opl,Berekeningen1700!E20,1)</f>
        <v>0</v>
      </c>
      <c r="J33" s="299"/>
      <c r="K33" s="300" t="str">
        <f>Afspraken1700!G32</f>
        <v/>
      </c>
      <c r="L33" s="299"/>
      <c r="M33" s="303" t="str">
        <f>Afspraken1700!H32</f>
        <v/>
      </c>
      <c r="N33" s="304">
        <f>INDEX(Dos,Berekeningen1700!H20,1)</f>
        <v>0</v>
      </c>
      <c r="O33" s="305"/>
      <c r="P33" s="302" t="str">
        <f>IF(B33&lt;&gt;0,IF(Berekeningen1700!K20,"ja","nee"),"")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INDEX(Medicamenten,Berekeningen1700!B21,1)</f>
        <v>0</v>
      </c>
      <c r="C34" s="294"/>
      <c r="D34" s="299"/>
      <c r="E34" s="300" t="str">
        <f>Afspraken1700!C33</f>
        <v/>
      </c>
      <c r="F34" s="299"/>
      <c r="G34" s="301" t="str">
        <f>Afspraken1700!D33</f>
        <v/>
      </c>
      <c r="H34" s="299"/>
      <c r="I34" s="302">
        <f>INDEX(Opl,Berekeningen1700!E21,1)</f>
        <v>0</v>
      </c>
      <c r="J34" s="299"/>
      <c r="K34" s="300" t="str">
        <f>Afspraken1700!G33</f>
        <v/>
      </c>
      <c r="L34" s="299"/>
      <c r="M34" s="303" t="str">
        <f>Afspraken1700!H33</f>
        <v/>
      </c>
      <c r="N34" s="304">
        <f>INDEX(Dos,Berekeningen1700!H21,1)</f>
        <v>0</v>
      </c>
      <c r="O34" s="305"/>
      <c r="P34" s="302" t="str">
        <f>IF(B34&lt;&gt;0,IF(Berekeningen1700!K21,"ja","nee"),"")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INDEX(Medicamenten,Berekeningen1700!B22,1)</f>
        <v>0</v>
      </c>
      <c r="C35" s="294"/>
      <c r="D35" s="299"/>
      <c r="E35" s="300" t="str">
        <f>Afspraken1700!C34</f>
        <v/>
      </c>
      <c r="F35" s="299"/>
      <c r="G35" s="301" t="str">
        <f>Afspraken1700!D34</f>
        <v/>
      </c>
      <c r="H35" s="299"/>
      <c r="I35" s="302">
        <f>INDEX(Opl,Berekeningen1700!E22,1)</f>
        <v>0</v>
      </c>
      <c r="J35" s="299"/>
      <c r="K35" s="300" t="str">
        <f>Afspraken1700!G34</f>
        <v/>
      </c>
      <c r="L35" s="299"/>
      <c r="M35" s="303" t="str">
        <f>Afspraken1700!H34</f>
        <v/>
      </c>
      <c r="N35" s="304">
        <f>INDEX(Dos,Berekeningen1700!H22,1)</f>
        <v>0</v>
      </c>
      <c r="O35" s="305"/>
      <c r="P35" s="302" t="str">
        <f>IF(B35&lt;&gt;0,IF(Berekeningen1700!K22,"ja","nee"),"")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INDEX(Medicamenten,Berekeningen1700!B23,1)</f>
        <v>0</v>
      </c>
      <c r="C36" s="294"/>
      <c r="D36" s="299"/>
      <c r="E36" s="300" t="str">
        <f>Afspraken1700!C35</f>
        <v/>
      </c>
      <c r="F36" s="299"/>
      <c r="G36" s="301" t="str">
        <f>Afspraken1700!D35</f>
        <v/>
      </c>
      <c r="H36" s="299"/>
      <c r="I36" s="302">
        <f>INDEX(Opl,Berekeningen1700!E23,1)</f>
        <v>0</v>
      </c>
      <c r="J36" s="299"/>
      <c r="K36" s="300" t="str">
        <f>Afspraken1700!G35</f>
        <v/>
      </c>
      <c r="L36" s="299"/>
      <c r="M36" s="303" t="str">
        <f>Afspraken1700!H35</f>
        <v/>
      </c>
      <c r="N36" s="304">
        <f>INDEX(Dos,Berekeningen1700!H23,1)</f>
        <v>0</v>
      </c>
      <c r="O36" s="305"/>
      <c r="P36" s="302" t="str">
        <f>IF(B36&lt;&gt;0,IF(Berekeningen1700!K23,"ja","nee"),"")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INDEX(Medicamenten,Berekeningen1700!B24,1)</f>
        <v>0</v>
      </c>
      <c r="C37" s="294"/>
      <c r="D37" s="299"/>
      <c r="E37" s="300" t="str">
        <f>Afspraken1700!C36</f>
        <v/>
      </c>
      <c r="F37" s="299"/>
      <c r="G37" s="301" t="str">
        <f>Afspraken1700!D36</f>
        <v/>
      </c>
      <c r="H37" s="299"/>
      <c r="I37" s="302">
        <f>INDEX(Opl,Berekeningen1700!E24,1)</f>
        <v>0</v>
      </c>
      <c r="J37" s="299"/>
      <c r="K37" s="300" t="str">
        <f>Afspraken1700!G36</f>
        <v/>
      </c>
      <c r="L37" s="299"/>
      <c r="M37" s="303" t="str">
        <f>Afspraken1700!H36</f>
        <v/>
      </c>
      <c r="N37" s="304">
        <f>INDEX(Dos,Berekeningen1700!H24,1)</f>
        <v>0</v>
      </c>
      <c r="O37" s="305"/>
      <c r="P37" s="302" t="str">
        <f>IF(B37&lt;&gt;0,IF(Berekeningen1700!K24,"ja","nee"),"")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INDEX(Medicamenten,Berekeningen1700!B25,1)</f>
        <v>0</v>
      </c>
      <c r="C38" s="294"/>
      <c r="D38" s="299"/>
      <c r="E38" s="300" t="str">
        <f>Afspraken1700!C37</f>
        <v/>
      </c>
      <c r="F38" s="299"/>
      <c r="G38" s="301" t="str">
        <f>Afspraken1700!D37</f>
        <v/>
      </c>
      <c r="H38" s="299"/>
      <c r="I38" s="302">
        <f>INDEX(Opl,Berekeningen1700!E25,1)</f>
        <v>0</v>
      </c>
      <c r="J38" s="299"/>
      <c r="K38" s="300" t="str">
        <f>Afspraken1700!G37</f>
        <v/>
      </c>
      <c r="L38" s="299"/>
      <c r="M38" s="303" t="str">
        <f>Afspraken1700!H37</f>
        <v/>
      </c>
      <c r="N38" s="304">
        <f>INDEX(Dos,Berekeningen1700!H25,1)</f>
        <v>0</v>
      </c>
      <c r="O38" s="305"/>
      <c r="P38" s="302" t="str">
        <f>IF(B38&lt;&gt;0,IF(Berekeningen1700!K25,"ja","nee"),"")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INDEX(Medicamenten,Berekeningen1700!B26,1)</f>
        <v>0</v>
      </c>
      <c r="C39" s="294"/>
      <c r="D39" s="299"/>
      <c r="E39" s="300" t="str">
        <f>Afspraken1700!C38</f>
        <v/>
      </c>
      <c r="F39" s="299"/>
      <c r="G39" s="301" t="str">
        <f>Afspraken1700!D38</f>
        <v/>
      </c>
      <c r="H39" s="299"/>
      <c r="I39" s="302">
        <f>INDEX(Opl,Berekeningen1700!E26,1)</f>
        <v>0</v>
      </c>
      <c r="J39" s="299"/>
      <c r="K39" s="300" t="str">
        <f>Afspraken1700!G38</f>
        <v/>
      </c>
      <c r="L39" s="299"/>
      <c r="M39" s="303" t="str">
        <f>Afspraken1700!H38</f>
        <v/>
      </c>
      <c r="N39" s="304">
        <f>INDEX(Dos,Berekeningen1700!H26,1)</f>
        <v>0</v>
      </c>
      <c r="O39" s="305"/>
      <c r="P39" s="302" t="str">
        <f>IF(B39&lt;&gt;0,IF(Berekeningen1700!K26,"ja","nee"),"")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INDEX(Medicamenten,Berekeningen1700!B27,1)</f>
        <v>0</v>
      </c>
      <c r="C40" s="294"/>
      <c r="D40" s="299"/>
      <c r="E40" s="300" t="str">
        <f>Afspraken1700!C39</f>
        <v/>
      </c>
      <c r="F40" s="299"/>
      <c r="G40" s="301" t="str">
        <f>Afspraken1700!D39</f>
        <v/>
      </c>
      <c r="H40" s="299"/>
      <c r="I40" s="302">
        <f>INDEX(Opl,Berekeningen1700!E27,1)</f>
        <v>0</v>
      </c>
      <c r="J40" s="299"/>
      <c r="K40" s="300" t="str">
        <f>Afspraken1700!G39</f>
        <v/>
      </c>
      <c r="L40" s="299"/>
      <c r="M40" s="303" t="str">
        <f>Afspraken1700!H39</f>
        <v/>
      </c>
      <c r="N40" s="304">
        <f>INDEX(Dos,Berekeningen1700!H27,1)</f>
        <v>0</v>
      </c>
      <c r="O40" s="305"/>
      <c r="P40" s="302" t="str">
        <f>IF(B40&lt;&gt;0,IF(Berekeningen1700!K27,"ja","nee"),"")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INDEX(Medicamenten,Berekeningen1700!B28,1)</f>
        <v>0</v>
      </c>
      <c r="C41" s="294"/>
      <c r="D41" s="299"/>
      <c r="E41" s="300" t="str">
        <f>Afspraken1700!C40</f>
        <v/>
      </c>
      <c r="F41" s="299"/>
      <c r="G41" s="301" t="str">
        <f>Afspraken1700!D40</f>
        <v/>
      </c>
      <c r="H41" s="299"/>
      <c r="I41" s="302">
        <f>INDEX(Opl,Berekeningen1700!E28,1)</f>
        <v>0</v>
      </c>
      <c r="J41" s="299"/>
      <c r="K41" s="300" t="str">
        <f>Afspraken1700!G40</f>
        <v/>
      </c>
      <c r="L41" s="299"/>
      <c r="M41" s="303" t="str">
        <f>Afspraken1700!H40</f>
        <v/>
      </c>
      <c r="N41" s="304">
        <f>INDEX(Dos,Berekeningen1700!H28,1)</f>
        <v>0</v>
      </c>
      <c r="O41" s="305"/>
      <c r="P41" s="302" t="str">
        <f>IF(B41&lt;&gt;0,IF(Berekeningen1700!K28,"ja","nee"),"")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IF(I42&lt;&gt;"",Afspraken1700!B42,"")</f>
        <v>Zijlijn 1</v>
      </c>
      <c r="C42" s="294"/>
      <c r="D42" s="299"/>
      <c r="E42" s="300"/>
      <c r="F42" s="299"/>
      <c r="G42" s="300"/>
      <c r="H42" s="299"/>
      <c r="I42" s="302">
        <f>IFERROR(INDEX(Opl,Berekeningen1700!E29,1),"")</f>
        <v>0</v>
      </c>
      <c r="J42" s="299"/>
      <c r="K42" s="300" t="str">
        <f>Afspraken1700!G42</f>
        <v/>
      </c>
      <c r="L42" s="299"/>
      <c r="M42" s="303"/>
      <c r="N42" s="299"/>
      <c r="O42" s="305"/>
      <c r="P42" s="302" t="str">
        <f>IF(B42&lt;&gt;"",IF(Berekeningen1700!K29,"ja","nee"),"")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IF(I43&lt;&gt;"",Afspraken1700!B43,"")</f>
        <v>Zijlijn 2</v>
      </c>
      <c r="C43" s="294"/>
      <c r="D43" s="299"/>
      <c r="E43" s="300"/>
      <c r="F43" s="299"/>
      <c r="G43" s="300"/>
      <c r="H43" s="299"/>
      <c r="I43" s="302">
        <f>IFERROR(INDEX(Opl,Berekeningen1700!E30,1),"")</f>
        <v>0</v>
      </c>
      <c r="J43" s="299"/>
      <c r="K43" s="300" t="str">
        <f>Afspraken1700!G43</f>
        <v/>
      </c>
      <c r="L43" s="299"/>
      <c r="M43" s="303"/>
      <c r="N43" s="299"/>
      <c r="O43" s="305"/>
      <c r="P43" s="302" t="str">
        <f>IF(B43&lt;&gt;"",IF(Berekeningen1700!K30,"ja","nee"),"")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IF(I44&lt;&gt;"",Afspraken1700!B44,"")</f>
        <v>Zijlijn 3</v>
      </c>
      <c r="C44" s="294"/>
      <c r="D44" s="299"/>
      <c r="E44" s="300"/>
      <c r="F44" s="299"/>
      <c r="G44" s="300"/>
      <c r="H44" s="299"/>
      <c r="I44" s="302">
        <f>IFERROR(INDEX(Opl,Berekeningen1700!E31,1),"")</f>
        <v>0</v>
      </c>
      <c r="J44" s="299"/>
      <c r="K44" s="300" t="str">
        <f>Afspraken1700!G44</f>
        <v/>
      </c>
      <c r="L44" s="299"/>
      <c r="M44" s="299"/>
      <c r="N44" s="299"/>
      <c r="O44" s="305"/>
      <c r="P44" s="302" t="str">
        <f>IF(B44&lt;&gt;"",IF(Berekeningen1700!K31,"ja","nee"),"")</f>
        <v>nee</v>
      </c>
      <c r="Q44" s="306"/>
    </row>
    <row r="45" spans="1:17" ht="15.95" customHeight="1" x14ac:dyDescent="0.4">
      <c r="A45" s="271">
        <v>14</v>
      </c>
      <c r="B45" s="299" t="str">
        <f>Afspraken1700!B45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Afspraken1700!B46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Afspraken1700!B48</f>
        <v>0</v>
      </c>
      <c r="C47" s="294"/>
      <c r="D47" s="299"/>
      <c r="E47" s="300"/>
      <c r="F47" s="299"/>
      <c r="G47" s="300" t="str">
        <f ca="1">Afspraken1700!E48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Afspraken1700!B51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Afspraken1700!B52</f>
        <v>NaCl 2,9%</v>
      </c>
      <c r="C51" s="312"/>
      <c r="D51" s="312"/>
      <c r="E51" s="309"/>
      <c r="F51" s="313" t="str">
        <f ca="1">Afspraken1700!E52</f>
        <v>0 ml</v>
      </c>
      <c r="G51" s="314"/>
      <c r="H51" s="315"/>
      <c r="I51" s="313"/>
      <c r="J51" s="314"/>
      <c r="K51" s="315"/>
      <c r="L51" s="313" t="str">
        <f>Afspraken1700!I52</f>
        <v/>
      </c>
      <c r="M51" s="314"/>
      <c r="N51" s="315"/>
      <c r="P51" s="316"/>
      <c r="Q51" s="298"/>
    </row>
    <row r="52" spans="2:17" ht="13.2" x14ac:dyDescent="0.4">
      <c r="B52" s="310" t="str">
        <f>Afspraken1700!B53</f>
        <v>Kacetaat</v>
      </c>
      <c r="C52" s="312"/>
      <c r="D52" s="312"/>
      <c r="E52" s="309"/>
      <c r="F52" s="313" t="str">
        <f ca="1">Afspraken1700!E53</f>
        <v>0 ml</v>
      </c>
      <c r="G52" s="314"/>
      <c r="H52" s="315"/>
      <c r="I52" s="313"/>
      <c r="J52" s="314"/>
      <c r="K52" s="315"/>
      <c r="L52" s="313" t="str">
        <f>Afspraken1700!I53</f>
        <v/>
      </c>
      <c r="M52" s="314"/>
      <c r="N52" s="315"/>
      <c r="P52" s="317"/>
      <c r="Q52" s="306"/>
    </row>
    <row r="53" spans="2:17" ht="13.2" x14ac:dyDescent="0.4">
      <c r="B53" s="310" t="str">
        <f>Afspraken1700!B54</f>
        <v>CaCl2</v>
      </c>
      <c r="C53" s="312"/>
      <c r="D53" s="312"/>
      <c r="E53" s="309"/>
      <c r="F53" s="313" t="str">
        <f ca="1">Afspraken1700!E54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Afspraken1700!B55</f>
        <v>MgCl2</v>
      </c>
      <c r="C54" s="312"/>
      <c r="D54" s="312"/>
      <c r="E54" s="309"/>
      <c r="F54" s="313" t="str">
        <f ca="1">Afspraken1700!E55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Afspraken1700!B56</f>
        <v>Soluvit</v>
      </c>
      <c r="C55" s="312"/>
      <c r="D55" s="312"/>
      <c r="E55" s="309"/>
      <c r="F55" s="313" t="str">
        <f ca="1">Afspraken1700!E56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Afspraken1700!B57</f>
        <v>Primene</v>
      </c>
      <c r="C56" s="312"/>
      <c r="D56" s="312"/>
      <c r="E56" s="309"/>
      <c r="F56" s="313" t="str">
        <f ca="1">Afspraken1700!E57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Afspraken1700!B58</f>
        <v>NICU-mix</v>
      </c>
      <c r="C57" s="312"/>
      <c r="D57" s="312"/>
      <c r="E57" s="309"/>
      <c r="F57" s="313"/>
      <c r="G57" s="314"/>
      <c r="H57" s="315"/>
      <c r="I57" s="313" t="str">
        <f>Afspraken1700!G58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Afspraken1700!B59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Afspraken1700!I59</f>
        <v/>
      </c>
      <c r="M58" s="314"/>
      <c r="N58" s="315"/>
      <c r="P58" s="317"/>
      <c r="Q58" s="306"/>
    </row>
    <row r="59" spans="2:17" ht="13.2" x14ac:dyDescent="0.4">
      <c r="B59" s="310" t="str">
        <f>INDEX(Opl,Berekeningen1700!D45+1,1)</f>
        <v>glucose 10%</v>
      </c>
      <c r="C59" s="312"/>
      <c r="D59" s="312"/>
      <c r="E59" s="309"/>
      <c r="F59" s="313" t="str">
        <f>Afspraken1700!E60&amp;" "&amp;Afspraken1700!F60</f>
        <v>0 ml</v>
      </c>
      <c r="G59" s="314"/>
      <c r="H59" s="315"/>
      <c r="I59" s="313" t="str">
        <f>Afspraken1700!G60&amp;" "&amp;Afspraken1700!H60</f>
        <v xml:space="preserve"> </v>
      </c>
      <c r="J59" s="314"/>
      <c r="K59" s="315"/>
      <c r="L59" s="313" t="str">
        <f>Afspraken1700!I60&amp;" "&amp;Afspraken1700!J60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Afspraken1700!B19</f>
        <v>Fototherapie</v>
      </c>
      <c r="E60" s="277" t="str">
        <f>IF(Berekeningen1700!B15=1,"ja","nee")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Afspraken1700!B2</f>
        <v>Intake</v>
      </c>
      <c r="C62" s="281"/>
      <c r="D62" s="281" t="str">
        <f>Afspraken1700!C2</f>
        <v>Intraveneus</v>
      </c>
      <c r="E62" s="281"/>
      <c r="F62" s="281" t="str">
        <f>Afspraken1700!D2</f>
        <v>Oraal</v>
      </c>
      <c r="G62" s="281"/>
      <c r="H62" s="281" t="str">
        <f>Afspraken1700!E2</f>
        <v>Totaal</v>
      </c>
      <c r="I62" s="281"/>
      <c r="J62" s="281"/>
      <c r="K62" s="281" t="s">
        <v>728</v>
      </c>
      <c r="L62" s="281"/>
      <c r="M62" s="281" t="str">
        <f>Afspraken1700!H2</f>
        <v>Intraveneus</v>
      </c>
      <c r="N62" s="281"/>
      <c r="O62" s="281" t="str">
        <f>Afspraken1700!I2</f>
        <v>Oraal</v>
      </c>
      <c r="P62" s="281"/>
      <c r="Q62" s="281" t="str">
        <f>Afspraken1700!J2</f>
        <v>Totaal</v>
      </c>
    </row>
    <row r="63" spans="2:17" x14ac:dyDescent="0.35">
      <c r="B63" s="271" t="str">
        <f>Afspraken1700!B3</f>
        <v>Volume</v>
      </c>
      <c r="D63" s="320" t="str">
        <f ca="1">Afspraken1700!C3</f>
        <v>0 ml/kg</v>
      </c>
      <c r="E63" s="320"/>
      <c r="F63" s="320" t="str">
        <f>Afspraken1700!D3</f>
        <v>0 ml/kg</v>
      </c>
      <c r="H63" s="320" t="str">
        <f ca="1">Afspraken1700!E3</f>
        <v>0 ml/kg  = 0 ml</v>
      </c>
      <c r="K63" s="271" t="str">
        <f>Afspraken1700!G3</f>
        <v>Natrium</v>
      </c>
      <c r="M63" s="320" t="str">
        <f ca="1">Afspraken1700!H3</f>
        <v>0 mmol/kg</v>
      </c>
      <c r="N63" s="320"/>
      <c r="O63" s="320" t="str">
        <f>Afspraken1700!I3</f>
        <v>0 mmol/kg</v>
      </c>
      <c r="Q63" s="320" t="str">
        <f ca="1">Afspraken1700!J3</f>
        <v>0 mmol/kg</v>
      </c>
    </row>
    <row r="64" spans="2:17" x14ac:dyDescent="0.35">
      <c r="B64" s="271" t="str">
        <f>Afspraken1700!B4</f>
        <v>Eiwit</v>
      </c>
      <c r="D64" s="320" t="str">
        <f ca="1">Afspraken1700!C4</f>
        <v>0 g/kg</v>
      </c>
      <c r="E64" s="320"/>
      <c r="F64" s="320" t="str">
        <f>Afspraken1700!D4</f>
        <v>0 g/kg</v>
      </c>
      <c r="H64" s="320" t="str">
        <f ca="1">Afspraken1700!E4</f>
        <v>0 g/kg</v>
      </c>
      <c r="K64" s="271" t="str">
        <f>Afspraken1700!G4</f>
        <v>Kalium</v>
      </c>
      <c r="M64" s="320" t="str">
        <f ca="1">Afspraken1700!H4</f>
        <v>0 mmol/kg</v>
      </c>
      <c r="N64" s="320"/>
      <c r="O64" s="320" t="str">
        <f>Afspraken1700!I4</f>
        <v>0 mmol/kg</v>
      </c>
      <c r="Q64" s="320" t="str">
        <f ca="1">Afspraken1700!J4</f>
        <v>0 mmol/kg</v>
      </c>
    </row>
    <row r="65" spans="2:17" x14ac:dyDescent="0.35">
      <c r="B65" s="271" t="str">
        <f>Afspraken1700!B5</f>
        <v>Vet</v>
      </c>
      <c r="D65" s="320" t="str">
        <f ca="1">Afspraken1700!C5</f>
        <v>0 g/kg</v>
      </c>
      <c r="E65" s="320"/>
      <c r="F65" s="320" t="str">
        <f>Afspraken1700!D5</f>
        <v>0 g/kg</v>
      </c>
      <c r="H65" s="320" t="str">
        <f ca="1">Afspraken1700!E5</f>
        <v>0 g/kg</v>
      </c>
      <c r="K65" s="271" t="str">
        <f>Afspraken1700!G5</f>
        <v>Calcium</v>
      </c>
      <c r="M65" s="320" t="str">
        <f ca="1">Afspraken1700!H5</f>
        <v>0 mmol/kg</v>
      </c>
      <c r="N65" s="320"/>
      <c r="O65" s="320" t="str">
        <f>Afspraken1700!I5</f>
        <v>0 mmol/kg</v>
      </c>
      <c r="Q65" s="320" t="str">
        <f ca="1">Afspraken1700!J5</f>
        <v>0 mmol/kg</v>
      </c>
    </row>
    <row r="66" spans="2:17" x14ac:dyDescent="0.35">
      <c r="B66" s="271" t="str">
        <f>Afspraken1700!B6</f>
        <v>Glucose</v>
      </c>
      <c r="D66" s="320" t="str">
        <f>Afspraken1700!C6</f>
        <v>0 mg/kg/min</v>
      </c>
      <c r="E66" s="320"/>
      <c r="F66" s="320" t="str">
        <f>Afspraken1700!D6</f>
        <v>0 mg/kg/min</v>
      </c>
      <c r="H66" s="320" t="str">
        <f>Afspraken1700!E6</f>
        <v>0 mg/kg/min</v>
      </c>
      <c r="K66" s="271" t="str">
        <f>Afspraken1700!G6</f>
        <v>Magnesium</v>
      </c>
      <c r="M66" s="320" t="str">
        <f ca="1">Afspraken1700!H6</f>
        <v>0 mmol/kg</v>
      </c>
      <c r="N66" s="320"/>
      <c r="O66" s="320" t="str">
        <f>Afspraken1700!I6</f>
        <v>0 mmol/kg</v>
      </c>
      <c r="Q66" s="320" t="str">
        <f ca="1">Afspraken1700!J6</f>
        <v>0 mmol/kg</v>
      </c>
    </row>
    <row r="67" spans="2:17" x14ac:dyDescent="0.35">
      <c r="B67" s="271" t="str">
        <f>Afspraken1700!B7</f>
        <v>Energie</v>
      </c>
      <c r="D67" s="320" t="str">
        <f ca="1">Afspraken1700!C7</f>
        <v>0 kcal/kg</v>
      </c>
      <c r="E67" s="320"/>
      <c r="F67" s="320" t="str">
        <f>Afspraken1700!D7</f>
        <v>0 kcal/kg</v>
      </c>
      <c r="H67" s="320" t="str">
        <f ca="1">Afspraken1700!E7</f>
        <v>0 kcal/kg</v>
      </c>
      <c r="K67" s="271" t="str">
        <f>Afspraken1700!G7</f>
        <v>Chloor</v>
      </c>
      <c r="M67" s="320" t="str">
        <f ca="1">Afspraken1700!H7</f>
        <v>0 mmol/kg</v>
      </c>
      <c r="N67" s="320"/>
      <c r="O67" s="320" t="str">
        <f>Afspraken1700!I7</f>
        <v>0 mmol/kg</v>
      </c>
      <c r="Q67" s="320" t="str">
        <f ca="1">Afspraken1700!J7</f>
        <v>0 mmol/kg</v>
      </c>
    </row>
    <row r="68" spans="2:17" x14ac:dyDescent="0.35">
      <c r="B68" s="271" t="str">
        <f>Afspraken1700!B8</f>
        <v>Vit D</v>
      </c>
      <c r="D68" s="320" t="str">
        <f ca="1">Afspraken1700!C8</f>
        <v>0 IE/ml</v>
      </c>
      <c r="E68" s="320"/>
      <c r="F68" s="320" t="str">
        <f>Afspraken1700!D8</f>
        <v>0 IE/ml</v>
      </c>
      <c r="H68" s="320" t="str">
        <f ca="1">Afspraken1700!E8</f>
        <v>0 IE/ml</v>
      </c>
      <c r="K68" s="271" t="str">
        <f>Afspraken1700!G8</f>
        <v>Fosfaat</v>
      </c>
      <c r="M68" s="320" t="str">
        <f>Afspraken1700!H8</f>
        <v>0 mmol/kg</v>
      </c>
      <c r="N68" s="320"/>
      <c r="O68" s="320" t="str">
        <f>Afspraken1700!I8</f>
        <v>0 mmol/kg</v>
      </c>
      <c r="Q68" s="320" t="str">
        <f>Afspraken1700!J8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P71" s="279"/>
      <c r="Q71" s="279"/>
    </row>
    <row r="72" spans="2:17" x14ac:dyDescent="0.35">
      <c r="B72" s="271" t="s">
        <v>1340</v>
      </c>
      <c r="D72" s="271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P72" s="279"/>
      <c r="Q72" s="279"/>
    </row>
    <row r="73" spans="2:17" x14ac:dyDescent="0.35">
      <c r="B73" s="271" t="s">
        <v>1341</v>
      </c>
      <c r="D73" s="271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P73" s="279"/>
      <c r="Q73" s="279"/>
    </row>
    <row r="74" spans="2:17" x14ac:dyDescent="0.35">
      <c r="B74" s="271" t="s">
        <v>1342</v>
      </c>
      <c r="D74" s="271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P74" s="279"/>
      <c r="Q74" s="279"/>
    </row>
    <row r="75" spans="2:17" x14ac:dyDescent="0.35">
      <c r="B75" s="271" t="s">
        <v>286</v>
      </c>
      <c r="D75" s="271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P75" s="279"/>
      <c r="Q75" s="279"/>
    </row>
    <row r="76" spans="2:17" x14ac:dyDescent="0.35">
      <c r="B76" s="271" t="s">
        <v>1343</v>
      </c>
      <c r="D76" s="271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P76" s="279"/>
      <c r="Q76" s="279"/>
    </row>
    <row r="77" spans="2:17" x14ac:dyDescent="0.35">
      <c r="B77" s="271" t="s">
        <v>1347</v>
      </c>
      <c r="D77" s="271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Zjp7gCa8HMQDbEyWK8oAUYqBG0aTIY+X8RJ3+Zb508WFOHblMH0EQohdt8/nFhV06L+iSinp2cw4rMiumnMCUg==" saltValue="liuH9E6woRZsLDv+9hSiqw==" spinCount="10000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theek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42722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42722.605261342593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IF(WerkBrief!C26&lt;&gt;"zijlijn",WerkBrief!A26,"")</f>
        <v/>
      </c>
      <c r="C5" s="372"/>
      <c r="D5" s="373" t="str">
        <f>WerkBrief!C26</f>
        <v/>
      </c>
      <c r="E5" s="374"/>
      <c r="F5" s="375" t="str">
        <f>IF(WerkBrief!E26&lt;&gt;"",IF(D5&lt;&gt;"lidocaine",IF(WerkBrief!M28&lt;25,WerkBrief!E26*2,WerkBrief!E26),WerkBrief!E26*1.5),"")</f>
        <v/>
      </c>
      <c r="G5" s="374" t="str">
        <f>WerkBrief!F26</f>
        <v>mg</v>
      </c>
      <c r="H5" s="376" t="str">
        <f>WerkBrief!G26</f>
        <v>(</v>
      </c>
      <c r="I5" s="374" t="str">
        <f>WerkBrief!H26</f>
        <v/>
      </c>
      <c r="J5" s="374" t="str">
        <f>WerkBrief!I26</f>
        <v>mg=</v>
      </c>
      <c r="K5" s="374" t="str">
        <f>WerkBrief!J26</f>
        <v/>
      </c>
      <c r="L5" s="374" t="str">
        <f>WerkBrief!K26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WerkBrief!C28</f>
        <v/>
      </c>
      <c r="E6" s="380"/>
      <c r="F6" s="380" t="str">
        <f>WerkBrief!E28</f>
        <v/>
      </c>
      <c r="G6" s="380"/>
      <c r="H6" s="381"/>
      <c r="I6" s="380"/>
      <c r="J6" s="380" t="str">
        <f>WerkBrief!I27</f>
        <v>in</v>
      </c>
      <c r="K6" s="382" t="str">
        <f>IF(AND(D5&lt;&gt;"Nepresol (dihydralazine)",D5&lt;&gt;"Flolan (epoprostenol)"),WerkBrief!J27,"NaCl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IF(D5&lt;&gt;"",INDEX(Medicamenten,Berekeningen!B20,2),"")</f>
        <v/>
      </c>
      <c r="G7" s="386"/>
      <c r="H7" s="386"/>
      <c r="I7" s="388"/>
      <c r="J7" s="388"/>
      <c r="K7" s="389" t="str">
        <f>WerkBrief!J28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IF(WerkBrief!C29&lt;&gt;"zijlijn",WerkBrief!A29,"")</f>
        <v/>
      </c>
      <c r="C9" s="395"/>
      <c r="D9" s="307" t="str">
        <f>WerkBrief!C29</f>
        <v/>
      </c>
      <c r="E9" s="308"/>
      <c r="F9" s="396" t="str">
        <f>IF(WerkBrief!E29&lt;&gt;"",IF(D9&lt;&gt;"lidocaine",IF(WerkBrief!M31&lt;25,WerkBrief!E29*2,WerkBrief!E29),WerkBrief!E29*1.5),"")</f>
        <v/>
      </c>
      <c r="G9" s="308" t="str">
        <f>WerkBrief!F29</f>
        <v>mg</v>
      </c>
      <c r="H9" s="397" t="str">
        <f>WerkBrief!G29</f>
        <v>(</v>
      </c>
      <c r="I9" s="308" t="str">
        <f>WerkBrief!H29</f>
        <v/>
      </c>
      <c r="J9" s="308" t="str">
        <f>WerkBrief!I29</f>
        <v>mg=</v>
      </c>
      <c r="K9" s="308" t="str">
        <f>WerkBrief!J29</f>
        <v/>
      </c>
      <c r="L9" s="308" t="str">
        <f>WerkBrief!K29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WerkBrief!C31</f>
        <v/>
      </c>
      <c r="E10" s="279"/>
      <c r="F10" s="279" t="str">
        <f>WerkBrief!E31</f>
        <v/>
      </c>
      <c r="G10" s="279"/>
      <c r="H10" s="401"/>
      <c r="I10" s="279"/>
      <c r="J10" s="279" t="str">
        <f>WerkBrief!I30</f>
        <v>in</v>
      </c>
      <c r="K10" s="286" t="str">
        <f>IF(AND(D9&lt;&gt;"Nepresol (dihydralazine)",D9&lt;&gt;"Flolan (epoprostenol)"),WerkBrief!J30,"NaCl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IF(D9&lt;&gt;"",INDEX(Medicamenten,Berekeningen!B21,2),"")</f>
        <v/>
      </c>
      <c r="G11" s="403"/>
      <c r="H11" s="405"/>
      <c r="I11" s="406"/>
      <c r="J11" s="406"/>
      <c r="K11" s="407" t="str">
        <f>WerkBrief!J31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IF(WerkBrief!C32&lt;&gt;"zijlijn",WerkBrief!A32,"")</f>
        <v/>
      </c>
      <c r="C13" s="372"/>
      <c r="D13" s="373" t="str">
        <f>WerkBrief!C32</f>
        <v/>
      </c>
      <c r="E13" s="374"/>
      <c r="F13" s="375" t="str">
        <f>IF(WerkBrief!E32&lt;&gt;"",IF(D13&lt;&gt;"lidocaine",IF(WerkBrief!M34&lt;25,WerkBrief!E32*2,WerkBrief!E32),WerkBrief!E32*1.5),"")</f>
        <v/>
      </c>
      <c r="G13" s="374" t="str">
        <f>WerkBrief!F32</f>
        <v>mg</v>
      </c>
      <c r="H13" s="376" t="str">
        <f>WerkBrief!G32</f>
        <v>(</v>
      </c>
      <c r="I13" s="374" t="str">
        <f>WerkBrief!H32</f>
        <v/>
      </c>
      <c r="J13" s="374" t="str">
        <f>WerkBrief!I32</f>
        <v>mg=</v>
      </c>
      <c r="K13" s="374" t="str">
        <f>WerkBrief!J32</f>
        <v/>
      </c>
      <c r="L13" s="374" t="str">
        <f>WerkBrief!K32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WerkBrief!C34</f>
        <v/>
      </c>
      <c r="E14" s="380"/>
      <c r="F14" s="380" t="str">
        <f>WerkBrief!E34</f>
        <v/>
      </c>
      <c r="G14" s="380"/>
      <c r="H14" s="381"/>
      <c r="I14" s="380"/>
      <c r="J14" s="380" t="str">
        <f>WerkBrief!I33</f>
        <v>in</v>
      </c>
      <c r="K14" s="382" t="str">
        <f>IF(AND(D13&lt;&gt;"Nepresol (dihydralazine)",D13&lt;&gt;"Flolan (epoprostenol)"),WerkBrief!J33,"NaCl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IF(D13&lt;&gt;"",INDEX(Medicamenten,Berekeningen!B22,2),"")</f>
        <v/>
      </c>
      <c r="G15" s="386"/>
      <c r="H15" s="388"/>
      <c r="I15" s="388"/>
      <c r="J15" s="388"/>
      <c r="K15" s="389" t="str">
        <f>WerkBrief!J34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IF(WerkBrief!C35&lt;&gt;"zijlijn",WerkBrief!A35,"")</f>
        <v/>
      </c>
      <c r="C17" s="395"/>
      <c r="D17" s="307" t="str">
        <f>WerkBrief!C35</f>
        <v/>
      </c>
      <c r="E17" s="308"/>
      <c r="F17" s="396" t="str">
        <f>IF(WerkBrief!E35&lt;&gt;"",IF(D17&lt;&gt;"lidocaine",IF(WerkBrief!M37&lt;25,WerkBrief!E35*2,WerkBrief!E35),WerkBrief!E35*1.5),"")</f>
        <v/>
      </c>
      <c r="G17" s="308" t="str">
        <f>WerkBrief!F35</f>
        <v>mg</v>
      </c>
      <c r="H17" s="397" t="str">
        <f>WerkBrief!G35</f>
        <v>(</v>
      </c>
      <c r="I17" s="308" t="str">
        <f>WerkBrief!H35</f>
        <v/>
      </c>
      <c r="J17" s="308" t="str">
        <f>WerkBrief!I35</f>
        <v>mg=</v>
      </c>
      <c r="K17" s="308" t="str">
        <f>WerkBrief!J35</f>
        <v/>
      </c>
      <c r="L17" s="308" t="str">
        <f>WerkBrief!K35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WerkBrief!C37</f>
        <v/>
      </c>
      <c r="E18" s="279"/>
      <c r="F18" s="279" t="str">
        <f>WerkBrief!E37</f>
        <v/>
      </c>
      <c r="G18" s="279"/>
      <c r="H18" s="401"/>
      <c r="I18" s="279"/>
      <c r="J18" s="279" t="str">
        <f>WerkBrief!I36</f>
        <v>in</v>
      </c>
      <c r="K18" s="286" t="str">
        <f>IF(AND(D17&lt;&gt;"Nepresol (dihydralazine)",D17&lt;&gt;"Flolan (epoprostenol)"),WerkBrief!J36,"NaCl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IF(D17&lt;&gt;"",INDEX(Medicamenten,Berekeningen!B23,2),"")</f>
        <v/>
      </c>
      <c r="G19" s="403"/>
      <c r="H19" s="403"/>
      <c r="I19" s="406"/>
      <c r="J19" s="406"/>
      <c r="K19" s="407" t="str">
        <f>WerkBrief!J37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IF(WerkBrief!C38&lt;&gt;"zijlijn",WerkBrief!A38,"")</f>
        <v/>
      </c>
      <c r="C21" s="372"/>
      <c r="D21" s="373" t="str">
        <f>WerkBrief!C38</f>
        <v/>
      </c>
      <c r="E21" s="374"/>
      <c r="F21" s="375" t="str">
        <f>IF(WerkBrief!E38&lt;&gt;"",IF(D21&lt;&gt;"lidocaine",IF(WerkBrief!M40&lt;25,WerkBrief!E38*2,WerkBrief!E38),WerkBrief!E38*1.5),"")</f>
        <v/>
      </c>
      <c r="G21" s="374" t="str">
        <f>WerkBrief!F38</f>
        <v>mg</v>
      </c>
      <c r="H21" s="376" t="str">
        <f>WerkBrief!G38</f>
        <v>(</v>
      </c>
      <c r="I21" s="374" t="str">
        <f>WerkBrief!H38</f>
        <v/>
      </c>
      <c r="J21" s="374" t="str">
        <f>WerkBrief!I38</f>
        <v>mg=</v>
      </c>
      <c r="K21" s="374" t="str">
        <f>WerkBrief!J38</f>
        <v/>
      </c>
      <c r="L21" s="374" t="str">
        <f>WerkBrief!K38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WerkBrief!C40</f>
        <v/>
      </c>
      <c r="E22" s="380"/>
      <c r="F22" s="380" t="str">
        <f>WerkBrief!E40</f>
        <v/>
      </c>
      <c r="G22" s="380"/>
      <c r="H22" s="381"/>
      <c r="I22" s="380"/>
      <c r="J22" s="380" t="str">
        <f>WerkBrief!I39</f>
        <v>in</v>
      </c>
      <c r="K22" s="382" t="str">
        <f>IF(AND(D21&lt;&gt;"Nepresol (dihydralazine)",D21&lt;&gt;"Flolan (epoprostenol)"),WerkBrief!J39,"NaCl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IF(D21&lt;&gt;"",INDEX(Medicamenten,Berekeningen!B24,2),"")</f>
        <v/>
      </c>
      <c r="G23" s="386"/>
      <c r="H23" s="414"/>
      <c r="I23" s="388"/>
      <c r="J23" s="388"/>
      <c r="K23" s="389" t="str">
        <f>WerkBrief!J40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IF(WerkBrief!C41&lt;&gt;"zijlijn",WerkBrief!A41,"")</f>
        <v/>
      </c>
      <c r="C25" s="395"/>
      <c r="D25" s="307" t="str">
        <f>WerkBrief!C41</f>
        <v/>
      </c>
      <c r="E25" s="308"/>
      <c r="F25" s="396" t="str">
        <f>IF(WerkBrief!E41&lt;&gt;"",IF(D25&lt;&gt;"lidocaine",IF(WerkBrief!M43&lt;25,WerkBrief!E41*2,WerkBrief!E41),WerkBrief!E41*1.5),"")</f>
        <v/>
      </c>
      <c r="G25" s="308" t="str">
        <f>WerkBrief!F41</f>
        <v>mg</v>
      </c>
      <c r="H25" s="397" t="str">
        <f>WerkBrief!G41</f>
        <v>(</v>
      </c>
      <c r="I25" s="308" t="str">
        <f>WerkBrief!H41</f>
        <v/>
      </c>
      <c r="J25" s="308" t="str">
        <f>WerkBrief!I41</f>
        <v>mg=</v>
      </c>
      <c r="K25" s="308" t="str">
        <f>WerkBrief!J41</f>
        <v/>
      </c>
      <c r="L25" s="308" t="str">
        <f>WerkBrief!K41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WerkBrief!C43</f>
        <v/>
      </c>
      <c r="E26" s="279"/>
      <c r="F26" s="279" t="str">
        <f>WerkBrief!E43</f>
        <v/>
      </c>
      <c r="G26" s="279"/>
      <c r="H26" s="401"/>
      <c r="I26" s="279"/>
      <c r="J26" s="279" t="str">
        <f>WerkBrief!I42</f>
        <v>in</v>
      </c>
      <c r="K26" s="286" t="str">
        <f>IF(AND(D25&lt;&gt;"Nepresol (dihydralazine)",D25&lt;&gt;"Flolan (epoprostenol)"),WerkBrief!J42,"NaCl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IF(D25&lt;&gt;"",INDEX(Medicamenten,Berekeningen!B25,2),"")</f>
        <v/>
      </c>
      <c r="G27" s="403"/>
      <c r="H27" s="415"/>
      <c r="I27" s="406"/>
      <c r="J27" s="406"/>
      <c r="K27" s="407" t="str">
        <f>WerkBrief!J43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IF(WerkBrief!C44&lt;&gt;"zijlijn",WerkBrief!A44,"")</f>
        <v/>
      </c>
      <c r="C29" s="372"/>
      <c r="D29" s="373" t="str">
        <f>WerkBrief!C44</f>
        <v/>
      </c>
      <c r="E29" s="374"/>
      <c r="F29" s="375" t="str">
        <f>IF(WerkBrief!E44&lt;&gt;"",IF(D29&lt;&gt;"lidocaine",IF(WerkBrief!M46&lt;25,WerkBrief!E44*2,WerkBrief!E44),WerkBrief!E44*1.5),"")</f>
        <v/>
      </c>
      <c r="G29" s="374" t="str">
        <f>WerkBrief!F44</f>
        <v>mg</v>
      </c>
      <c r="H29" s="376" t="str">
        <f>WerkBrief!G44</f>
        <v>(</v>
      </c>
      <c r="I29" s="374" t="str">
        <f>WerkBrief!H44</f>
        <v/>
      </c>
      <c r="J29" s="374" t="str">
        <f>WerkBrief!I44</f>
        <v>mg=</v>
      </c>
      <c r="K29" s="374" t="str">
        <f>WerkBrief!J44</f>
        <v/>
      </c>
      <c r="L29" s="374" t="str">
        <f>WerkBrief!K44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WerkBrief!C46</f>
        <v/>
      </c>
      <c r="E30" s="380"/>
      <c r="F30" s="380" t="str">
        <f>WerkBrief!E46</f>
        <v/>
      </c>
      <c r="G30" s="380"/>
      <c r="H30" s="381"/>
      <c r="I30" s="380"/>
      <c r="J30" s="380" t="str">
        <f>WerkBrief!I45</f>
        <v>in</v>
      </c>
      <c r="K30" s="382" t="str">
        <f>IF(AND(D29&lt;&gt;"Nepresol (dihydralazine)",D29&lt;&gt;"Flolan (epoprostenol)"),WerkBrief!J45,"NaCl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IF(D29&lt;&gt;"",INDEX(Medicamenten,Berekeningen!B26,2),"")</f>
        <v/>
      </c>
      <c r="G31" s="386"/>
      <c r="H31" s="388"/>
      <c r="I31" s="388"/>
      <c r="J31" s="388"/>
      <c r="K31" s="389" t="str">
        <f>WerkBrief!J46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IF(WerkBrief!C47&lt;&gt;"zijlijn",WerkBrief!A47,"")</f>
        <v/>
      </c>
      <c r="C33" s="395"/>
      <c r="D33" s="307" t="str">
        <f>WerkBrief!C47</f>
        <v/>
      </c>
      <c r="E33" s="308"/>
      <c r="F33" s="396" t="str">
        <f>IF(WerkBrief!E47&lt;&gt;"",IF(D33&lt;&gt;"lidocaine",IF(WerkBrief!M49&lt;25,WerkBrief!E47*2,WerkBrief!E47),WerkBrief!E47*1.5),"")</f>
        <v/>
      </c>
      <c r="G33" s="308" t="str">
        <f>WerkBrief!F47</f>
        <v>mg</v>
      </c>
      <c r="H33" s="397" t="str">
        <f>WerkBrief!G47</f>
        <v>(</v>
      </c>
      <c r="I33" s="308" t="str">
        <f>WerkBrief!H47</f>
        <v/>
      </c>
      <c r="J33" s="308" t="str">
        <f>WerkBrief!I47</f>
        <v>mg=</v>
      </c>
      <c r="K33" s="308" t="str">
        <f>WerkBrief!J47</f>
        <v/>
      </c>
      <c r="L33" s="308" t="str">
        <f>WerkBrief!K47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WerkBrief!C49</f>
        <v/>
      </c>
      <c r="E34" s="279"/>
      <c r="F34" s="279" t="str">
        <f>WerkBrief!E49</f>
        <v/>
      </c>
      <c r="G34" s="279"/>
      <c r="H34" s="401"/>
      <c r="I34" s="279"/>
      <c r="J34" s="279" t="str">
        <f>WerkBrief!I48</f>
        <v>in</v>
      </c>
      <c r="K34" s="286" t="str">
        <f>IF(AND(D33&lt;&gt;"Nepresol (dihydralazine)",D33&lt;&gt;"Flolan (epoprostenol)"),WerkBrief!J48,"NaCl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IF(D33&lt;&gt;"",INDEX(Medicamenten,Berekeningen!B27,2),"")</f>
        <v/>
      </c>
      <c r="G35" s="403"/>
      <c r="H35" s="406"/>
      <c r="I35" s="406"/>
      <c r="J35" s="406"/>
      <c r="K35" s="407" t="str">
        <f>WerkBrief!J49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IF(WerkBrief!C50&lt;&gt;"zijlijn",WerkBrief!A50,"")</f>
        <v/>
      </c>
      <c r="C37" s="372"/>
      <c r="D37" s="373" t="str">
        <f>WerkBrief!C50</f>
        <v/>
      </c>
      <c r="E37" s="374"/>
      <c r="F37" s="375" t="str">
        <f>IF(WerkBrief!E50&lt;&gt;"",IF(D37&lt;&gt;"lidocaine",IF(WerkBrief!M52&lt;25,WerkBrief!E50*2,WerkBrief!E50),WerkBrief!E50*1.5),"")</f>
        <v/>
      </c>
      <c r="G37" s="374" t="str">
        <f>WerkBrief!F50</f>
        <v>mg</v>
      </c>
      <c r="H37" s="376" t="str">
        <f>WerkBrief!G50</f>
        <v>(</v>
      </c>
      <c r="I37" s="374" t="str">
        <f>WerkBrief!H50</f>
        <v/>
      </c>
      <c r="J37" s="374" t="str">
        <f>WerkBrief!I50</f>
        <v>mg=</v>
      </c>
      <c r="K37" s="374" t="str">
        <f>WerkBrief!J50</f>
        <v/>
      </c>
      <c r="L37" s="374" t="str">
        <f>WerkBrief!K50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WerkBrief!C52</f>
        <v/>
      </c>
      <c r="E38" s="380"/>
      <c r="F38" s="380" t="str">
        <f>WerkBrief!E52</f>
        <v/>
      </c>
      <c r="G38" s="380"/>
      <c r="H38" s="381"/>
      <c r="I38" s="380"/>
      <c r="J38" s="380" t="str">
        <f>WerkBrief!I51</f>
        <v>in</v>
      </c>
      <c r="K38" s="382" t="str">
        <f>IF(AND(D37&lt;&gt;"Nepresol (dihydralazine)",D37&lt;&gt;"Flolan (epoprostenol)"),WerkBrief!J51,"NaCl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IF(D37&lt;&gt;"",INDEX(Medicamenten,Berekeningen!B28,2),"")</f>
        <v/>
      </c>
      <c r="G39" s="386"/>
      <c r="H39" s="388"/>
      <c r="I39" s="388"/>
      <c r="J39" s="388"/>
      <c r="K39" s="389" t="str">
        <f>WerkBrief!J52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Print!B45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Print!B46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Print!B47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42722</v>
      </c>
      <c r="B47" s="957"/>
      <c r="C47" s="320" t="str">
        <f>"Bed "&amp;_Bed</f>
        <v>Bed 0</v>
      </c>
      <c r="E47" s="320">
        <v>1</v>
      </c>
      <c r="G47" s="957">
        <f ca="1">TODAY()</f>
        <v>42722</v>
      </c>
      <c r="H47" s="957"/>
      <c r="I47" s="320" t="str">
        <f>"Bed "&amp;_Bed</f>
        <v>Bed 0</v>
      </c>
      <c r="K47" s="320">
        <v>2</v>
      </c>
      <c r="M47" s="957">
        <f ca="1">TODAY()</f>
        <v>42722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"&amp;WerkBrief!E26&amp;" "&amp;G5,"")</f>
        <v/>
      </c>
      <c r="B49" s="320"/>
      <c r="C49" s="320"/>
      <c r="E49" s="320"/>
      <c r="F49" s="320"/>
      <c r="G49" s="320" t="str">
        <f>IF(D9&lt;&gt;"",D9&amp;" "&amp;WerkBrief!E29&amp;" "&amp;G9,"")</f>
        <v/>
      </c>
      <c r="H49" s="320"/>
      <c r="I49" s="320"/>
      <c r="K49" s="320"/>
      <c r="L49" s="320"/>
      <c r="M49" s="320" t="str">
        <f>IF(D13&lt;&gt;"",D13&amp;" "&amp;WerkBrief!E32&amp;" "&amp;G13,"")</f>
        <v/>
      </c>
      <c r="N49" s="320"/>
      <c r="O49" s="320"/>
      <c r="Q49" s="320"/>
    </row>
    <row r="50" spans="1:18" ht="10" customHeight="1" x14ac:dyDescent="0.35">
      <c r="A50" s="420" t="str">
        <f>Print!G33&amp;"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Print!G34&amp;"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Print!G35&amp;"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42723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42723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42723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42722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42722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42722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"&amp;WerkBrief!E35&amp;" "&amp;G17,"")</f>
        <v/>
      </c>
      <c r="B60" s="320"/>
      <c r="C60" s="320"/>
      <c r="E60" s="320"/>
      <c r="F60" s="320"/>
      <c r="G60" s="320" t="str">
        <f>IF(D21&lt;&gt;"",D21&amp;" "&amp;WerkBrief!E38&amp;" "&amp;G21,"")</f>
        <v/>
      </c>
      <c r="H60" s="320"/>
      <c r="I60" s="320"/>
      <c r="K60" s="320"/>
      <c r="L60" s="320"/>
      <c r="M60" s="320" t="str">
        <f>IF(D25&lt;&gt;"",D25&amp;" "&amp;WerkBrief!E41&amp;" "&amp;G25,"")</f>
        <v/>
      </c>
      <c r="N60" s="320"/>
      <c r="O60" s="320"/>
      <c r="Q60" s="320"/>
    </row>
    <row r="61" spans="1:18" ht="10" customHeight="1" x14ac:dyDescent="0.35">
      <c r="A61" s="320" t="str">
        <f>Print!G36&amp;"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Print!G37&amp;"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Print!G38&amp;"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42723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42723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42723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QhbCe0GZUo18REA+AuRqZ8jlp591Noq5yoDyCSrb9g9/6mD6HR6vmoUbuAFdYhm2yAFgJdeEQ8Miwcen+LlU3Q==" saltValue="R+Qm+WYIFrqCmOEwikohBQ==" spinCount="100000" sheet="1" objects="1" scenarios="1" selectLockedCells="1" selectUnlockedCell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AfsprakenCMV!F2&amp;" geb: "&amp;TEXT(AfsprakenCMV!F3,"dd-mmm-jj")&amp;". Gewicht: "&amp;ROUND(Gewicht/10,1)&amp;" kg"</f>
        <v>Achternaam, Voornaam geb: 01-Jan-jj.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TEXT(AfsprakenCMV!F3,"dd-mmm-jj")</f>
        <v>01-Jan-jj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IF(AfsprakenCMV!C51&lt;&gt;0,AfsprakenCMV!C51&amp;" "&amp;AfsprakenCMV!E51&amp;" "&amp;AfsprakenCMV!F51&amp;" "&amp;AfsprakenCMV!G51&amp;", totaal "&amp;AfsprakenCMV!J51&amp;" "&amp;AfsprakenCMV!I51,"")</f>
        <v/>
      </c>
    </row>
    <row r="7" spans="1:3 4305:4305" x14ac:dyDescent="0.35">
      <c r="A7" t="s">
        <v>928</v>
      </c>
      <c r="B7" s="236" t="s">
        <v>909</v>
      </c>
      <c r="C7" t="str">
        <f>IF(AfsprakenCMV!C52&lt;&gt;0,AfsprakenCMV!C52&amp;" "&amp;AfsprakenCMV!E52&amp;" "&amp;AfsprakenCMV!F52&amp;" "&amp;AfsprakenCMV!G52&amp;", totaal "&amp;AfsprakenCMV!J52&amp;" "&amp;AfsprakenCMV!I52,"")</f>
        <v/>
      </c>
    </row>
    <row r="8" spans="1:3 4305:4305" x14ac:dyDescent="0.35">
      <c r="A8" t="s">
        <v>928</v>
      </c>
      <c r="B8" s="236" t="s">
        <v>910</v>
      </c>
      <c r="C8" t="str">
        <f>IF(AfsprakenCMV!C53&lt;&gt;0,AfsprakenCMV!C53&amp;" "&amp;AfsprakenCMV!E53&amp;" "&amp;AfsprakenCMV!F53&amp;" "&amp;AfsprakenCMV!G53&amp;", totaal "&amp;AfsprakenCMV!J53&amp;" "&amp;AfsprakenCMV!I53,"")</f>
        <v/>
      </c>
    </row>
    <row r="9" spans="1:3 4305:4305" x14ac:dyDescent="0.35">
      <c r="A9" t="s">
        <v>928</v>
      </c>
      <c r="B9" s="235" t="s">
        <v>911</v>
      </c>
      <c r="C9" t="str">
        <f>IF(AfsprakenCMV!C54&lt;&gt;0,AfsprakenCMV!C54&amp;" "&amp;AfsprakenCMV!E54&amp;" "&amp;AfsprakenCMV!F54&amp;" "&amp;AfsprakenCMV!G54&amp;", totaal "&amp;AfsprakenCMV!J54&amp;" "&amp;AfsprakenCMV!I54,"")</f>
        <v/>
      </c>
    </row>
    <row r="10" spans="1:3 4305:4305" x14ac:dyDescent="0.35">
      <c r="A10" t="s">
        <v>928</v>
      </c>
      <c r="B10" s="235" t="s">
        <v>912</v>
      </c>
      <c r="C10" t="str">
        <f>IF(AfsprakenCMV!C55&lt;&gt;0,AfsprakenCMV!C55&amp;" "&amp;AfsprakenCMV!E55&amp;" "&amp;AfsprakenCMV!F55&amp;" "&amp;AfsprakenCMV!G55&amp;", totaal "&amp;AfsprakenCMV!J55&amp;" "&amp;AfsprakenCMV!I55,"")</f>
        <v/>
      </c>
    </row>
    <row r="11" spans="1:3 4305:4305" x14ac:dyDescent="0.35">
      <c r="A11" t="s">
        <v>928</v>
      </c>
      <c r="B11" s="235" t="s">
        <v>913</v>
      </c>
      <c r="C11" t="str">
        <f>IF(AfsprakenCMV!C56&lt;&gt;0,AfsprakenCMV!C56&amp;" "&amp;AfsprakenCMV!E56&amp;" "&amp;AfsprakenCMV!F56&amp;" "&amp;AfsprakenCMV!G56&amp;", totaal "&amp;AfsprakenCMV!J56&amp;" "&amp;AfsprakenCMV!I56,"")</f>
        <v/>
      </c>
    </row>
    <row r="12" spans="1:3 4305:4305" x14ac:dyDescent="0.35">
      <c r="A12" t="s">
        <v>928</v>
      </c>
      <c r="B12" s="235" t="s">
        <v>914</v>
      </c>
      <c r="C12" t="str">
        <f>IF(AfsprakenCMV!C57&lt;&gt;0,AfsprakenCMV!C57&amp;" "&amp;AfsprakenCMV!E57&amp;" "&amp;AfsprakenCMV!F57&amp;" "&amp;AfsprakenCMV!G57&amp;", totaal "&amp;AfsprakenCMV!J57&amp;" "&amp;AfsprakenCMV!I57,"")</f>
        <v/>
      </c>
    </row>
    <row r="13" spans="1:3 4305:4305" x14ac:dyDescent="0.35">
      <c r="A13" t="s">
        <v>928</v>
      </c>
      <c r="B13" s="235" t="s">
        <v>915</v>
      </c>
      <c r="C13" t="str">
        <f>IF(AfsprakenCMV!C58&lt;&gt;0,AfsprakenCMV!C58&amp;" "&amp;AfsprakenCMV!E58&amp;" "&amp;AfsprakenCMV!F58&amp;" "&amp;AfsprakenCMV!G58&amp;", totaal "&amp;AfsprakenCMV!J58&amp;" "&amp;AfsprakenCMV!I58,"")</f>
        <v/>
      </c>
    </row>
    <row r="14" spans="1:3 4305:4305" x14ac:dyDescent="0.35">
      <c r="A14" t="s">
        <v>928</v>
      </c>
      <c r="B14" s="235" t="s">
        <v>916</v>
      </c>
      <c r="C14" t="str">
        <f>IF(AfsprakenCMV!C59&lt;&gt;0,AfsprakenCMV!C59&amp;" "&amp;AfsprakenCMV!E59&amp;" "&amp;AfsprakenCMV!F59&amp;" "&amp;AfsprakenCMV!G59&amp;", totaal "&amp;AfsprakenCMV!J59&amp;" "&amp;AfsprakenCMV!I59,"")</f>
        <v/>
      </c>
    </row>
    <row r="15" spans="1:3 4305:4305" x14ac:dyDescent="0.35">
      <c r="A15" t="s">
        <v>928</v>
      </c>
      <c r="B15" s="235">
        <v>10</v>
      </c>
      <c r="C15" t="str">
        <f>IF(AfsprakenCMV!C60&lt;&gt;0,AfsprakenCMV!C60&amp;" "&amp;AfsprakenCMV!E60&amp;" "&amp;AfsprakenCMV!F60&amp;" "&amp;AfsprakenCMV!G60&amp;", totaal "&amp;AfsprakenCMV!J60&amp;" "&amp;AfsprakenCMV!I60,"")</f>
        <v/>
      </c>
    </row>
    <row r="16" spans="1:3 4305:4305" x14ac:dyDescent="0.35">
      <c r="A16" t="s">
        <v>928</v>
      </c>
      <c r="B16" s="235">
        <v>11</v>
      </c>
      <c r="C16" t="str">
        <f>IF(AfsprakenCMV!C61&lt;&gt;0,AfsprakenCMV!C61&amp;" "&amp;AfsprakenCMV!E61&amp;" "&amp;AfsprakenCMV!F61&amp;" "&amp;AfsprakenCMV!G61&amp;", totaal "&amp;AfsprakenCMV!J61&amp;" "&amp;AfsprakenCMV!I61,"")</f>
        <v/>
      </c>
    </row>
    <row r="17" spans="1:6" x14ac:dyDescent="0.35">
      <c r="A17" t="s">
        <v>928</v>
      </c>
      <c r="B17" s="235">
        <v>12</v>
      </c>
      <c r="C17" t="str">
        <f>IF(AfsprakenCMV!C62&lt;&gt;0,AfsprakenCMV!C62&amp;" "&amp;AfsprakenCMV!E62&amp;" "&amp;AfsprakenCMV!F62&amp;" "&amp;AfsprakenCMV!G62&amp;", totaal "&amp;AfsprakenCMV!J62&amp;" "&amp;AfsprakenCMV!I62,"")</f>
        <v/>
      </c>
    </row>
    <row r="18" spans="1:6" x14ac:dyDescent="0.35">
      <c r="A18" t="s">
        <v>928</v>
      </c>
      <c r="B18" s="235">
        <v>13</v>
      </c>
      <c r="C18" t="str">
        <f>IF(AfsprakenCMV!C63&lt;&gt;0,AfsprakenCMV!C63&amp;" "&amp;AfsprakenCMV!E63&amp;" "&amp;AfsprakenCMV!F63&amp;" "&amp;AfsprakenCMV!G63&amp;", totaal "&amp;AfsprakenCMV!J63&amp;" "&amp;AfsprakenCMV!I63,"")</f>
        <v/>
      </c>
    </row>
    <row r="19" spans="1:6" x14ac:dyDescent="0.35">
      <c r="A19" t="s">
        <v>928</v>
      </c>
      <c r="B19" s="235">
        <v>14</v>
      </c>
      <c r="C19" t="str">
        <f>IF(AfsprakenCMV!C64&lt;&gt;0,AfsprakenCMV!C64&amp;" "&amp;AfsprakenCMV!E64&amp;" "&amp;AfsprakenCMV!F64&amp;" "&amp;AfsprakenCMV!G64&amp;", totaal "&amp;AfsprakenCMV!J64&amp;" "&amp;AfsprakenCMV!I64,"")</f>
        <v/>
      </c>
    </row>
    <row r="20" spans="1:6" x14ac:dyDescent="0.35">
      <c r="A20" t="s">
        <v>928</v>
      </c>
      <c r="B20" s="235">
        <v>15</v>
      </c>
      <c r="C20" t="str">
        <f>IF(AfsprakenCMV!C65&lt;&gt;0,AfsprakenCMV!C65&amp;" "&amp;AfsprakenCMV!E65&amp;" "&amp;AfsprakenCMV!F65&amp;" "&amp;AfsprakenCMV!G65&amp;", totaal "&amp;AfsprakenCMV!J65&amp;" "&amp;AfsprakenCMV!I65,"")</f>
        <v/>
      </c>
    </row>
    <row r="21" spans="1:6" x14ac:dyDescent="0.35">
      <c r="A21" t="s">
        <v>928</v>
      </c>
      <c r="B21" s="235">
        <v>16</v>
      </c>
      <c r="C21" t="str">
        <f>IF(ber_Opm!C4&lt;&gt;0,AfsprakenCMV!C67&amp;" "&amp;ber_Opm!C4,"")</f>
        <v/>
      </c>
    </row>
    <row r="22" spans="1:6" x14ac:dyDescent="0.35">
      <c r="A22" t="s">
        <v>929</v>
      </c>
      <c r="B22" s="235" t="s">
        <v>908</v>
      </c>
      <c r="C22" t="str">
        <f>ber_Med_disc!AC2</f>
        <v/>
      </c>
    </row>
    <row r="23" spans="1:6" x14ac:dyDescent="0.35">
      <c r="A23" t="s">
        <v>929</v>
      </c>
      <c r="B23" s="235" t="s">
        <v>909</v>
      </c>
      <c r="C23" t="str">
        <f>ber_Med_disc!AC3</f>
        <v/>
      </c>
    </row>
    <row r="24" spans="1:6" x14ac:dyDescent="0.35">
      <c r="A24" t="s">
        <v>929</v>
      </c>
      <c r="B24" s="235" t="s">
        <v>910</v>
      </c>
      <c r="C24" t="str">
        <f>ber_Med_disc!AC4</f>
        <v/>
      </c>
    </row>
    <row r="25" spans="1:6" x14ac:dyDescent="0.35">
      <c r="A25" t="s">
        <v>929</v>
      </c>
      <c r="B25" s="235" t="s">
        <v>911</v>
      </c>
      <c r="C25" t="str">
        <f>ber_Med_disc!AC5</f>
        <v/>
      </c>
    </row>
    <row r="26" spans="1:6" x14ac:dyDescent="0.35">
      <c r="A26" t="s">
        <v>929</v>
      </c>
      <c r="B26" s="235" t="s">
        <v>912</v>
      </c>
      <c r="C26" t="str">
        <f>ber_Med_disc!AC6</f>
        <v/>
      </c>
    </row>
    <row r="27" spans="1:6" x14ac:dyDescent="0.35">
      <c r="A27" t="s">
        <v>929</v>
      </c>
      <c r="B27" s="235" t="s">
        <v>913</v>
      </c>
      <c r="C27" t="str">
        <f>ber_Med_disc!AC7</f>
        <v/>
      </c>
    </row>
    <row r="28" spans="1:6" x14ac:dyDescent="0.35">
      <c r="A28" t="s">
        <v>929</v>
      </c>
      <c r="B28" s="235" t="s">
        <v>914</v>
      </c>
      <c r="C28" t="str">
        <f>ber_Med_disc!AC8</f>
        <v/>
      </c>
    </row>
    <row r="29" spans="1:6" x14ac:dyDescent="0.35">
      <c r="A29" t="s">
        <v>929</v>
      </c>
      <c r="B29" s="235" t="s">
        <v>915</v>
      </c>
      <c r="C29" t="str">
        <f>ber_Med_disc!AC9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ber_Med_disc!AC10</f>
        <v/>
      </c>
    </row>
    <row r="31" spans="1:6" x14ac:dyDescent="0.35">
      <c r="A31" t="s">
        <v>929</v>
      </c>
      <c r="B31" s="235">
        <v>10</v>
      </c>
      <c r="C31" t="str">
        <f>ber_Med_disc!AC11</f>
        <v/>
      </c>
    </row>
    <row r="32" spans="1:6" x14ac:dyDescent="0.35">
      <c r="A32" t="s">
        <v>929</v>
      </c>
      <c r="B32" s="235">
        <v>11</v>
      </c>
      <c r="C32" t="str">
        <f>ber_Med_disc!AC12</f>
        <v/>
      </c>
    </row>
    <row r="33" spans="1:7" x14ac:dyDescent="0.35">
      <c r="A33" t="s">
        <v>929</v>
      </c>
      <c r="B33" s="235">
        <v>12</v>
      </c>
      <c r="C33" t="str">
        <f>ber_Med_disc!AC13</f>
        <v/>
      </c>
    </row>
    <row r="34" spans="1:7" x14ac:dyDescent="0.35">
      <c r="A34" t="s">
        <v>929</v>
      </c>
      <c r="B34" s="235">
        <v>13</v>
      </c>
      <c r="C34" t="str">
        <f>ber_Med_disc!AC14</f>
        <v/>
      </c>
    </row>
    <row r="35" spans="1:7" x14ac:dyDescent="0.35">
      <c r="A35" t="s">
        <v>929</v>
      </c>
      <c r="B35" s="235">
        <v>14</v>
      </c>
      <c r="C35" t="str">
        <f>ber_Med_disc!AC15</f>
        <v/>
      </c>
    </row>
    <row r="36" spans="1:7" x14ac:dyDescent="0.35">
      <c r="A36" t="s">
        <v>929</v>
      </c>
      <c r="B36" s="235">
        <v>15</v>
      </c>
      <c r="C36" t="str">
        <f>ber_Med_disc!AC16</f>
        <v/>
      </c>
    </row>
    <row r="37" spans="1:7" x14ac:dyDescent="0.35">
      <c r="A37" t="s">
        <v>929</v>
      </c>
      <c r="B37" s="235">
        <v>16</v>
      </c>
      <c r="C37" t="str">
        <f>ber_Med_disc!AC17</f>
        <v/>
      </c>
    </row>
    <row r="38" spans="1:7" x14ac:dyDescent="0.35">
      <c r="A38" t="s">
        <v>929</v>
      </c>
      <c r="B38" s="235">
        <v>17</v>
      </c>
      <c r="C38" t="str">
        <f>ber_Med_disc!AC18</f>
        <v/>
      </c>
    </row>
    <row r="39" spans="1:7" x14ac:dyDescent="0.35">
      <c r="A39" t="s">
        <v>929</v>
      </c>
      <c r="B39" s="235">
        <v>18</v>
      </c>
      <c r="C39" t="str">
        <f>ber_Med_disc!AC19</f>
        <v/>
      </c>
    </row>
    <row r="40" spans="1:7" x14ac:dyDescent="0.35">
      <c r="A40" t="s">
        <v>929</v>
      </c>
      <c r="B40" s="235">
        <v>19</v>
      </c>
      <c r="C40" t="str">
        <f>ber_Med_disc!AC20</f>
        <v/>
      </c>
    </row>
    <row r="41" spans="1:7" x14ac:dyDescent="0.35">
      <c r="A41" t="s">
        <v>929</v>
      </c>
      <c r="B41" s="235">
        <v>20</v>
      </c>
      <c r="C41" t="str">
        <f>ber_Med_disc!AC21</f>
        <v/>
      </c>
    </row>
    <row r="42" spans="1:7" x14ac:dyDescent="0.35">
      <c r="A42" s="517" t="s">
        <v>929</v>
      </c>
      <c r="B42" s="520">
        <v>21</v>
      </c>
      <c r="C42" s="517" t="str">
        <f>ber_Med_disc!AC22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ber_Med_disc!AC23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ber_Med_disc!AC24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ber_Med_disc!AC25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ber_Med_disc!AC26</f>
        <v/>
      </c>
    </row>
    <row r="47" spans="1:7" x14ac:dyDescent="0.35">
      <c r="A47" s="517" t="s">
        <v>929</v>
      </c>
      <c r="B47" s="520">
        <v>26</v>
      </c>
      <c r="C47" s="517" t="str">
        <f>ber_Med_disc!AC27</f>
        <v/>
      </c>
    </row>
    <row r="48" spans="1:7" x14ac:dyDescent="0.35">
      <c r="A48" s="517" t="s">
        <v>929</v>
      </c>
      <c r="B48" s="520">
        <v>27</v>
      </c>
      <c r="C48" s="517" t="str">
        <f>ber_Med_disc!AC28</f>
        <v/>
      </c>
    </row>
    <row r="49" spans="1:5" x14ac:dyDescent="0.35">
      <c r="A49" s="517" t="s">
        <v>929</v>
      </c>
      <c r="B49" s="520">
        <v>28</v>
      </c>
      <c r="C49" s="517" t="str">
        <f>ber_Med_disc!AC29</f>
        <v/>
      </c>
    </row>
    <row r="50" spans="1:5" x14ac:dyDescent="0.35">
      <c r="A50" s="517" t="s">
        <v>929</v>
      </c>
      <c r="B50" s="520">
        <v>29</v>
      </c>
      <c r="C50" s="517" t="str">
        <f>ber_Med_disc!AC30</f>
        <v/>
      </c>
    </row>
    <row r="51" spans="1:5" x14ac:dyDescent="0.35">
      <c r="A51" s="517" t="s">
        <v>929</v>
      </c>
      <c r="B51" s="520">
        <v>30</v>
      </c>
      <c r="C51" s="517" t="str">
        <f>ber_Med_disc!AC31</f>
        <v/>
      </c>
    </row>
    <row r="52" spans="1:5" x14ac:dyDescent="0.35">
      <c r="A52" s="518" t="s">
        <v>1656</v>
      </c>
      <c r="B52" s="520" t="s">
        <v>908</v>
      </c>
      <c r="C52" s="517" t="str">
        <f>IF('Aanvullende afspraken Ped'!C41="","",CONCATENATE('Aanvullende afspraken Ped'!B41,": ",'Aanvullende afspraken Ped'!C41))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IF('Aanvullende afspraken Ped'!C42="","",CONCATENATE('Aanvullende afspraken Ped'!B42,": ",'Aanvullende afspraken Ped'!C42))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IF('Aanvullende afspraken Ped'!C43="","",CONCATENATE('Aanvullende afspraken Ped'!B43,": ",'Aanvullende afspraken Ped'!C43))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IF('Aanvullende afspraken Ped'!C44="","",CONCATENATE('Aanvullende afspraken Ped'!B44,": ",'Aanvullende afspraken Ped'!C44))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IF(AfsprakenCMV!C39&lt;&gt;0,AfsprakenCMV!C39,"")</f>
        <v/>
      </c>
    </row>
    <row r="57" spans="1:5" x14ac:dyDescent="0.35">
      <c r="A57" t="s">
        <v>930</v>
      </c>
      <c r="B57" s="235" t="s">
        <v>909</v>
      </c>
      <c r="C57" t="str">
        <f>IF(AfsprakenCMV!C40&lt;&gt;0,AfsprakenCMV!C40,"")</f>
        <v/>
      </c>
    </row>
    <row r="58" spans="1:5" x14ac:dyDescent="0.35">
      <c r="A58" t="s">
        <v>930</v>
      </c>
      <c r="B58" s="235" t="s">
        <v>910</v>
      </c>
      <c r="C58" t="str">
        <f>IF(AfsprakenCMV!C41&lt;&gt;0,AfsprakenCMV!C41,"")</f>
        <v/>
      </c>
    </row>
    <row r="59" spans="1:5" x14ac:dyDescent="0.35">
      <c r="A59" t="s">
        <v>930</v>
      </c>
      <c r="B59" s="235" t="s">
        <v>911</v>
      </c>
      <c r="C59" t="str">
        <f>IF(AfsprakenCMV!C42&lt;&gt;0,AfsprakenCMV!C42,"")</f>
        <v/>
      </c>
    </row>
    <row r="60" spans="1:5" x14ac:dyDescent="0.35">
      <c r="A60" t="s">
        <v>930</v>
      </c>
      <c r="B60" s="235" t="s">
        <v>912</v>
      </c>
      <c r="C60" t="str">
        <f>IF(AfsprakenCMV!C43&lt;&gt;0,AfsprakenCMV!C43,"")</f>
        <v/>
      </c>
    </row>
    <row r="61" spans="1:5" x14ac:dyDescent="0.35">
      <c r="A61" t="s">
        <v>930</v>
      </c>
      <c r="B61" s="235" t="s">
        <v>913</v>
      </c>
      <c r="C61" t="str">
        <f>IF(AfsprakenCMV!C44&lt;&gt;0,AfsprakenCMV!C44,"")</f>
        <v/>
      </c>
    </row>
    <row r="62" spans="1:5" x14ac:dyDescent="0.35">
      <c r="A62" t="s">
        <v>930</v>
      </c>
      <c r="B62" s="235" t="s">
        <v>914</v>
      </c>
      <c r="C62" t="str">
        <f>IF(AfsprakenCMV!D67&lt;&gt;0,"Opmerkingen: "&amp;AfsprakenCMV!D67,"")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IF(ber_Infusen!D2&gt;1,"Pacemaker: "&amp;INDEX(tblPacemakerPositie,ber_Infusen!D2)&amp;", Modus:"&amp;INDEX(tblPacemakerModus,ber_Infusen!E2)&amp;"; Frequentie:"&amp;ber_Infusen!G1&amp;", Atriale output:"&amp;ber_Infusen!G2&amp;", Ventr. Output:"&amp;ber_Infusen!G3&amp;", AV interval:"&amp;ber_Infusen!G4&amp;", Atriale sens.:"&amp;ber_Infusen!G5&amp;", Ventr. sens.:"&amp;ber_Infusen!G6,"")</f>
        <v/>
      </c>
    </row>
    <row r="64" spans="1:5" x14ac:dyDescent="0.35">
      <c r="A64" t="s">
        <v>931</v>
      </c>
      <c r="B64" s="235" t="s">
        <v>908</v>
      </c>
      <c r="C64" t="str">
        <f>IF(AfsprakenCMV!G6&lt;&gt;"",AfsprakenCMV!G6&amp;": ","")&amp;IF(AfsprakenCMV!C7&lt;&gt;0,AfsprakenCMV!C7&amp;" ","")&amp;AfsprakenCMV!G7&amp;IF(AfsprakenCMV!D8&lt;&gt;""," "&amp;AfsprakenCMV!D8,"")&amp;IF(AfsprakenCMV!D9&lt;&gt;""," en "&amp;AfsprakenCMV!D9,"")&amp;IF(AfsprakenCMV!D10&lt;&gt;""," en "&amp;AfsprakenCMV!D10,"")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IF(AfsprakenCMV!D12&lt;&gt;0,"Opmerkingen: "&amp;AfsprakenCMV!D12,"")</f>
        <v/>
      </c>
    </row>
    <row r="66" spans="1:3" x14ac:dyDescent="0.35">
      <c r="A66" t="s">
        <v>931</v>
      </c>
      <c r="B66" s="235" t="s">
        <v>910</v>
      </c>
      <c r="C66" t="str">
        <f>IF(AfsprakenCMV!E70&lt;&gt;"",AfsprakenCMV!D70&amp;": "&amp;AfsprakenCMV!E70,"")&amp;IF(AfsprakenCMV!F71&lt;&gt;""," met "&amp;AfsprakenCMV!D71&amp;" "&amp;AfsprakenCMV!F71,"")&amp;IF(AfsprakenCMV!F73&lt;&gt;"",", "&amp;AfsprakenCMV!D73&amp;" "&amp;AfsprakenCMV!F73,"")&amp;IF(AfsprakenCMV!F74&lt;&gt;"",", "&amp;AfsprakenCMV!D74&amp;" "&amp;AfsprakenCMV!F74,"")&amp;IF(AfsprakenCMV!F75&lt;&gt; "",", "&amp;AfsprakenCMV!D75&amp;" "&amp;AfsprakenCMV!F75,"")&amp;IF(AfsprakenCMV!E72&lt;&gt; "",", "&amp;AfsprakenCMV!D72&amp;" "&amp;AfsprakenCMV!E72,"")</f>
        <v/>
      </c>
    </row>
    <row r="67" spans="1:3" x14ac:dyDescent="0.35">
      <c r="A67" t="s">
        <v>931</v>
      </c>
      <c r="B67" s="235" t="s">
        <v>911</v>
      </c>
      <c r="C67" t="str">
        <f>IF(AfsprakenCMV!E77&lt;&gt;"",AfsprakenCMV!D77&amp;": "&amp;AfsprakenCMV!E77,"")&amp;IF(AfsprakenCMV!F78&lt;&gt;"",", "&amp;AfsprakenCMV!D78&amp;" "&amp;AfsprakenCMV!F78,"")&amp;IF(AfsprakenCMV!F79&lt;&gt;"",", "&amp;AfsprakenCMV!D79&amp;" "&amp;AfsprakenCMV!F79,"")&amp;IF(AfsprakenCMV!F80&lt;&gt;"",", "&amp;AfsprakenCMV!D80&amp;" "&amp;AfsprakenCMV!F80,"")&amp;IF(AfsprakenCMV!F81&lt;&gt;"",", "&amp;AfsprakenCMV!D81&amp;" "&amp;AfsprakenCMV!F81,"")&amp;IF(AfsprakenCMV!F82&lt;&gt;"",", "&amp;AfsprakenCMV!D82&amp;" "&amp;AfsprakenCMV!F82,"")&amp;IF(AfsprakenCMV!F83&lt;&gt;"",", "&amp;AfsprakenCMV!D83&amp;" "&amp;AfsprakenCMV!F83,"")</f>
        <v/>
      </c>
    </row>
    <row r="68" spans="1:3" x14ac:dyDescent="0.35">
      <c r="A68" t="s">
        <v>931</v>
      </c>
      <c r="B68" s="235" t="s">
        <v>912</v>
      </c>
      <c r="C68" t="str">
        <f>IF(AfsprakenCMV!E85&lt;&gt;" ",AfsprakenCMV!D85&amp;": "&amp;AfsprakenCMV!E85,"")</f>
        <v/>
      </c>
    </row>
    <row r="69" spans="1:3" x14ac:dyDescent="0.35">
      <c r="A69" t="s">
        <v>931</v>
      </c>
      <c r="B69" s="235" t="s">
        <v>913</v>
      </c>
      <c r="C69" t="str">
        <f>IF(AfsprakenCMV!E87&lt;&gt;"",AfsprakenCMV!D87&amp;": "&amp;AfsprakenCMV!E87,"")&amp;IF(AfsprakenCMV!F88&lt;&gt;"",",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70" spans="1:3" x14ac:dyDescent="0.35">
      <c r="A70" t="s">
        <v>931</v>
      </c>
      <c r="B70" s="235" t="s">
        <v>914</v>
      </c>
      <c r="C70" t="str">
        <f>IF(AfsprakenCMV!I70&lt;&gt;"",AfsprakenCMV!H70&amp;": "&amp;AfsprakenCMV!I70,"")&amp;IF(AfsprakenCMV!J71&lt;&gt;"",", "&amp;AfsprakenCMV!H71&amp;" "&amp;AfsprakenCMV!J71,"")&amp;IF(AfsprakenCMV!J72&lt;&gt;"",", "&amp;AfsprakenCMV!H72&amp;" "&amp;AfsprakenCMV!J72,"")&amp;IF(AfsprakenCMV!J73&lt;&gt;"",", "&amp;AfsprakenCMV!H73&amp;" "&amp;AfsprakenCMV!J73,"")</f>
        <v/>
      </c>
    </row>
    <row r="71" spans="1:3" x14ac:dyDescent="0.35">
      <c r="A71" t="s">
        <v>931</v>
      </c>
      <c r="B71" s="236" t="s">
        <v>915</v>
      </c>
      <c r="C71" t="str">
        <f>IF(Intake!D32&lt;&gt;0,"Opmerkingen: "&amp;Intake!D32,"")</f>
        <v/>
      </c>
    </row>
    <row r="72" spans="1:3" x14ac:dyDescent="0.35">
      <c r="A72" t="s">
        <v>285</v>
      </c>
      <c r="B72" s="235" t="s">
        <v>908</v>
      </c>
      <c r="C72" t="str">
        <f>IF(AfsprakenCMV!D15&lt;&gt;"",AfsprakenCMV!C15&amp;": "&amp;AfsprakenCMV!D15,"")</f>
        <v/>
      </c>
    </row>
    <row r="73" spans="1:3" x14ac:dyDescent="0.35">
      <c r="A73" t="s">
        <v>285</v>
      </c>
      <c r="B73" s="235" t="s">
        <v>909</v>
      </c>
      <c r="C73" t="str">
        <f>IF(AfsprakenCMV!D16&lt;&gt;"",AfsprakenCMV!C16&amp;": "&amp;AfsprakenCMV!D16,"")</f>
        <v>14:00 uur: A</v>
      </c>
    </row>
    <row r="74" spans="1:3" x14ac:dyDescent="0.35">
      <c r="A74" t="s">
        <v>285</v>
      </c>
      <c r="B74" s="235" t="s">
        <v>910</v>
      </c>
      <c r="C74" t="str">
        <f>IF(AfsprakenCMV!D17&lt;&gt;"",AfsprakenCMV!C17&amp;": "&amp;AfsprakenCMV!D17,"")</f>
        <v/>
      </c>
    </row>
    <row r="75" spans="1:3" x14ac:dyDescent="0.35">
      <c r="A75" t="s">
        <v>285</v>
      </c>
      <c r="B75" s="235" t="s">
        <v>911</v>
      </c>
      <c r="C75" t="str">
        <f>IF(AfsprakenCMV!D18&lt;&gt;"",AfsprakenCMV!C18&amp;": "&amp;AfsprakenCMV!D18,"")</f>
        <v/>
      </c>
    </row>
    <row r="76" spans="1:3" x14ac:dyDescent="0.35">
      <c r="A76" t="s">
        <v>285</v>
      </c>
      <c r="B76" s="235" t="s">
        <v>912</v>
      </c>
      <c r="C76" t="str">
        <f>IF(AfsprakenCMV!D19&lt;&gt;"",AfsprakenCMV!C19&amp;": "&amp;AfsprakenCMV!D19,"")</f>
        <v/>
      </c>
    </row>
    <row r="77" spans="1:3" x14ac:dyDescent="0.35">
      <c r="A77" t="s">
        <v>285</v>
      </c>
      <c r="B77" s="235" t="s">
        <v>913</v>
      </c>
      <c r="C77" t="str">
        <f>IF(AfsprakenCMV!D20&lt;&gt;0,AfsprakenCMV!C20&amp;": "&amp;AfsprakenCMV!D20,"")</f>
        <v/>
      </c>
    </row>
    <row r="78" spans="1:3" x14ac:dyDescent="0.35">
      <c r="A78" t="s">
        <v>728</v>
      </c>
      <c r="B78" s="235" t="s">
        <v>908</v>
      </c>
      <c r="C78" t="str">
        <f>AfsprakenCMV!C96&amp;": "&amp;AfsprakenCMV!D96</f>
        <v>Vocht: 0 ml/kg</v>
      </c>
    </row>
    <row r="79" spans="1:3" x14ac:dyDescent="0.35">
      <c r="A79" t="s">
        <v>728</v>
      </c>
      <c r="B79" s="235" t="s">
        <v>909</v>
      </c>
      <c r="C79" t="str">
        <f>AfsprakenCMV!C97&amp;": "&amp;AfsprakenCMV!D97</f>
        <v>Eiwit: 0  gram/kg</v>
      </c>
    </row>
    <row r="80" spans="1:3" x14ac:dyDescent="0.35">
      <c r="A80" t="s">
        <v>728</v>
      </c>
      <c r="B80" s="235" t="s">
        <v>910</v>
      </c>
      <c r="C80" t="str">
        <f>AfsprakenCMV!C98&amp;": "&amp;AfsprakenCMV!D98</f>
        <v>Glucose/KH: 0 g/kg</v>
      </c>
    </row>
    <row r="81" spans="1:3" x14ac:dyDescent="0.35">
      <c r="A81" t="s">
        <v>728</v>
      </c>
      <c r="B81" s="235" t="s">
        <v>911</v>
      </c>
      <c r="C81" t="str">
        <f>AfsprakenCMV!E96&amp;": "&amp;AfsprakenCMV!F96</f>
        <v>Calorieen: 0 kCal/kg</v>
      </c>
    </row>
    <row r="82" spans="1:3" x14ac:dyDescent="0.35">
      <c r="A82" t="s">
        <v>728</v>
      </c>
      <c r="B82" s="235" t="s">
        <v>912</v>
      </c>
      <c r="C82" t="str">
        <f>AfsprakenCMV!E97&amp;": "&amp;AfsprakenCMV!F97</f>
        <v>Vet: 0 gram/kg</v>
      </c>
    </row>
    <row r="83" spans="1:3" x14ac:dyDescent="0.35">
      <c r="A83" t="s">
        <v>728</v>
      </c>
      <c r="B83" s="235" t="s">
        <v>913</v>
      </c>
      <c r="C83" t="str">
        <f>AfsprakenCMV!G96&amp;": "&amp;AfsprakenCMV!H96</f>
        <v>Kalium: 0 mmol/kg</v>
      </c>
    </row>
    <row r="84" spans="1:3" x14ac:dyDescent="0.35">
      <c r="A84" t="s">
        <v>728</v>
      </c>
      <c r="B84" s="235" t="s">
        <v>914</v>
      </c>
      <c r="C84" t="str">
        <f>AfsprakenCMV!G97&amp;": "&amp;AfsprakenCMV!H97</f>
        <v>Calcium: 0 mmol/kg</v>
      </c>
    </row>
    <row r="85" spans="1:3" x14ac:dyDescent="0.35">
      <c r="A85" t="s">
        <v>728</v>
      </c>
      <c r="B85" s="235" t="s">
        <v>915</v>
      </c>
      <c r="C85" t="str">
        <f>AfsprakenCMV!G98&amp;": "&amp;AfsprakenCMV!H98</f>
        <v>Magnesium: 0 mmol/kg</v>
      </c>
    </row>
    <row r="86" spans="1:3" x14ac:dyDescent="0.35">
      <c r="A86" t="s">
        <v>728</v>
      </c>
      <c r="B86" s="235" t="s">
        <v>916</v>
      </c>
      <c r="C86" t="str">
        <f>AfsprakenCMV!I96&amp;": "&amp;AfsprakenCMV!J96</f>
        <v>Natrium : 0 mmol/kg</v>
      </c>
    </row>
    <row r="87" spans="1:3" x14ac:dyDescent="0.35">
      <c r="A87" t="s">
        <v>728</v>
      </c>
      <c r="B87" s="235">
        <v>10</v>
      </c>
      <c r="C87" t="str">
        <f>AfsprakenCMV!I97&amp;": "&amp;AfsprakenCMV!J97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Afspraken!H15</f>
        <v>80 weken en 2 dag(-en)</v>
      </c>
    </row>
    <row r="89" spans="1:3" x14ac:dyDescent="0.35">
      <c r="A89" s="518" t="s">
        <v>2283</v>
      </c>
      <c r="B89" s="520" t="s">
        <v>908</v>
      </c>
      <c r="C89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IF(Berekeningen!B32="","",Berekeningen!B32)</f>
        <v/>
      </c>
    </row>
    <row r="99" spans="1:7" x14ac:dyDescent="0.35">
      <c r="A99" s="518" t="s">
        <v>2283</v>
      </c>
      <c r="B99" s="520" t="s">
        <v>1265</v>
      </c>
      <c r="C99" s="517" t="str">
        <f>IF(Berekeningen!B33="","",Berekeningen!B33)</f>
        <v/>
      </c>
    </row>
    <row r="100" spans="1:7" x14ac:dyDescent="0.35">
      <c r="A100" s="518" t="s">
        <v>2283</v>
      </c>
      <c r="B100" s="520" t="s">
        <v>1266</v>
      </c>
      <c r="C100" s="517" t="str">
        <f>IF(Berekeningen!E29&lt;&gt;0, Afspraken!B42&amp;": "&amp; INDEX(Opl,Berekeningen!$E29,1)&amp;" " &amp; 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IF(Berekeningen!E30&lt;&gt;0, Afspraken!B43&amp;": "&amp; INDEX(Opl,Berekeningen!$E30,1)&amp;" " &amp; 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IF(Berekeningen!E31&lt;&gt;0, Afspraken!B44&amp;": "&amp; INDEX(Opl,Berekeningen!$E31,1)&amp;" " &amp; 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IF(Berekeningen!C35&lt;&gt;0,CONCATENATE(INDEX(lijstIntralipidSmof,SelectedIntralipidSmof)," ",ROUNDUP(Berekeningen!C35/24,1),"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IF('Aanvullende afspraken Neo'!C45="","",CONCATENATE('Aanvullende afspraken Neo'!B45,": ",'Aanvullende afspraken Neo'!C45))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IF('Aanvullende afspraken Neo'!C46="","",CONCATENATE('Aanvullende afspraken Neo'!B46,": ",'Aanvullende afspraken Neo'!C46))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IF('Aanvullende afspraken Neo'!C47="","",CONCATENATE('Aanvullende afspraken Neo'!B47,": ",'Aanvullende afspraken Neo'!C47))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IF('Aanvullende afspraken Neo'!C48="","",CONCATENATE('Aanvullende afspraken Neo'!B48,": ",'Aanvullende afspraken Neo'!C48))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IF('Aanvullende afspraken Neo'!C49="","",CONCATENATE('Aanvullende afspraken Neo'!B49,": ",'Aanvullende afspraken Neo'!C49))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IF(Afspraken!D65&lt;&gt;"",Afspraken!C65&amp;": "&amp;Afspraken!D65,"")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IF(Afspraken!D66&lt;&gt;"",Afspraken!C66&amp;": "&amp;Afspraken!D66,"")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IF(Afspraken!D67&lt;&gt;"",Afspraken!C67&amp;": "&amp;Afspraken!D67,"")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IF(Afspraken!D68&lt;&gt;"",Afspraken!C68&amp;": "&amp;Afspraken!D68,"")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IF(Afspraken!D69&lt;&gt;"",Afspraken!C69&amp;": "&amp;Afspraken!D69,"")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IF(Afspraken!D70&lt;&gt;"",Afspraken!C70&amp;": "&amp;Afspraken!D70,"")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IF(Afspraken!D71&lt;&gt;"",Afspraken!C71&amp;" "&amp;Afspraken!D71,"")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IF(Afspraken!D72&lt;&gt;"",Afspraken!C72&amp;" "&amp;Afspraken!D72,"")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IF(Afspraken!D73&lt;&gt;"",Afspraken!C73&amp;" "&amp;Afspraken!D73,"")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CONCATENATE(Afspraken!B3,"        : ",Afspraken!$C$2," - ",Afspraken!C3,"; ",Afspraken!$D$2," - ",Afspraken!D3,"; ",Afspraken!$E$2," - ",Afspraken!E3,";")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CONCATENATE(Afspraken!B4,"            : ",Afspraken!C2," - ",Afspraken!C4,"; ",Afspraken!$D$2," - ",Afspraken!D4,"; ",Afspraken!$E$2," - ",Afspraken!E4,";")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CONCATENATE(Afspraken!B5,"              : ",Afspraken!$C$2," - ",Afspraken!C5,"; ",Afspraken!$D$2," - ",Afspraken!D5,"; ",Afspraken!$E$2," - ",Afspraken!E5,";")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CONCATENATE(Afspraken!B6,"       : ",Afspraken!$C$2," - ",Afspraken!C6,"; ",Afspraken!$D$2," - ",Afspraken!D6,"; ",Afspraken!$E$2," - ",Afspraken!E6,";")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CONCATENATE(Afspraken!B7,"        : ",Afspraken!$C$2," - ",Afspraken!C7,"; ",Afspraken!$D$2," - ",Afspraken!D7,"; ",Afspraken!$E$2," - ",Afspraken!E7,";")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CONCATENATE(Afspraken!B8,"            : ",Afspraken!$C$2," - ",Afspraken!C8,"; ",Afspraken!$D$2," - ",Afspraken!D8,"; ",Afspraken!$E$2," - ",Afspraken!E8,";")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CONCATENATE(Afspraken!G3,"        : ",Afspraken!$H$2," - ",Afspraken!H3,"; ",Afspraken!$I$2," - ",Afspraken!I3,"; ",Afspraken!$J$2," - ",Afspraken!J3,";")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CONCATENATE(Afspraken!G4,"         : ",Afspraken!$H$2," - ",Afspraken!H4,"; ",Afspraken!$I$2," - ",Afspraken!I4,"; ",Afspraken!$J$2," - ",Afspraken!J4,";")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CONCATENATE(Afspraken!G5,"       : ",Afspraken!$H$2," - ",Afspraken!H5,"; ",Afspraken!$I$2," - ",Afspraken!I5,"; ",Afspraken!$J$2," - ",Afspraken!J5,";")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CONCATENATE(Afspraken!G6,"  : ",Afspraken!$H$2," - ",Afspraken!H6,"; ",Afspraken!$I$2," - ",Afspraken!I6,"; ",Afspraken!$J$2," - ",Afspraken!J6,";")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CONCATENATE(Afspraken!G7,"          : ",Afspraken!$H$2," - ",Afspraken!H7,"; ",Afspraken!$I$2," - ",Afspraken!I7,"; ",Afspraken!$J$2," - ",Afspraken!J7,";")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CONCATENATE(Afspraken!G8,"         : ",Afspraken!$H$2," - ",Afspraken!H8,"; ",Afspraken!$I$2," - ",Afspraken!I8,"; ",Afspraken!$J$2," - ",Afspraken!J8,";")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2639</v>
      </c>
      <c r="C2" t="s">
        <v>562</v>
      </c>
    </row>
    <row r="3" spans="1:20" x14ac:dyDescent="0.35">
      <c r="A3" t="s">
        <v>970</v>
      </c>
      <c r="B3" s="517" t="s">
        <v>2639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2640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2641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2642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2639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2639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2643</v>
      </c>
    </row>
    <row r="831" spans="1:4" x14ac:dyDescent="0.35">
      <c r="A831" s="517" t="s">
        <v>1455</v>
      </c>
      <c r="B831" t="s">
        <v>2644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/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>
    <tabColor rgb="FF92D050"/>
  </sheetPr>
  <dimension ref="A1:D46"/>
  <sheetViews>
    <sheetView topLeftCell="A16" workbookViewId="0"/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>
    <tabColor rgb="FF92D050"/>
  </sheetPr>
  <dimension ref="A1:H20"/>
  <sheetViews>
    <sheetView workbookViewId="0"/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355</v>
      </c>
      <c r="B1" t="s">
        <v>356</v>
      </c>
    </row>
    <row r="2" spans="1:2" x14ac:dyDescent="0.35">
      <c r="A2" t="s">
        <v>969</v>
      </c>
      <c r="B2" t="s">
        <v>2639</v>
      </c>
    </row>
    <row r="3" spans="1:2" x14ac:dyDescent="0.35">
      <c r="A3" t="s">
        <v>970</v>
      </c>
      <c r="B3" t="s">
        <v>2639</v>
      </c>
    </row>
    <row r="4" spans="1:2" x14ac:dyDescent="0.35">
      <c r="A4" t="s">
        <v>450</v>
      </c>
      <c r="B4">
        <v>42640</v>
      </c>
    </row>
    <row r="5" spans="1:2" x14ac:dyDescent="0.35">
      <c r="A5" t="s">
        <v>757</v>
      </c>
      <c r="B5" t="b">
        <v>1</v>
      </c>
    </row>
    <row r="6" spans="1:2" x14ac:dyDescent="0.35">
      <c r="A6" t="s">
        <v>758</v>
      </c>
      <c r="B6">
        <v>7</v>
      </c>
    </row>
    <row r="7" spans="1:2" x14ac:dyDescent="0.35">
      <c r="A7" t="s">
        <v>568</v>
      </c>
      <c r="B7" t="b">
        <v>1</v>
      </c>
    </row>
    <row r="8" spans="1:2" x14ac:dyDescent="0.35">
      <c r="A8" t="s">
        <v>78</v>
      </c>
      <c r="B8">
        <v>1</v>
      </c>
    </row>
    <row r="9" spans="1:2" x14ac:dyDescent="0.35">
      <c r="A9" t="s">
        <v>79</v>
      </c>
    </row>
    <row r="10" spans="1:2" x14ac:dyDescent="0.35">
      <c r="A10" t="s">
        <v>80</v>
      </c>
    </row>
    <row r="11" spans="1:2" x14ac:dyDescent="0.35">
      <c r="A11" t="s">
        <v>81</v>
      </c>
    </row>
    <row r="12" spans="1:2" x14ac:dyDescent="0.35">
      <c r="A12" t="s">
        <v>21</v>
      </c>
    </row>
    <row r="13" spans="1:2" x14ac:dyDescent="0.35">
      <c r="A13" t="s">
        <v>22</v>
      </c>
    </row>
    <row r="14" spans="1:2" x14ac:dyDescent="0.35">
      <c r="A14" t="s">
        <v>703</v>
      </c>
    </row>
    <row r="15" spans="1:2" x14ac:dyDescent="0.35">
      <c r="A15" t="s">
        <v>704</v>
      </c>
    </row>
    <row r="16" spans="1:2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t="s">
        <v>2546</v>
      </c>
    </row>
    <row r="22" spans="1:2" x14ac:dyDescent="0.35">
      <c r="A22" t="s">
        <v>2547</v>
      </c>
    </row>
    <row r="23" spans="1:2" x14ac:dyDescent="0.35">
      <c r="A23" t="s">
        <v>2548</v>
      </c>
    </row>
    <row r="24" spans="1:2" x14ac:dyDescent="0.35">
      <c r="A24" t="s">
        <v>2549</v>
      </c>
    </row>
    <row r="25" spans="1:2" x14ac:dyDescent="0.35">
      <c r="A25" t="s">
        <v>2550</v>
      </c>
    </row>
    <row r="26" spans="1:2" x14ac:dyDescent="0.35">
      <c r="A26" t="s">
        <v>2551</v>
      </c>
    </row>
    <row r="27" spans="1:2" x14ac:dyDescent="0.35">
      <c r="A27" t="s">
        <v>2552</v>
      </c>
    </row>
    <row r="28" spans="1:2" x14ac:dyDescent="0.35">
      <c r="A28" t="s">
        <v>2553</v>
      </c>
    </row>
    <row r="29" spans="1:2" x14ac:dyDescent="0.35">
      <c r="A29" t="s">
        <v>2554</v>
      </c>
    </row>
    <row r="30" spans="1:2" x14ac:dyDescent="0.35">
      <c r="A30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2" x14ac:dyDescent="0.35">
      <c r="A33" t="s">
        <v>58</v>
      </c>
    </row>
    <row r="34" spans="1:2" x14ac:dyDescent="0.35">
      <c r="A34" t="s">
        <v>59</v>
      </c>
    </row>
    <row r="35" spans="1:2" x14ac:dyDescent="0.35">
      <c r="A35" t="s">
        <v>60</v>
      </c>
    </row>
    <row r="36" spans="1:2" x14ac:dyDescent="0.35">
      <c r="A36" t="s">
        <v>61</v>
      </c>
    </row>
    <row r="37" spans="1:2" x14ac:dyDescent="0.35">
      <c r="A37" t="s">
        <v>134</v>
      </c>
    </row>
    <row r="38" spans="1:2" x14ac:dyDescent="0.35">
      <c r="A38" t="s">
        <v>135</v>
      </c>
      <c r="B38" t="s">
        <v>364</v>
      </c>
    </row>
    <row r="39" spans="1:2" x14ac:dyDescent="0.35">
      <c r="A39" t="s">
        <v>136</v>
      </c>
    </row>
    <row r="40" spans="1:2" x14ac:dyDescent="0.35">
      <c r="A40" t="s">
        <v>137</v>
      </c>
    </row>
    <row r="41" spans="1:2" x14ac:dyDescent="0.35">
      <c r="A41" t="s">
        <v>138</v>
      </c>
    </row>
    <row r="42" spans="1:2" x14ac:dyDescent="0.35">
      <c r="A42" t="s">
        <v>139</v>
      </c>
    </row>
    <row r="43" spans="1:2" x14ac:dyDescent="0.35">
      <c r="A43" t="s">
        <v>140</v>
      </c>
    </row>
    <row r="44" spans="1:2" x14ac:dyDescent="0.35">
      <c r="A44" t="s">
        <v>141</v>
      </c>
    </row>
    <row r="45" spans="1:2" x14ac:dyDescent="0.35">
      <c r="A45" t="s">
        <v>142</v>
      </c>
    </row>
    <row r="46" spans="1:2" x14ac:dyDescent="0.35">
      <c r="A46" t="s">
        <v>143</v>
      </c>
    </row>
    <row r="47" spans="1:2" x14ac:dyDescent="0.35">
      <c r="A47" t="s">
        <v>144</v>
      </c>
    </row>
    <row r="48" spans="1:2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t="s">
        <v>2536</v>
      </c>
    </row>
    <row r="52" spans="1:2" x14ac:dyDescent="0.35">
      <c r="A52" t="s">
        <v>2537</v>
      </c>
    </row>
    <row r="53" spans="1:2" x14ac:dyDescent="0.35">
      <c r="A53" t="s">
        <v>2538</v>
      </c>
    </row>
    <row r="54" spans="1:2" x14ac:dyDescent="0.35">
      <c r="A54" t="s">
        <v>2539</v>
      </c>
    </row>
    <row r="55" spans="1:2" x14ac:dyDescent="0.35">
      <c r="A55" t="s">
        <v>2540</v>
      </c>
    </row>
    <row r="56" spans="1:2" x14ac:dyDescent="0.35">
      <c r="A56" t="s">
        <v>2541</v>
      </c>
    </row>
    <row r="57" spans="1:2" x14ac:dyDescent="0.35">
      <c r="A57" t="s">
        <v>2542</v>
      </c>
    </row>
    <row r="58" spans="1:2" x14ac:dyDescent="0.35">
      <c r="A58" t="s">
        <v>2543</v>
      </c>
    </row>
    <row r="59" spans="1:2" x14ac:dyDescent="0.35">
      <c r="A59" t="s">
        <v>2544</v>
      </c>
    </row>
    <row r="60" spans="1:2" x14ac:dyDescent="0.35">
      <c r="A60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2" x14ac:dyDescent="0.35">
      <c r="A65" t="s">
        <v>483</v>
      </c>
    </row>
    <row r="66" spans="1:2" x14ac:dyDescent="0.35">
      <c r="A66" t="s">
        <v>484</v>
      </c>
    </row>
    <row r="67" spans="1:2" x14ac:dyDescent="0.35">
      <c r="A67" t="s">
        <v>505</v>
      </c>
    </row>
    <row r="68" spans="1:2" x14ac:dyDescent="0.35">
      <c r="A68" t="s">
        <v>301</v>
      </c>
      <c r="B68">
        <v>1</v>
      </c>
    </row>
    <row r="69" spans="1:2" x14ac:dyDescent="0.35">
      <c r="A69" t="s">
        <v>302</v>
      </c>
    </row>
    <row r="70" spans="1:2" x14ac:dyDescent="0.35">
      <c r="A70" t="s">
        <v>303</v>
      </c>
    </row>
    <row r="71" spans="1:2" x14ac:dyDescent="0.35">
      <c r="A71" t="s">
        <v>304</v>
      </c>
    </row>
    <row r="72" spans="1:2" x14ac:dyDescent="0.35">
      <c r="A72" t="s">
        <v>572</v>
      </c>
      <c r="B72">
        <v>80</v>
      </c>
    </row>
    <row r="73" spans="1:2" x14ac:dyDescent="0.35">
      <c r="A73" t="s">
        <v>291</v>
      </c>
      <c r="B73">
        <v>1</v>
      </c>
    </row>
    <row r="74" spans="1:2" x14ac:dyDescent="0.35">
      <c r="A74" t="s">
        <v>292</v>
      </c>
      <c r="B74">
        <v>1</v>
      </c>
    </row>
    <row r="75" spans="1:2" x14ac:dyDescent="0.35">
      <c r="A75" t="s">
        <v>293</v>
      </c>
      <c r="B75">
        <v>1</v>
      </c>
    </row>
    <row r="76" spans="1:2" x14ac:dyDescent="0.35">
      <c r="A76" t="s">
        <v>294</v>
      </c>
      <c r="B76">
        <v>1</v>
      </c>
    </row>
    <row r="77" spans="1:2" x14ac:dyDescent="0.35">
      <c r="A77" t="s">
        <v>295</v>
      </c>
      <c r="B77">
        <v>1</v>
      </c>
    </row>
    <row r="78" spans="1:2" x14ac:dyDescent="0.35">
      <c r="A78" t="s">
        <v>763</v>
      </c>
      <c r="B78">
        <v>1</v>
      </c>
    </row>
    <row r="79" spans="1:2" x14ac:dyDescent="0.35">
      <c r="A79" t="s">
        <v>279</v>
      </c>
      <c r="B79" t="b">
        <v>1</v>
      </c>
    </row>
    <row r="80" spans="1:2" x14ac:dyDescent="0.35">
      <c r="A80" t="s">
        <v>739</v>
      </c>
      <c r="B80" t="b">
        <v>1</v>
      </c>
    </row>
    <row r="81" spans="1:2" x14ac:dyDescent="0.35">
      <c r="A81" t="s">
        <v>280</v>
      </c>
      <c r="B81">
        <v>7</v>
      </c>
    </row>
    <row r="82" spans="1:2" x14ac:dyDescent="0.35">
      <c r="A82" t="s">
        <v>740</v>
      </c>
      <c r="B82">
        <v>2</v>
      </c>
    </row>
    <row r="83" spans="1:2" x14ac:dyDescent="0.35">
      <c r="A83" t="s">
        <v>305</v>
      </c>
      <c r="B83">
        <v>1</v>
      </c>
    </row>
    <row r="84" spans="1:2" x14ac:dyDescent="0.35">
      <c r="A84" t="s">
        <v>306</v>
      </c>
    </row>
    <row r="85" spans="1:2" x14ac:dyDescent="0.35">
      <c r="A85" t="s">
        <v>307</v>
      </c>
    </row>
    <row r="86" spans="1:2" x14ac:dyDescent="0.35">
      <c r="A86" t="s">
        <v>308</v>
      </c>
    </row>
    <row r="87" spans="1:2" x14ac:dyDescent="0.35">
      <c r="A87" t="s">
        <v>642</v>
      </c>
      <c r="B87" t="b">
        <v>1</v>
      </c>
    </row>
    <row r="88" spans="1:2" x14ac:dyDescent="0.35">
      <c r="A88" t="s">
        <v>65</v>
      </c>
      <c r="B88">
        <v>8</v>
      </c>
    </row>
    <row r="89" spans="1:2" x14ac:dyDescent="0.35">
      <c r="A89" t="s">
        <v>1350</v>
      </c>
    </row>
    <row r="90" spans="1:2" x14ac:dyDescent="0.35">
      <c r="A90" t="s">
        <v>1351</v>
      </c>
    </row>
    <row r="91" spans="1:2" x14ac:dyDescent="0.35">
      <c r="A91" t="s">
        <v>1352</v>
      </c>
    </row>
    <row r="92" spans="1:2" x14ac:dyDescent="0.35">
      <c r="A92" t="s">
        <v>1353</v>
      </c>
    </row>
    <row r="93" spans="1:2" x14ac:dyDescent="0.35">
      <c r="A93" t="s">
        <v>1354</v>
      </c>
    </row>
    <row r="94" spans="1:2" x14ac:dyDescent="0.35">
      <c r="A94" t="s">
        <v>1355</v>
      </c>
    </row>
    <row r="95" spans="1:2" x14ac:dyDescent="0.35">
      <c r="A95" t="s">
        <v>1356</v>
      </c>
    </row>
    <row r="96" spans="1:2" x14ac:dyDescent="0.35">
      <c r="A96" t="s">
        <v>1357</v>
      </c>
    </row>
    <row r="97" spans="1:1" x14ac:dyDescent="0.35">
      <c r="A97" t="s">
        <v>1358</v>
      </c>
    </row>
    <row r="98" spans="1:1" x14ac:dyDescent="0.35">
      <c r="A98" t="s">
        <v>1359</v>
      </c>
    </row>
    <row r="99" spans="1:1" x14ac:dyDescent="0.35">
      <c r="A99" t="s">
        <v>1360</v>
      </c>
    </row>
    <row r="100" spans="1:1" x14ac:dyDescent="0.35">
      <c r="A100" t="s">
        <v>1361</v>
      </c>
    </row>
    <row r="101" spans="1:1" x14ac:dyDescent="0.35">
      <c r="A101" t="s">
        <v>1362</v>
      </c>
    </row>
    <row r="102" spans="1:1" x14ac:dyDescent="0.35">
      <c r="A102" t="s">
        <v>1363</v>
      </c>
    </row>
    <row r="103" spans="1:1" x14ac:dyDescent="0.35">
      <c r="A103" t="s">
        <v>1364</v>
      </c>
    </row>
    <row r="104" spans="1:1" x14ac:dyDescent="0.35">
      <c r="A104" t="s">
        <v>1365</v>
      </c>
    </row>
    <row r="105" spans="1:1" x14ac:dyDescent="0.35">
      <c r="A105" t="s">
        <v>1366</v>
      </c>
    </row>
    <row r="106" spans="1:1" x14ac:dyDescent="0.35">
      <c r="A106" t="s">
        <v>1367</v>
      </c>
    </row>
    <row r="107" spans="1:1" x14ac:dyDescent="0.35">
      <c r="A107" t="s">
        <v>1368</v>
      </c>
    </row>
    <row r="108" spans="1:1" x14ac:dyDescent="0.35">
      <c r="A108" t="s">
        <v>1369</v>
      </c>
    </row>
    <row r="109" spans="1:1" x14ac:dyDescent="0.35">
      <c r="A109" t="s">
        <v>1448</v>
      </c>
    </row>
    <row r="110" spans="1:1" x14ac:dyDescent="0.35">
      <c r="A110" t="s">
        <v>1449</v>
      </c>
    </row>
    <row r="111" spans="1:1" x14ac:dyDescent="0.35">
      <c r="A111" t="s">
        <v>1370</v>
      </c>
    </row>
    <row r="112" spans="1:1" x14ac:dyDescent="0.35">
      <c r="A112" t="s">
        <v>1450</v>
      </c>
    </row>
    <row r="113" spans="1:1" x14ac:dyDescent="0.35">
      <c r="A113" t="s">
        <v>1451</v>
      </c>
    </row>
    <row r="114" spans="1:1" x14ac:dyDescent="0.35">
      <c r="A114" t="s">
        <v>1371</v>
      </c>
    </row>
    <row r="115" spans="1:1" x14ac:dyDescent="0.35">
      <c r="A115" t="s">
        <v>1372</v>
      </c>
    </row>
    <row r="116" spans="1:1" x14ac:dyDescent="0.35">
      <c r="A116" t="s">
        <v>1373</v>
      </c>
    </row>
    <row r="117" spans="1:1" x14ac:dyDescent="0.35">
      <c r="A117" t="s">
        <v>1374</v>
      </c>
    </row>
    <row r="118" spans="1:1" x14ac:dyDescent="0.35">
      <c r="A118" t="s">
        <v>1375</v>
      </c>
    </row>
    <row r="119" spans="1:1" x14ac:dyDescent="0.35">
      <c r="A119" t="s">
        <v>1376</v>
      </c>
    </row>
    <row r="120" spans="1:1" x14ac:dyDescent="0.35">
      <c r="A120" t="s">
        <v>1377</v>
      </c>
    </row>
    <row r="121" spans="1:1" x14ac:dyDescent="0.35">
      <c r="A121" t="s">
        <v>1378</v>
      </c>
    </row>
    <row r="122" spans="1:1" x14ac:dyDescent="0.35">
      <c r="A122" t="s">
        <v>1379</v>
      </c>
    </row>
    <row r="123" spans="1:1" x14ac:dyDescent="0.35">
      <c r="A123" t="s">
        <v>1380</v>
      </c>
    </row>
    <row r="124" spans="1:1" x14ac:dyDescent="0.35">
      <c r="A124" t="s">
        <v>1381</v>
      </c>
    </row>
    <row r="125" spans="1:1" x14ac:dyDescent="0.35">
      <c r="A125" t="s">
        <v>1382</v>
      </c>
    </row>
    <row r="126" spans="1:1" x14ac:dyDescent="0.35">
      <c r="A126" t="s">
        <v>1383</v>
      </c>
    </row>
    <row r="127" spans="1:1" x14ac:dyDescent="0.35">
      <c r="A127" t="s">
        <v>1384</v>
      </c>
    </row>
    <row r="128" spans="1:1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1" x14ac:dyDescent="0.35">
      <c r="A145" t="s">
        <v>1398</v>
      </c>
    </row>
    <row r="146" spans="1:1" x14ac:dyDescent="0.35">
      <c r="A146" t="s">
        <v>1399</v>
      </c>
    </row>
    <row r="147" spans="1:1" x14ac:dyDescent="0.35">
      <c r="A147" t="s">
        <v>1400</v>
      </c>
    </row>
    <row r="148" spans="1:1" x14ac:dyDescent="0.35">
      <c r="A148" t="s">
        <v>1401</v>
      </c>
    </row>
    <row r="149" spans="1:1" x14ac:dyDescent="0.35">
      <c r="A149" t="s">
        <v>1402</v>
      </c>
    </row>
    <row r="150" spans="1:1" x14ac:dyDescent="0.35">
      <c r="A150" t="s">
        <v>1403</v>
      </c>
    </row>
    <row r="151" spans="1:1" x14ac:dyDescent="0.35">
      <c r="A151" t="s">
        <v>1404</v>
      </c>
    </row>
    <row r="152" spans="1:1" x14ac:dyDescent="0.35">
      <c r="A152" t="s">
        <v>1405</v>
      </c>
    </row>
    <row r="153" spans="1:1" x14ac:dyDescent="0.35">
      <c r="A153" t="s">
        <v>1406</v>
      </c>
    </row>
    <row r="154" spans="1:1" x14ac:dyDescent="0.35">
      <c r="A154" t="s">
        <v>1407</v>
      </c>
    </row>
    <row r="155" spans="1:1" x14ac:dyDescent="0.35">
      <c r="A155" t="s">
        <v>1408</v>
      </c>
    </row>
    <row r="156" spans="1:1" x14ac:dyDescent="0.35">
      <c r="A156" t="s">
        <v>1409</v>
      </c>
    </row>
    <row r="157" spans="1:1" x14ac:dyDescent="0.35">
      <c r="A157" t="s">
        <v>1410</v>
      </c>
    </row>
    <row r="158" spans="1:1" x14ac:dyDescent="0.35">
      <c r="A158" t="s">
        <v>1411</v>
      </c>
    </row>
    <row r="159" spans="1:1" x14ac:dyDescent="0.35">
      <c r="A159" t="s">
        <v>1412</v>
      </c>
    </row>
    <row r="160" spans="1:1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1" x14ac:dyDescent="0.35">
      <c r="A177" t="s">
        <v>1426</v>
      </c>
    </row>
    <row r="178" spans="1:1" x14ac:dyDescent="0.35">
      <c r="A178" t="s">
        <v>1427</v>
      </c>
    </row>
    <row r="179" spans="1:1" x14ac:dyDescent="0.35">
      <c r="A179" t="s">
        <v>1428</v>
      </c>
    </row>
    <row r="180" spans="1:1" x14ac:dyDescent="0.35">
      <c r="A180" t="s">
        <v>1429</v>
      </c>
    </row>
    <row r="181" spans="1:1" x14ac:dyDescent="0.35">
      <c r="A181" t="s">
        <v>1430</v>
      </c>
    </row>
    <row r="182" spans="1:1" x14ac:dyDescent="0.35">
      <c r="A182" t="s">
        <v>712</v>
      </c>
    </row>
    <row r="183" spans="1:1" x14ac:dyDescent="0.35">
      <c r="A183" t="s">
        <v>713</v>
      </c>
    </row>
    <row r="184" spans="1:1" x14ac:dyDescent="0.35">
      <c r="A184" t="s">
        <v>714</v>
      </c>
    </row>
    <row r="185" spans="1:1" x14ac:dyDescent="0.35">
      <c r="A185" t="s">
        <v>715</v>
      </c>
    </row>
    <row r="186" spans="1:1" x14ac:dyDescent="0.35">
      <c r="A186" t="s">
        <v>716</v>
      </c>
    </row>
    <row r="187" spans="1:1" x14ac:dyDescent="0.35">
      <c r="A187" t="s">
        <v>717</v>
      </c>
    </row>
    <row r="188" spans="1:1" x14ac:dyDescent="0.35">
      <c r="A188" t="s">
        <v>718</v>
      </c>
    </row>
    <row r="189" spans="1:1" x14ac:dyDescent="0.35">
      <c r="A189" t="s">
        <v>152</v>
      </c>
    </row>
    <row r="190" spans="1:1" x14ac:dyDescent="0.35">
      <c r="A190" t="s">
        <v>153</v>
      </c>
    </row>
    <row r="191" spans="1:1" x14ac:dyDescent="0.35">
      <c r="A191" t="s">
        <v>154</v>
      </c>
    </row>
    <row r="192" spans="1:1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t="s">
        <v>160</v>
      </c>
    </row>
    <row r="198" spans="1:1" x14ac:dyDescent="0.35">
      <c r="A198" t="s">
        <v>161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1436</v>
      </c>
    </row>
    <row r="203" spans="1:1" x14ac:dyDescent="0.35">
      <c r="A203" t="s">
        <v>1437</v>
      </c>
    </row>
    <row r="204" spans="1:1" x14ac:dyDescent="0.35">
      <c r="A204" t="s">
        <v>165</v>
      </c>
    </row>
    <row r="205" spans="1:1" x14ac:dyDescent="0.35">
      <c r="A205" t="s">
        <v>1438</v>
      </c>
    </row>
    <row r="206" spans="1:1" x14ac:dyDescent="0.35">
      <c r="A206" t="s">
        <v>1439</v>
      </c>
    </row>
    <row r="207" spans="1:1" x14ac:dyDescent="0.35">
      <c r="A207" t="s">
        <v>166</v>
      </c>
    </row>
    <row r="208" spans="1:1" x14ac:dyDescent="0.35">
      <c r="A208" t="s">
        <v>167</v>
      </c>
    </row>
    <row r="209" spans="1:1" x14ac:dyDescent="0.35">
      <c r="A209" t="s">
        <v>168</v>
      </c>
    </row>
    <row r="210" spans="1:1" x14ac:dyDescent="0.35">
      <c r="A210" t="s">
        <v>169</v>
      </c>
    </row>
    <row r="211" spans="1:1" x14ac:dyDescent="0.35">
      <c r="A211" t="s">
        <v>170</v>
      </c>
    </row>
    <row r="212" spans="1:1" x14ac:dyDescent="0.35">
      <c r="A212" t="s">
        <v>171</v>
      </c>
    </row>
    <row r="213" spans="1:1" x14ac:dyDescent="0.35">
      <c r="A213" t="s">
        <v>773</v>
      </c>
    </row>
    <row r="214" spans="1:1" x14ac:dyDescent="0.35">
      <c r="A214" t="s">
        <v>774</v>
      </c>
    </row>
    <row r="215" spans="1:1" x14ac:dyDescent="0.35">
      <c r="A215" t="s">
        <v>775</v>
      </c>
    </row>
    <row r="216" spans="1:1" x14ac:dyDescent="0.35">
      <c r="A216" t="s">
        <v>776</v>
      </c>
    </row>
    <row r="217" spans="1:1" x14ac:dyDescent="0.35">
      <c r="A217" t="s">
        <v>777</v>
      </c>
    </row>
    <row r="218" spans="1:1" x14ac:dyDescent="0.35">
      <c r="A218" t="s">
        <v>778</v>
      </c>
    </row>
    <row r="219" spans="1:1" x14ac:dyDescent="0.35">
      <c r="A219" t="s">
        <v>779</v>
      </c>
    </row>
    <row r="220" spans="1:1" x14ac:dyDescent="0.35">
      <c r="A220" t="s">
        <v>780</v>
      </c>
    </row>
    <row r="221" spans="1:1" x14ac:dyDescent="0.35">
      <c r="A221" t="s">
        <v>200</v>
      </c>
    </row>
    <row r="222" spans="1:1" x14ac:dyDescent="0.35">
      <c r="A222" t="s">
        <v>201</v>
      </c>
    </row>
    <row r="223" spans="1:1" x14ac:dyDescent="0.35">
      <c r="A223" t="s">
        <v>202</v>
      </c>
    </row>
    <row r="224" spans="1:1" x14ac:dyDescent="0.35">
      <c r="A224" t="s">
        <v>781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2" x14ac:dyDescent="0.35">
      <c r="A241" t="s">
        <v>289</v>
      </c>
    </row>
    <row r="242" spans="1:2" x14ac:dyDescent="0.35">
      <c r="A242" t="s">
        <v>290</v>
      </c>
    </row>
    <row r="243" spans="1:2" x14ac:dyDescent="0.35">
      <c r="A243" t="s">
        <v>604</v>
      </c>
    </row>
    <row r="244" spans="1:2" x14ac:dyDescent="0.35">
      <c r="A244" t="s">
        <v>605</v>
      </c>
    </row>
    <row r="245" spans="1:2" x14ac:dyDescent="0.35">
      <c r="A245" t="s">
        <v>265</v>
      </c>
      <c r="B245">
        <v>100</v>
      </c>
    </row>
    <row r="246" spans="1:2" x14ac:dyDescent="0.35">
      <c r="A246" t="s">
        <v>700</v>
      </c>
      <c r="B246">
        <v>10</v>
      </c>
    </row>
    <row r="247" spans="1:2" x14ac:dyDescent="0.35">
      <c r="A247" t="s">
        <v>75</v>
      </c>
      <c r="B247">
        <v>1</v>
      </c>
    </row>
    <row r="248" spans="1:2" x14ac:dyDescent="0.35">
      <c r="A248" t="s">
        <v>76</v>
      </c>
    </row>
    <row r="249" spans="1:2" x14ac:dyDescent="0.35">
      <c r="A249" t="s">
        <v>331</v>
      </c>
    </row>
    <row r="250" spans="1:2" x14ac:dyDescent="0.35">
      <c r="A250" t="s">
        <v>310</v>
      </c>
    </row>
    <row r="251" spans="1:2" x14ac:dyDescent="0.35">
      <c r="A251" t="s">
        <v>311</v>
      </c>
    </row>
    <row r="252" spans="1:2" x14ac:dyDescent="0.35">
      <c r="A252" t="s">
        <v>312</v>
      </c>
    </row>
    <row r="253" spans="1:2" x14ac:dyDescent="0.35">
      <c r="A253" t="s">
        <v>125</v>
      </c>
    </row>
    <row r="254" spans="1:2" x14ac:dyDescent="0.35">
      <c r="A254" t="s">
        <v>126</v>
      </c>
    </row>
    <row r="255" spans="1:2" x14ac:dyDescent="0.35">
      <c r="A255" t="s">
        <v>127</v>
      </c>
    </row>
    <row r="256" spans="1:2" x14ac:dyDescent="0.35">
      <c r="A256" t="s">
        <v>672</v>
      </c>
    </row>
    <row r="257" spans="1:2" x14ac:dyDescent="0.35">
      <c r="A257" t="s">
        <v>673</v>
      </c>
    </row>
    <row r="258" spans="1:2" x14ac:dyDescent="0.35">
      <c r="A258" t="s">
        <v>674</v>
      </c>
      <c r="B258">
        <v>4</v>
      </c>
    </row>
    <row r="259" spans="1:2" x14ac:dyDescent="0.35">
      <c r="A259" t="s">
        <v>675</v>
      </c>
    </row>
    <row r="260" spans="1:2" x14ac:dyDescent="0.35">
      <c r="A260" t="s">
        <v>676</v>
      </c>
      <c r="B260">
        <v>1</v>
      </c>
    </row>
    <row r="261" spans="1:2" x14ac:dyDescent="0.35">
      <c r="A261" t="s">
        <v>550</v>
      </c>
    </row>
    <row r="262" spans="1:2" x14ac:dyDescent="0.35">
      <c r="A262" t="s">
        <v>551</v>
      </c>
    </row>
    <row r="263" spans="1:2" x14ac:dyDescent="0.35">
      <c r="A263" t="s">
        <v>552</v>
      </c>
    </row>
    <row r="264" spans="1:2" x14ac:dyDescent="0.35">
      <c r="A264" t="s">
        <v>553</v>
      </c>
    </row>
    <row r="265" spans="1:2" x14ac:dyDescent="0.35">
      <c r="A265" t="s">
        <v>600</v>
      </c>
    </row>
    <row r="266" spans="1:2" x14ac:dyDescent="0.35">
      <c r="A266" t="s">
        <v>601</v>
      </c>
    </row>
    <row r="267" spans="1:2" x14ac:dyDescent="0.35">
      <c r="A267" t="s">
        <v>313</v>
      </c>
    </row>
    <row r="268" spans="1:2" x14ac:dyDescent="0.35">
      <c r="A268" t="s">
        <v>314</v>
      </c>
    </row>
    <row r="269" spans="1:2" x14ac:dyDescent="0.35">
      <c r="A269" t="s">
        <v>315</v>
      </c>
    </row>
    <row r="270" spans="1:2" x14ac:dyDescent="0.35">
      <c r="A270" t="s">
        <v>316</v>
      </c>
    </row>
    <row r="271" spans="1:2" x14ac:dyDescent="0.35">
      <c r="A271" t="s">
        <v>317</v>
      </c>
    </row>
    <row r="272" spans="1:2" x14ac:dyDescent="0.35">
      <c r="A272" t="s">
        <v>318</v>
      </c>
    </row>
    <row r="273" spans="1:1" x14ac:dyDescent="0.35">
      <c r="A273" t="s">
        <v>677</v>
      </c>
    </row>
    <row r="274" spans="1:1" x14ac:dyDescent="0.35">
      <c r="A274" t="s">
        <v>678</v>
      </c>
    </row>
    <row r="275" spans="1:1" x14ac:dyDescent="0.35">
      <c r="A275" t="s">
        <v>679</v>
      </c>
    </row>
    <row r="276" spans="1:1" x14ac:dyDescent="0.35">
      <c r="A276" t="s">
        <v>680</v>
      </c>
    </row>
    <row r="277" spans="1:1" x14ac:dyDescent="0.35">
      <c r="A277" t="s">
        <v>485</v>
      </c>
    </row>
    <row r="278" spans="1:1" x14ac:dyDescent="0.35">
      <c r="A278" t="s">
        <v>486</v>
      </c>
    </row>
    <row r="279" spans="1:1" x14ac:dyDescent="0.35">
      <c r="A279" t="s">
        <v>487</v>
      </c>
    </row>
    <row r="280" spans="1:1" x14ac:dyDescent="0.35">
      <c r="A280" t="s">
        <v>2586</v>
      </c>
    </row>
    <row r="281" spans="1:1" x14ac:dyDescent="0.35">
      <c r="A281" t="s">
        <v>2587</v>
      </c>
    </row>
    <row r="282" spans="1:1" x14ac:dyDescent="0.35">
      <c r="A282" t="s">
        <v>2588</v>
      </c>
    </row>
    <row r="283" spans="1:1" x14ac:dyDescent="0.35">
      <c r="A283" t="s">
        <v>2589</v>
      </c>
    </row>
    <row r="284" spans="1:1" x14ac:dyDescent="0.35">
      <c r="A284" t="s">
        <v>2590</v>
      </c>
    </row>
    <row r="285" spans="1:1" x14ac:dyDescent="0.35">
      <c r="A285" t="s">
        <v>2591</v>
      </c>
    </row>
    <row r="286" spans="1:1" x14ac:dyDescent="0.35">
      <c r="A286" t="s">
        <v>2592</v>
      </c>
    </row>
    <row r="287" spans="1:1" x14ac:dyDescent="0.35">
      <c r="A287" t="s">
        <v>2593</v>
      </c>
    </row>
    <row r="288" spans="1:1" x14ac:dyDescent="0.35">
      <c r="A288" t="s">
        <v>2594</v>
      </c>
    </row>
    <row r="289" spans="1:2" x14ac:dyDescent="0.35">
      <c r="A289" t="s">
        <v>2595</v>
      </c>
    </row>
    <row r="290" spans="1:2" x14ac:dyDescent="0.35">
      <c r="A290" t="s">
        <v>895</v>
      </c>
    </row>
    <row r="291" spans="1:2" x14ac:dyDescent="0.35">
      <c r="A291" t="s">
        <v>341</v>
      </c>
    </row>
    <row r="292" spans="1:2" x14ac:dyDescent="0.35">
      <c r="A292" t="s">
        <v>342</v>
      </c>
    </row>
    <row r="293" spans="1:2" x14ac:dyDescent="0.35">
      <c r="A293" t="s">
        <v>343</v>
      </c>
    </row>
    <row r="294" spans="1:2" x14ac:dyDescent="0.35">
      <c r="A294" t="s">
        <v>783</v>
      </c>
    </row>
    <row r="295" spans="1:2" x14ac:dyDescent="0.35">
      <c r="A295" t="s">
        <v>784</v>
      </c>
    </row>
    <row r="296" spans="1:2" x14ac:dyDescent="0.35">
      <c r="A296" t="s">
        <v>785</v>
      </c>
    </row>
    <row r="297" spans="1:2" x14ac:dyDescent="0.35">
      <c r="A297" t="s">
        <v>786</v>
      </c>
      <c r="B297">
        <v>12</v>
      </c>
    </row>
    <row r="298" spans="1:2" x14ac:dyDescent="0.35">
      <c r="A298" t="s">
        <v>787</v>
      </c>
      <c r="B298">
        <v>1</v>
      </c>
    </row>
    <row r="299" spans="1:2" x14ac:dyDescent="0.35">
      <c r="A299" t="s">
        <v>788</v>
      </c>
    </row>
    <row r="300" spans="1:2" x14ac:dyDescent="0.35">
      <c r="A300" t="s">
        <v>789</v>
      </c>
    </row>
    <row r="301" spans="1:2" x14ac:dyDescent="0.35">
      <c r="A301" t="s">
        <v>790</v>
      </c>
    </row>
    <row r="302" spans="1:2" x14ac:dyDescent="0.35">
      <c r="A302" t="s">
        <v>840</v>
      </c>
    </row>
    <row r="303" spans="1:2" x14ac:dyDescent="0.35">
      <c r="A303" t="s">
        <v>841</v>
      </c>
    </row>
    <row r="304" spans="1:2" x14ac:dyDescent="0.35">
      <c r="A304" t="s">
        <v>842</v>
      </c>
      <c r="B304">
        <v>2</v>
      </c>
    </row>
    <row r="305" spans="1:2" x14ac:dyDescent="0.35">
      <c r="A305" t="s">
        <v>843</v>
      </c>
      <c r="B305">
        <v>22</v>
      </c>
    </row>
    <row r="306" spans="1:2" x14ac:dyDescent="0.35">
      <c r="A306" t="s">
        <v>844</v>
      </c>
      <c r="B306">
        <v>1</v>
      </c>
    </row>
    <row r="307" spans="1:2" x14ac:dyDescent="0.35">
      <c r="A307" t="s">
        <v>845</v>
      </c>
      <c r="B307">
        <v>1</v>
      </c>
    </row>
    <row r="308" spans="1:2" x14ac:dyDescent="0.35">
      <c r="A308" t="s">
        <v>846</v>
      </c>
      <c r="B308">
        <v>1</v>
      </c>
    </row>
    <row r="309" spans="1:2" x14ac:dyDescent="0.35">
      <c r="A309" t="s">
        <v>497</v>
      </c>
      <c r="B309">
        <v>1</v>
      </c>
    </row>
    <row r="310" spans="1:2" x14ac:dyDescent="0.35">
      <c r="A310" t="s">
        <v>498</v>
      </c>
      <c r="B310">
        <v>1</v>
      </c>
    </row>
    <row r="311" spans="1:2" x14ac:dyDescent="0.35">
      <c r="A311" t="s">
        <v>499</v>
      </c>
      <c r="B311">
        <v>1</v>
      </c>
    </row>
    <row r="312" spans="1:2" x14ac:dyDescent="0.35">
      <c r="A312" t="s">
        <v>2016</v>
      </c>
      <c r="B312">
        <v>0</v>
      </c>
    </row>
    <row r="313" spans="1:2" x14ac:dyDescent="0.35">
      <c r="A313" t="s">
        <v>2017</v>
      </c>
      <c r="B313">
        <v>0</v>
      </c>
    </row>
    <row r="314" spans="1:2" x14ac:dyDescent="0.35">
      <c r="A314" t="s">
        <v>2018</v>
      </c>
      <c r="B314">
        <v>0</v>
      </c>
    </row>
    <row r="315" spans="1:2" x14ac:dyDescent="0.35">
      <c r="A315" t="s">
        <v>2019</v>
      </c>
    </row>
    <row r="316" spans="1:2" x14ac:dyDescent="0.35">
      <c r="A316" t="s">
        <v>2020</v>
      </c>
    </row>
    <row r="317" spans="1:2" x14ac:dyDescent="0.35">
      <c r="A317" t="s">
        <v>2021</v>
      </c>
    </row>
    <row r="318" spans="1:2" x14ac:dyDescent="0.35">
      <c r="A318" t="s">
        <v>2022</v>
      </c>
    </row>
    <row r="319" spans="1:2" x14ac:dyDescent="0.35">
      <c r="A319" t="s">
        <v>2023</v>
      </c>
    </row>
    <row r="320" spans="1:2" x14ac:dyDescent="0.35">
      <c r="A320" t="s">
        <v>2024</v>
      </c>
    </row>
    <row r="321" spans="1:2" x14ac:dyDescent="0.35">
      <c r="A321" t="s">
        <v>2025</v>
      </c>
    </row>
    <row r="322" spans="1:2" x14ac:dyDescent="0.35">
      <c r="A322" t="s">
        <v>500</v>
      </c>
    </row>
    <row r="323" spans="1:2" x14ac:dyDescent="0.35">
      <c r="A323" t="s">
        <v>501</v>
      </c>
    </row>
    <row r="324" spans="1:2" x14ac:dyDescent="0.35">
      <c r="A324" t="s">
        <v>502</v>
      </c>
    </row>
    <row r="325" spans="1:2" x14ac:dyDescent="0.35">
      <c r="A325" t="s">
        <v>503</v>
      </c>
    </row>
    <row r="326" spans="1:2" x14ac:dyDescent="0.35">
      <c r="A326" t="s">
        <v>504</v>
      </c>
    </row>
    <row r="327" spans="1:2" x14ac:dyDescent="0.35">
      <c r="A327" t="s">
        <v>759</v>
      </c>
      <c r="B327">
        <v>2</v>
      </c>
    </row>
    <row r="328" spans="1:2" x14ac:dyDescent="0.35">
      <c r="A328" t="s">
        <v>760</v>
      </c>
      <c r="B328">
        <v>1</v>
      </c>
    </row>
    <row r="329" spans="1:2" x14ac:dyDescent="0.35">
      <c r="A329" t="s">
        <v>761</v>
      </c>
      <c r="B329">
        <v>1</v>
      </c>
    </row>
    <row r="330" spans="1:2" x14ac:dyDescent="0.35">
      <c r="A330" t="s">
        <v>669</v>
      </c>
      <c r="B330">
        <v>1</v>
      </c>
    </row>
    <row r="331" spans="1:2" x14ac:dyDescent="0.35">
      <c r="A331" t="s">
        <v>741</v>
      </c>
      <c r="B331">
        <v>1</v>
      </c>
    </row>
    <row r="332" spans="1:2" x14ac:dyDescent="0.35">
      <c r="A332" t="s">
        <v>742</v>
      </c>
      <c r="B332">
        <v>1</v>
      </c>
    </row>
    <row r="333" spans="1:2" x14ac:dyDescent="0.35">
      <c r="A333" t="s">
        <v>743</v>
      </c>
      <c r="B333">
        <v>1</v>
      </c>
    </row>
    <row r="334" spans="1:2" x14ac:dyDescent="0.35">
      <c r="A334" t="s">
        <v>744</v>
      </c>
      <c r="B334">
        <v>3</v>
      </c>
    </row>
    <row r="335" spans="1:2" x14ac:dyDescent="0.35">
      <c r="A335" t="s">
        <v>667</v>
      </c>
      <c r="B335">
        <v>3</v>
      </c>
    </row>
    <row r="336" spans="1:2" x14ac:dyDescent="0.35">
      <c r="A336" t="s">
        <v>668</v>
      </c>
      <c r="B336">
        <v>1</v>
      </c>
    </row>
    <row r="337" spans="1:2" x14ac:dyDescent="0.35">
      <c r="A337" t="s">
        <v>664</v>
      </c>
      <c r="B337">
        <v>1</v>
      </c>
    </row>
    <row r="338" spans="1:2" x14ac:dyDescent="0.35">
      <c r="A338" t="s">
        <v>665</v>
      </c>
      <c r="B338">
        <v>1</v>
      </c>
    </row>
    <row r="339" spans="1:2" x14ac:dyDescent="0.35">
      <c r="A339" t="s">
        <v>666</v>
      </c>
      <c r="B339">
        <v>1</v>
      </c>
    </row>
    <row r="340" spans="1:2" x14ac:dyDescent="0.35">
      <c r="A340" t="s">
        <v>658</v>
      </c>
      <c r="B340">
        <v>1</v>
      </c>
    </row>
    <row r="341" spans="1:2" x14ac:dyDescent="0.35">
      <c r="A341" t="s">
        <v>659</v>
      </c>
      <c r="B341">
        <v>1</v>
      </c>
    </row>
    <row r="342" spans="1:2" x14ac:dyDescent="0.35">
      <c r="A342" t="s">
        <v>660</v>
      </c>
      <c r="B342">
        <v>19</v>
      </c>
    </row>
    <row r="343" spans="1:2" x14ac:dyDescent="0.35">
      <c r="A343" t="s">
        <v>661</v>
      </c>
    </row>
    <row r="344" spans="1:2" x14ac:dyDescent="0.35">
      <c r="A344" t="s">
        <v>662</v>
      </c>
    </row>
    <row r="345" spans="1:2" x14ac:dyDescent="0.35">
      <c r="A345" t="s">
        <v>816</v>
      </c>
    </row>
    <row r="346" spans="1:2" x14ac:dyDescent="0.35">
      <c r="A346" t="s">
        <v>817</v>
      </c>
    </row>
    <row r="347" spans="1:2" x14ac:dyDescent="0.35">
      <c r="A347" t="s">
        <v>818</v>
      </c>
    </row>
    <row r="348" spans="1:2" x14ac:dyDescent="0.35">
      <c r="A348" t="s">
        <v>819</v>
      </c>
    </row>
    <row r="349" spans="1:2" x14ac:dyDescent="0.35">
      <c r="A349" t="s">
        <v>820</v>
      </c>
      <c r="B349">
        <v>4</v>
      </c>
    </row>
    <row r="350" spans="1:2" x14ac:dyDescent="0.35">
      <c r="A350" t="s">
        <v>821</v>
      </c>
      <c r="B350">
        <v>15</v>
      </c>
    </row>
    <row r="351" spans="1:2" x14ac:dyDescent="0.35">
      <c r="A351" t="s">
        <v>822</v>
      </c>
    </row>
    <row r="352" spans="1:2" x14ac:dyDescent="0.35">
      <c r="A352" t="s">
        <v>823</v>
      </c>
    </row>
    <row r="353" spans="1:2" x14ac:dyDescent="0.35">
      <c r="A353" t="s">
        <v>824</v>
      </c>
    </row>
    <row r="354" spans="1:2" x14ac:dyDescent="0.35">
      <c r="A354" t="s">
        <v>825</v>
      </c>
    </row>
    <row r="355" spans="1:2" x14ac:dyDescent="0.35">
      <c r="A355" t="s">
        <v>826</v>
      </c>
    </row>
    <row r="356" spans="1:2" x14ac:dyDescent="0.35">
      <c r="A356" t="s">
        <v>827</v>
      </c>
    </row>
    <row r="357" spans="1:2" x14ac:dyDescent="0.35">
      <c r="A357" t="s">
        <v>2006</v>
      </c>
      <c r="B357">
        <v>0</v>
      </c>
    </row>
    <row r="358" spans="1:2" x14ac:dyDescent="0.35">
      <c r="A358" t="s">
        <v>2007</v>
      </c>
      <c r="B358">
        <v>1</v>
      </c>
    </row>
    <row r="359" spans="1:2" x14ac:dyDescent="0.35">
      <c r="A359" t="s">
        <v>2008</v>
      </c>
      <c r="B359">
        <v>0</v>
      </c>
    </row>
    <row r="360" spans="1:2" x14ac:dyDescent="0.35">
      <c r="A360" t="s">
        <v>2009</v>
      </c>
    </row>
    <row r="361" spans="1:2" x14ac:dyDescent="0.35">
      <c r="A361" t="s">
        <v>2010</v>
      </c>
    </row>
    <row r="362" spans="1:2" x14ac:dyDescent="0.35">
      <c r="A362" t="s">
        <v>2011</v>
      </c>
    </row>
    <row r="363" spans="1:2" x14ac:dyDescent="0.35">
      <c r="A363" t="s">
        <v>2012</v>
      </c>
    </row>
    <row r="364" spans="1:2" x14ac:dyDescent="0.35">
      <c r="A364" t="s">
        <v>2013</v>
      </c>
    </row>
    <row r="365" spans="1:2" x14ac:dyDescent="0.35">
      <c r="A365" t="s">
        <v>2014</v>
      </c>
    </row>
    <row r="366" spans="1:2" x14ac:dyDescent="0.35">
      <c r="A366" t="s">
        <v>2015</v>
      </c>
    </row>
    <row r="367" spans="1:2" x14ac:dyDescent="0.35">
      <c r="A367" t="s">
        <v>828</v>
      </c>
    </row>
    <row r="368" spans="1:2" x14ac:dyDescent="0.35">
      <c r="A368" t="s">
        <v>588</v>
      </c>
    </row>
    <row r="369" spans="1:2" x14ac:dyDescent="0.35">
      <c r="A369" t="s">
        <v>589</v>
      </c>
    </row>
    <row r="370" spans="1:2" x14ac:dyDescent="0.35">
      <c r="A370" t="s">
        <v>590</v>
      </c>
    </row>
    <row r="371" spans="1:2" x14ac:dyDescent="0.35">
      <c r="A371" t="s">
        <v>224</v>
      </c>
    </row>
    <row r="372" spans="1:2" x14ac:dyDescent="0.35">
      <c r="A372" t="s">
        <v>225</v>
      </c>
      <c r="B372" t="s">
        <v>2640</v>
      </c>
    </row>
    <row r="373" spans="1:2" x14ac:dyDescent="0.35">
      <c r="A373" t="s">
        <v>226</v>
      </c>
    </row>
    <row r="374" spans="1:2" x14ac:dyDescent="0.35">
      <c r="A374" t="s">
        <v>227</v>
      </c>
    </row>
    <row r="375" spans="1:2" x14ac:dyDescent="0.35">
      <c r="A375" t="s">
        <v>228</v>
      </c>
    </row>
    <row r="376" spans="1:2" x14ac:dyDescent="0.35">
      <c r="A376" t="s">
        <v>229</v>
      </c>
    </row>
    <row r="377" spans="1:2" x14ac:dyDescent="0.35">
      <c r="A377" t="s">
        <v>591</v>
      </c>
    </row>
    <row r="378" spans="1:2" x14ac:dyDescent="0.35">
      <c r="A378" t="s">
        <v>592</v>
      </c>
    </row>
    <row r="379" spans="1:2" x14ac:dyDescent="0.35">
      <c r="A379" t="s">
        <v>593</v>
      </c>
    </row>
    <row r="380" spans="1:2" x14ac:dyDescent="0.35">
      <c r="A380" t="s">
        <v>398</v>
      </c>
    </row>
    <row r="381" spans="1:2" x14ac:dyDescent="0.35">
      <c r="A381" t="s">
        <v>399</v>
      </c>
    </row>
    <row r="382" spans="1:2" x14ac:dyDescent="0.35">
      <c r="A382" t="s">
        <v>400</v>
      </c>
    </row>
    <row r="383" spans="1:2" x14ac:dyDescent="0.35">
      <c r="A383" t="s">
        <v>401</v>
      </c>
      <c r="B383" t="s">
        <v>2641</v>
      </c>
    </row>
    <row r="384" spans="1:2" x14ac:dyDescent="0.35">
      <c r="A384" t="s">
        <v>402</v>
      </c>
    </row>
    <row r="385" spans="1:2" x14ac:dyDescent="0.35">
      <c r="A385" t="s">
        <v>2506</v>
      </c>
    </row>
    <row r="386" spans="1:2" x14ac:dyDescent="0.35">
      <c r="A386" t="s">
        <v>2507</v>
      </c>
    </row>
    <row r="387" spans="1:2" x14ac:dyDescent="0.35">
      <c r="A387" t="s">
        <v>2508</v>
      </c>
    </row>
    <row r="388" spans="1:2" x14ac:dyDescent="0.35">
      <c r="A388" t="s">
        <v>2509</v>
      </c>
    </row>
    <row r="389" spans="1:2" x14ac:dyDescent="0.35">
      <c r="A389" t="s">
        <v>2510</v>
      </c>
    </row>
    <row r="390" spans="1:2" x14ac:dyDescent="0.35">
      <c r="A390" t="s">
        <v>2511</v>
      </c>
    </row>
    <row r="391" spans="1:2" x14ac:dyDescent="0.35">
      <c r="A391" t="s">
        <v>2512</v>
      </c>
    </row>
    <row r="392" spans="1:2" x14ac:dyDescent="0.35">
      <c r="A392" t="s">
        <v>2513</v>
      </c>
    </row>
    <row r="393" spans="1:2" x14ac:dyDescent="0.35">
      <c r="A393" t="s">
        <v>2514</v>
      </c>
    </row>
    <row r="394" spans="1:2" x14ac:dyDescent="0.35">
      <c r="A394" t="s">
        <v>2515</v>
      </c>
    </row>
    <row r="395" spans="1:2" x14ac:dyDescent="0.35">
      <c r="A395" t="s">
        <v>403</v>
      </c>
      <c r="B395" t="s">
        <v>2642</v>
      </c>
    </row>
    <row r="396" spans="1:2" x14ac:dyDescent="0.35">
      <c r="A396" t="s">
        <v>404</v>
      </c>
    </row>
    <row r="397" spans="1:2" x14ac:dyDescent="0.35">
      <c r="A397" t="s">
        <v>405</v>
      </c>
    </row>
    <row r="398" spans="1:2" x14ac:dyDescent="0.35">
      <c r="A398" t="s">
        <v>406</v>
      </c>
    </row>
    <row r="399" spans="1:2" x14ac:dyDescent="0.35">
      <c r="A399" t="s">
        <v>407</v>
      </c>
    </row>
    <row r="400" spans="1:2" x14ac:dyDescent="0.35">
      <c r="A400" t="s">
        <v>408</v>
      </c>
    </row>
    <row r="401" spans="1:2" x14ac:dyDescent="0.35">
      <c r="A401" t="s">
        <v>409</v>
      </c>
    </row>
    <row r="402" spans="1:2" x14ac:dyDescent="0.35">
      <c r="A402" t="s">
        <v>410</v>
      </c>
      <c r="B402">
        <v>4</v>
      </c>
    </row>
    <row r="403" spans="1:2" x14ac:dyDescent="0.35">
      <c r="A403" t="s">
        <v>411</v>
      </c>
    </row>
    <row r="404" spans="1:2" x14ac:dyDescent="0.35">
      <c r="A404" t="s">
        <v>412</v>
      </c>
    </row>
    <row r="405" spans="1:2" x14ac:dyDescent="0.35">
      <c r="A405" t="s">
        <v>413</v>
      </c>
    </row>
    <row r="406" spans="1:2" x14ac:dyDescent="0.35">
      <c r="A406" t="s">
        <v>414</v>
      </c>
    </row>
    <row r="407" spans="1:2" x14ac:dyDescent="0.35">
      <c r="A407" t="s">
        <v>415</v>
      </c>
    </row>
    <row r="408" spans="1:2" x14ac:dyDescent="0.35">
      <c r="A408" t="s">
        <v>416</v>
      </c>
    </row>
    <row r="409" spans="1:2" x14ac:dyDescent="0.35">
      <c r="A409" t="s">
        <v>610</v>
      </c>
    </row>
    <row r="410" spans="1:2" x14ac:dyDescent="0.35">
      <c r="A410" t="s">
        <v>611</v>
      </c>
    </row>
    <row r="411" spans="1:2" x14ac:dyDescent="0.35">
      <c r="A411" t="s">
        <v>795</v>
      </c>
    </row>
    <row r="412" spans="1:2" x14ac:dyDescent="0.35">
      <c r="A412" t="s">
        <v>527</v>
      </c>
    </row>
    <row r="413" spans="1:2" x14ac:dyDescent="0.35">
      <c r="A413" t="s">
        <v>528</v>
      </c>
      <c r="B413">
        <v>3</v>
      </c>
    </row>
    <row r="414" spans="1:2" x14ac:dyDescent="0.35">
      <c r="A414" t="s">
        <v>357</v>
      </c>
    </row>
    <row r="415" spans="1:2" x14ac:dyDescent="0.35">
      <c r="A415" t="s">
        <v>2576</v>
      </c>
    </row>
    <row r="416" spans="1:2" x14ac:dyDescent="0.35">
      <c r="A416" t="s">
        <v>2577</v>
      </c>
    </row>
    <row r="417" spans="1:2" x14ac:dyDescent="0.35">
      <c r="A417" t="s">
        <v>2578</v>
      </c>
    </row>
    <row r="418" spans="1:2" x14ac:dyDescent="0.35">
      <c r="A418" t="s">
        <v>2579</v>
      </c>
    </row>
    <row r="419" spans="1:2" x14ac:dyDescent="0.35">
      <c r="A419" t="s">
        <v>2580</v>
      </c>
    </row>
    <row r="420" spans="1:2" x14ac:dyDescent="0.35">
      <c r="A420" t="s">
        <v>2581</v>
      </c>
    </row>
    <row r="421" spans="1:2" x14ac:dyDescent="0.35">
      <c r="A421" t="s">
        <v>2582</v>
      </c>
    </row>
    <row r="422" spans="1:2" x14ac:dyDescent="0.35">
      <c r="A422" t="s">
        <v>2583</v>
      </c>
    </row>
    <row r="423" spans="1:2" x14ac:dyDescent="0.35">
      <c r="A423" t="s">
        <v>2584</v>
      </c>
    </row>
    <row r="424" spans="1:2" x14ac:dyDescent="0.35">
      <c r="A424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2" x14ac:dyDescent="0.35">
      <c r="A433" t="s">
        <v>886</v>
      </c>
    </row>
    <row r="434" spans="1:2" x14ac:dyDescent="0.35">
      <c r="A434" t="s">
        <v>887</v>
      </c>
    </row>
    <row r="435" spans="1:2" x14ac:dyDescent="0.35">
      <c r="A435" t="s">
        <v>888</v>
      </c>
    </row>
    <row r="436" spans="1:2" x14ac:dyDescent="0.35">
      <c r="A436" t="s">
        <v>69</v>
      </c>
    </row>
    <row r="437" spans="1:2" x14ac:dyDescent="0.35">
      <c r="A437" t="s">
        <v>70</v>
      </c>
    </row>
    <row r="438" spans="1:2" x14ac:dyDescent="0.35">
      <c r="A438" t="s">
        <v>71</v>
      </c>
    </row>
    <row r="439" spans="1:2" x14ac:dyDescent="0.35">
      <c r="A439" t="s">
        <v>72</v>
      </c>
    </row>
    <row r="440" spans="1:2" x14ac:dyDescent="0.35">
      <c r="A440" t="s">
        <v>73</v>
      </c>
    </row>
    <row r="441" spans="1:2" x14ac:dyDescent="0.35">
      <c r="A441" t="s">
        <v>74</v>
      </c>
    </row>
    <row r="442" spans="1:2" x14ac:dyDescent="0.35">
      <c r="A442" t="s">
        <v>278</v>
      </c>
    </row>
    <row r="443" spans="1:2" x14ac:dyDescent="0.35">
      <c r="A443" t="s">
        <v>132</v>
      </c>
      <c r="B443">
        <v>5</v>
      </c>
    </row>
    <row r="444" spans="1:2" x14ac:dyDescent="0.35">
      <c r="A444" t="s">
        <v>133</v>
      </c>
    </row>
    <row r="445" spans="1:2" x14ac:dyDescent="0.35">
      <c r="A445" t="s">
        <v>2616</v>
      </c>
    </row>
    <row r="446" spans="1:2" x14ac:dyDescent="0.35">
      <c r="A446" t="s">
        <v>2617</v>
      </c>
    </row>
    <row r="447" spans="1:2" x14ac:dyDescent="0.35">
      <c r="A447" t="s">
        <v>2618</v>
      </c>
    </row>
    <row r="448" spans="1:2" x14ac:dyDescent="0.35">
      <c r="A448" t="s">
        <v>2619</v>
      </c>
    </row>
    <row r="449" spans="1:2" x14ac:dyDescent="0.35">
      <c r="A449" t="s">
        <v>2620</v>
      </c>
    </row>
    <row r="450" spans="1:2" x14ac:dyDescent="0.35">
      <c r="A450" t="s">
        <v>2621</v>
      </c>
    </row>
    <row r="451" spans="1:2" x14ac:dyDescent="0.35">
      <c r="A451" t="s">
        <v>2622</v>
      </c>
    </row>
    <row r="452" spans="1:2" x14ac:dyDescent="0.35">
      <c r="A452" t="s">
        <v>2623</v>
      </c>
    </row>
    <row r="453" spans="1:2" x14ac:dyDescent="0.35">
      <c r="A453" t="s">
        <v>2624</v>
      </c>
    </row>
    <row r="454" spans="1:2" x14ac:dyDescent="0.35">
      <c r="A454" t="s">
        <v>2625</v>
      </c>
    </row>
    <row r="455" spans="1:2" x14ac:dyDescent="0.35">
      <c r="A455" t="s">
        <v>52</v>
      </c>
    </row>
    <row r="456" spans="1:2" x14ac:dyDescent="0.35">
      <c r="A456" t="s">
        <v>53</v>
      </c>
    </row>
    <row r="457" spans="1:2" x14ac:dyDescent="0.35">
      <c r="A457" t="s">
        <v>650</v>
      </c>
    </row>
    <row r="458" spans="1:2" x14ac:dyDescent="0.35">
      <c r="A458" t="s">
        <v>651</v>
      </c>
    </row>
    <row r="459" spans="1:2" x14ac:dyDescent="0.35">
      <c r="A459" t="s">
        <v>652</v>
      </c>
    </row>
    <row r="460" spans="1:2" x14ac:dyDescent="0.35">
      <c r="A460" t="s">
        <v>603</v>
      </c>
    </row>
    <row r="461" spans="1:2" x14ac:dyDescent="0.35">
      <c r="A461" t="s">
        <v>639</v>
      </c>
    </row>
    <row r="462" spans="1:2" x14ac:dyDescent="0.35">
      <c r="A462" t="s">
        <v>523</v>
      </c>
      <c r="B462">
        <v>5</v>
      </c>
    </row>
    <row r="463" spans="1:2" x14ac:dyDescent="0.35">
      <c r="A463" t="s">
        <v>524</v>
      </c>
      <c r="B463">
        <v>1</v>
      </c>
    </row>
    <row r="464" spans="1:2" x14ac:dyDescent="0.35">
      <c r="A464" t="s">
        <v>525</v>
      </c>
      <c r="B464">
        <v>1</v>
      </c>
    </row>
    <row r="465" spans="1:2" x14ac:dyDescent="0.35">
      <c r="A465" t="s">
        <v>526</v>
      </c>
      <c r="B465">
        <v>1</v>
      </c>
    </row>
    <row r="466" spans="1:2" x14ac:dyDescent="0.35">
      <c r="A466" t="s">
        <v>807</v>
      </c>
      <c r="B466">
        <v>1</v>
      </c>
    </row>
    <row r="467" spans="1:2" x14ac:dyDescent="0.35">
      <c r="A467" t="s">
        <v>808</v>
      </c>
      <c r="B467">
        <v>1</v>
      </c>
    </row>
    <row r="468" spans="1:2" x14ac:dyDescent="0.35">
      <c r="A468" t="s">
        <v>809</v>
      </c>
      <c r="B468">
        <v>1</v>
      </c>
    </row>
    <row r="469" spans="1:2" x14ac:dyDescent="0.35">
      <c r="A469" t="s">
        <v>810</v>
      </c>
      <c r="B469">
        <v>1</v>
      </c>
    </row>
    <row r="470" spans="1:2" x14ac:dyDescent="0.35">
      <c r="A470" t="s">
        <v>811</v>
      </c>
      <c r="B470">
        <v>1</v>
      </c>
    </row>
    <row r="471" spans="1:2" x14ac:dyDescent="0.35">
      <c r="A471" t="s">
        <v>829</v>
      </c>
      <c r="B471">
        <v>1</v>
      </c>
    </row>
    <row r="472" spans="1:2" x14ac:dyDescent="0.35">
      <c r="A472" t="s">
        <v>830</v>
      </c>
      <c r="B472">
        <v>1</v>
      </c>
    </row>
    <row r="473" spans="1:2" x14ac:dyDescent="0.35">
      <c r="A473" t="s">
        <v>831</v>
      </c>
      <c r="B473">
        <v>6</v>
      </c>
    </row>
    <row r="474" spans="1:2" x14ac:dyDescent="0.35">
      <c r="A474" t="s">
        <v>832</v>
      </c>
      <c r="B474">
        <v>1</v>
      </c>
    </row>
    <row r="475" spans="1:2" x14ac:dyDescent="0.35">
      <c r="A475" t="s">
        <v>2556</v>
      </c>
      <c r="B475">
        <v>1</v>
      </c>
    </row>
    <row r="476" spans="1:2" x14ac:dyDescent="0.35">
      <c r="A476" t="s">
        <v>2557</v>
      </c>
      <c r="B476">
        <v>1</v>
      </c>
    </row>
    <row r="477" spans="1:2" x14ac:dyDescent="0.35">
      <c r="A477" t="s">
        <v>2558</v>
      </c>
      <c r="B477">
        <v>1</v>
      </c>
    </row>
    <row r="478" spans="1:2" x14ac:dyDescent="0.35">
      <c r="A478" t="s">
        <v>2559</v>
      </c>
      <c r="B478">
        <v>1</v>
      </c>
    </row>
    <row r="479" spans="1:2" x14ac:dyDescent="0.35">
      <c r="A479" t="s">
        <v>2560</v>
      </c>
      <c r="B479">
        <v>1</v>
      </c>
    </row>
    <row r="480" spans="1:2" x14ac:dyDescent="0.35">
      <c r="A480" t="s">
        <v>2561</v>
      </c>
      <c r="B480">
        <v>1</v>
      </c>
    </row>
    <row r="481" spans="1:2" x14ac:dyDescent="0.35">
      <c r="A481" t="s">
        <v>2562</v>
      </c>
      <c r="B481">
        <v>1</v>
      </c>
    </row>
    <row r="482" spans="1:2" x14ac:dyDescent="0.35">
      <c r="A482" t="s">
        <v>2563</v>
      </c>
      <c r="B482">
        <v>1</v>
      </c>
    </row>
    <row r="483" spans="1:2" x14ac:dyDescent="0.35">
      <c r="A483" t="s">
        <v>2564</v>
      </c>
      <c r="B483">
        <v>1</v>
      </c>
    </row>
    <row r="484" spans="1:2" x14ac:dyDescent="0.35">
      <c r="A484" t="s">
        <v>2565</v>
      </c>
      <c r="B484">
        <v>1</v>
      </c>
    </row>
    <row r="485" spans="1:2" x14ac:dyDescent="0.35">
      <c r="A485" t="s">
        <v>833</v>
      </c>
      <c r="B485">
        <v>11</v>
      </c>
    </row>
    <row r="486" spans="1:2" x14ac:dyDescent="0.35">
      <c r="A486" t="s">
        <v>834</v>
      </c>
      <c r="B486">
        <v>1</v>
      </c>
    </row>
    <row r="487" spans="1:2" x14ac:dyDescent="0.35">
      <c r="A487" t="s">
        <v>835</v>
      </c>
      <c r="B487">
        <v>1</v>
      </c>
    </row>
    <row r="488" spans="1:2" x14ac:dyDescent="0.35">
      <c r="A488" t="s">
        <v>681</v>
      </c>
      <c r="B488">
        <v>1</v>
      </c>
    </row>
    <row r="489" spans="1:2" x14ac:dyDescent="0.35">
      <c r="A489" t="s">
        <v>746</v>
      </c>
      <c r="B489">
        <v>1</v>
      </c>
    </row>
    <row r="490" spans="1:2" x14ac:dyDescent="0.35">
      <c r="A490" t="s">
        <v>747</v>
      </c>
      <c r="B490">
        <v>1</v>
      </c>
    </row>
    <row r="491" spans="1:2" x14ac:dyDescent="0.35">
      <c r="A491" t="s">
        <v>748</v>
      </c>
      <c r="B491">
        <v>1</v>
      </c>
    </row>
    <row r="492" spans="1:2" x14ac:dyDescent="0.35">
      <c r="A492" t="s">
        <v>749</v>
      </c>
      <c r="B492" t="s">
        <v>2426</v>
      </c>
    </row>
    <row r="493" spans="1:2" x14ac:dyDescent="0.35">
      <c r="A493" t="s">
        <v>750</v>
      </c>
    </row>
    <row r="494" spans="1:2" x14ac:dyDescent="0.35">
      <c r="A494" t="s">
        <v>419</v>
      </c>
    </row>
    <row r="495" spans="1:2" x14ac:dyDescent="0.35">
      <c r="A495" t="s">
        <v>529</v>
      </c>
    </row>
    <row r="496" spans="1:2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t="s">
        <v>2566</v>
      </c>
    </row>
    <row r="506" spans="1:2" x14ac:dyDescent="0.35">
      <c r="A506" t="s">
        <v>2567</v>
      </c>
    </row>
    <row r="507" spans="1:2" x14ac:dyDescent="0.35">
      <c r="A507" t="s">
        <v>2568</v>
      </c>
    </row>
    <row r="508" spans="1:2" x14ac:dyDescent="0.35">
      <c r="A508" t="s">
        <v>2569</v>
      </c>
    </row>
    <row r="509" spans="1:2" x14ac:dyDescent="0.35">
      <c r="A509" t="s">
        <v>2570</v>
      </c>
    </row>
    <row r="510" spans="1:2" x14ac:dyDescent="0.35">
      <c r="A510" t="s">
        <v>2571</v>
      </c>
    </row>
    <row r="511" spans="1:2" x14ac:dyDescent="0.35">
      <c r="A511" t="s">
        <v>2572</v>
      </c>
    </row>
    <row r="512" spans="1:2" x14ac:dyDescent="0.35">
      <c r="A512" t="s">
        <v>2573</v>
      </c>
    </row>
    <row r="513" spans="1:2" x14ac:dyDescent="0.35">
      <c r="A513" t="s">
        <v>2574</v>
      </c>
    </row>
    <row r="514" spans="1:2" x14ac:dyDescent="0.35">
      <c r="A514" t="s">
        <v>2575</v>
      </c>
    </row>
    <row r="515" spans="1:2" x14ac:dyDescent="0.35">
      <c r="A515" t="s">
        <v>711</v>
      </c>
      <c r="B515" t="s">
        <v>2425</v>
      </c>
    </row>
    <row r="516" spans="1:2" x14ac:dyDescent="0.35">
      <c r="A516" t="s">
        <v>791</v>
      </c>
    </row>
    <row r="517" spans="1:2" x14ac:dyDescent="0.35">
      <c r="A517" t="s">
        <v>848</v>
      </c>
    </row>
    <row r="518" spans="1:2" x14ac:dyDescent="0.35">
      <c r="A518" t="s">
        <v>849</v>
      </c>
    </row>
    <row r="519" spans="1:2" x14ac:dyDescent="0.35">
      <c r="A519" t="s">
        <v>850</v>
      </c>
    </row>
    <row r="520" spans="1:2" x14ac:dyDescent="0.35">
      <c r="A520" t="s">
        <v>851</v>
      </c>
    </row>
    <row r="521" spans="1:2" x14ac:dyDescent="0.35">
      <c r="A521" t="s">
        <v>222</v>
      </c>
    </row>
    <row r="522" spans="1:2" x14ac:dyDescent="0.35">
      <c r="A522" t="s">
        <v>346</v>
      </c>
      <c r="B522" t="b">
        <v>1</v>
      </c>
    </row>
    <row r="523" spans="1:2" x14ac:dyDescent="0.35">
      <c r="A523" t="s">
        <v>347</v>
      </c>
      <c r="B523">
        <v>7</v>
      </c>
    </row>
    <row r="524" spans="1:2" x14ac:dyDescent="0.35">
      <c r="A524" t="s">
        <v>348</v>
      </c>
      <c r="B524" t="b">
        <v>1</v>
      </c>
    </row>
    <row r="525" spans="1:2" x14ac:dyDescent="0.35">
      <c r="A525" t="s">
        <v>48</v>
      </c>
      <c r="B525" t="b">
        <v>1</v>
      </c>
    </row>
    <row r="526" spans="1:2" x14ac:dyDescent="0.35">
      <c r="A526" t="s">
        <v>799</v>
      </c>
      <c r="B526">
        <v>10</v>
      </c>
    </row>
    <row r="527" spans="1:2" x14ac:dyDescent="0.35">
      <c r="A527" t="s">
        <v>49</v>
      </c>
      <c r="B527">
        <v>2</v>
      </c>
    </row>
    <row r="528" spans="1:2" x14ac:dyDescent="0.35">
      <c r="A528" t="s">
        <v>233</v>
      </c>
    </row>
    <row r="529" spans="1:1" x14ac:dyDescent="0.35">
      <c r="A529" t="s">
        <v>234</v>
      </c>
    </row>
    <row r="530" spans="1:1" x14ac:dyDescent="0.35">
      <c r="A530" t="s">
        <v>612</v>
      </c>
    </row>
    <row r="531" spans="1:1" x14ac:dyDescent="0.35">
      <c r="A531" t="s">
        <v>613</v>
      </c>
    </row>
    <row r="532" spans="1:1" x14ac:dyDescent="0.35">
      <c r="A532" t="s">
        <v>614</v>
      </c>
    </row>
    <row r="533" spans="1:1" x14ac:dyDescent="0.35">
      <c r="A533" t="s">
        <v>320</v>
      </c>
    </row>
    <row r="534" spans="1:1" x14ac:dyDescent="0.35">
      <c r="A534" t="s">
        <v>1453</v>
      </c>
    </row>
    <row r="535" spans="1:1" x14ac:dyDescent="0.35">
      <c r="A535" t="s">
        <v>321</v>
      </c>
    </row>
    <row r="536" spans="1:1" x14ac:dyDescent="0.35">
      <c r="A536" t="s">
        <v>322</v>
      </c>
    </row>
    <row r="537" spans="1:1" x14ac:dyDescent="0.35">
      <c r="A537" t="s">
        <v>323</v>
      </c>
    </row>
    <row r="538" spans="1:1" x14ac:dyDescent="0.35">
      <c r="A538" t="s">
        <v>324</v>
      </c>
    </row>
    <row r="539" spans="1:1" x14ac:dyDescent="0.35">
      <c r="A539" t="s">
        <v>451</v>
      </c>
    </row>
    <row r="540" spans="1:1" x14ac:dyDescent="0.35">
      <c r="A540" t="s">
        <v>349</v>
      </c>
    </row>
    <row r="541" spans="1:1" x14ac:dyDescent="0.35">
      <c r="A541" t="s">
        <v>350</v>
      </c>
    </row>
    <row r="542" spans="1:1" x14ac:dyDescent="0.35">
      <c r="A542" t="s">
        <v>351</v>
      </c>
    </row>
    <row r="543" spans="1:1" x14ac:dyDescent="0.35">
      <c r="A543" t="s">
        <v>327</v>
      </c>
    </row>
    <row r="544" spans="1:1" x14ac:dyDescent="0.35">
      <c r="A544" t="s">
        <v>328</v>
      </c>
    </row>
    <row r="545" spans="1:1" x14ac:dyDescent="0.35">
      <c r="A545" t="s">
        <v>670</v>
      </c>
    </row>
    <row r="546" spans="1:1" x14ac:dyDescent="0.35">
      <c r="A546" t="s">
        <v>671</v>
      </c>
    </row>
    <row r="547" spans="1:1" x14ac:dyDescent="0.35">
      <c r="A547" t="s">
        <v>607</v>
      </c>
    </row>
    <row r="548" spans="1:1" x14ac:dyDescent="0.35">
      <c r="A548" t="s">
        <v>608</v>
      </c>
    </row>
    <row r="549" spans="1:1" x14ac:dyDescent="0.35">
      <c r="A549" t="s">
        <v>609</v>
      </c>
    </row>
    <row r="550" spans="1:1" x14ac:dyDescent="0.35">
      <c r="A550" t="s">
        <v>253</v>
      </c>
    </row>
    <row r="551" spans="1:1" x14ac:dyDescent="0.35">
      <c r="A551" t="s">
        <v>254</v>
      </c>
    </row>
    <row r="552" spans="1:1" x14ac:dyDescent="0.35">
      <c r="A552" t="s">
        <v>255</v>
      </c>
    </row>
    <row r="553" spans="1:1" x14ac:dyDescent="0.35">
      <c r="A553" t="s">
        <v>256</v>
      </c>
    </row>
    <row r="554" spans="1:1" x14ac:dyDescent="0.35">
      <c r="A554" t="s">
        <v>257</v>
      </c>
    </row>
    <row r="555" spans="1:1" x14ac:dyDescent="0.35">
      <c r="A555" t="s">
        <v>371</v>
      </c>
    </row>
    <row r="556" spans="1:1" x14ac:dyDescent="0.35">
      <c r="A556" t="s">
        <v>2606</v>
      </c>
    </row>
    <row r="557" spans="1:1" x14ac:dyDescent="0.35">
      <c r="A557" t="s">
        <v>2607</v>
      </c>
    </row>
    <row r="558" spans="1:1" x14ac:dyDescent="0.35">
      <c r="A558" t="s">
        <v>2608</v>
      </c>
    </row>
    <row r="559" spans="1:1" x14ac:dyDescent="0.35">
      <c r="A559" t="s">
        <v>2609</v>
      </c>
    </row>
    <row r="560" spans="1:1" x14ac:dyDescent="0.35">
      <c r="A560" t="s">
        <v>2610</v>
      </c>
    </row>
    <row r="561" spans="1:2" x14ac:dyDescent="0.35">
      <c r="A561" t="s">
        <v>2611</v>
      </c>
    </row>
    <row r="562" spans="1:2" x14ac:dyDescent="0.35">
      <c r="A562" t="s">
        <v>2612</v>
      </c>
    </row>
    <row r="563" spans="1:2" x14ac:dyDescent="0.35">
      <c r="A563" t="s">
        <v>2613</v>
      </c>
    </row>
    <row r="564" spans="1:2" x14ac:dyDescent="0.35">
      <c r="A564" t="s">
        <v>2614</v>
      </c>
    </row>
    <row r="565" spans="1:2" x14ac:dyDescent="0.35">
      <c r="A565" t="s">
        <v>2615</v>
      </c>
    </row>
    <row r="566" spans="1:2" x14ac:dyDescent="0.35">
      <c r="A566" t="s">
        <v>366</v>
      </c>
    </row>
    <row r="567" spans="1:2" x14ac:dyDescent="0.35">
      <c r="A567" t="s">
        <v>367</v>
      </c>
    </row>
    <row r="568" spans="1:2" x14ac:dyDescent="0.35">
      <c r="A568" t="s">
        <v>368</v>
      </c>
    </row>
    <row r="569" spans="1:2" x14ac:dyDescent="0.35">
      <c r="A569" t="s">
        <v>369</v>
      </c>
    </row>
    <row r="570" spans="1:2" x14ac:dyDescent="0.35">
      <c r="A570" t="s">
        <v>370</v>
      </c>
    </row>
    <row r="571" spans="1:2" x14ac:dyDescent="0.35">
      <c r="A571" t="s">
        <v>622</v>
      </c>
    </row>
    <row r="572" spans="1:2" x14ac:dyDescent="0.35">
      <c r="A572" t="s">
        <v>729</v>
      </c>
    </row>
    <row r="573" spans="1:2" x14ac:dyDescent="0.35">
      <c r="A573" t="s">
        <v>447</v>
      </c>
      <c r="B573">
        <v>42716</v>
      </c>
    </row>
    <row r="574" spans="1:2" x14ac:dyDescent="0.35">
      <c r="A574" t="s">
        <v>769</v>
      </c>
      <c r="B574">
        <v>1234567</v>
      </c>
    </row>
    <row r="575" spans="1:2" x14ac:dyDescent="0.35">
      <c r="A575" t="s">
        <v>630</v>
      </c>
      <c r="B575">
        <v>1</v>
      </c>
    </row>
    <row r="576" spans="1:2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t="s">
        <v>2596</v>
      </c>
    </row>
    <row r="598" spans="1:2" x14ac:dyDescent="0.35">
      <c r="A598" t="s">
        <v>2597</v>
      </c>
    </row>
    <row r="599" spans="1:2" x14ac:dyDescent="0.35">
      <c r="A599" t="s">
        <v>2598</v>
      </c>
    </row>
    <row r="600" spans="1:2" x14ac:dyDescent="0.35">
      <c r="A600" t="s">
        <v>2599</v>
      </c>
    </row>
    <row r="601" spans="1:2" x14ac:dyDescent="0.35">
      <c r="A601" t="s">
        <v>2600</v>
      </c>
    </row>
    <row r="602" spans="1:2" x14ac:dyDescent="0.35">
      <c r="A602" t="s">
        <v>2601</v>
      </c>
    </row>
    <row r="603" spans="1:2" x14ac:dyDescent="0.35">
      <c r="A603" t="s">
        <v>2602</v>
      </c>
    </row>
    <row r="604" spans="1:2" x14ac:dyDescent="0.35">
      <c r="A604" t="s">
        <v>2603</v>
      </c>
    </row>
    <row r="605" spans="1:2" x14ac:dyDescent="0.35">
      <c r="A605" t="s">
        <v>2604</v>
      </c>
    </row>
    <row r="606" spans="1:2" x14ac:dyDescent="0.35">
      <c r="A606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2" x14ac:dyDescent="0.35">
      <c r="A609" t="s">
        <v>491</v>
      </c>
    </row>
    <row r="610" spans="1:2" x14ac:dyDescent="0.35">
      <c r="A610" t="s">
        <v>492</v>
      </c>
    </row>
    <row r="611" spans="1:2" x14ac:dyDescent="0.35">
      <c r="A611" t="s">
        <v>493</v>
      </c>
    </row>
    <row r="612" spans="1:2" x14ac:dyDescent="0.35">
      <c r="A612" t="s">
        <v>494</v>
      </c>
    </row>
    <row r="613" spans="1:2" x14ac:dyDescent="0.35">
      <c r="A613" t="s">
        <v>495</v>
      </c>
    </row>
    <row r="614" spans="1:2" x14ac:dyDescent="0.35">
      <c r="A614" t="s">
        <v>435</v>
      </c>
      <c r="B614" t="b">
        <v>1</v>
      </c>
    </row>
    <row r="615" spans="1:2" x14ac:dyDescent="0.35">
      <c r="A615" t="s">
        <v>800</v>
      </c>
      <c r="B615">
        <v>13</v>
      </c>
    </row>
    <row r="616" spans="1:2" x14ac:dyDescent="0.35">
      <c r="A616" t="s">
        <v>445</v>
      </c>
      <c r="B616">
        <v>1</v>
      </c>
    </row>
    <row r="617" spans="1:2" x14ac:dyDescent="0.35">
      <c r="A617" t="s">
        <v>632</v>
      </c>
    </row>
    <row r="618" spans="1:2" x14ac:dyDescent="0.35">
      <c r="A618" t="s">
        <v>633</v>
      </c>
    </row>
    <row r="619" spans="1:2" x14ac:dyDescent="0.35">
      <c r="A619" t="s">
        <v>634</v>
      </c>
    </row>
    <row r="620" spans="1:2" x14ac:dyDescent="0.35">
      <c r="A620" t="s">
        <v>635</v>
      </c>
    </row>
    <row r="621" spans="1:2" x14ac:dyDescent="0.35">
      <c r="A621" t="s">
        <v>636</v>
      </c>
    </row>
    <row r="622" spans="1:2" x14ac:dyDescent="0.35">
      <c r="A622" t="s">
        <v>637</v>
      </c>
    </row>
    <row r="623" spans="1:2" x14ac:dyDescent="0.35">
      <c r="A623" t="s">
        <v>417</v>
      </c>
    </row>
    <row r="624" spans="1:2" x14ac:dyDescent="0.35">
      <c r="A624" t="s">
        <v>814</v>
      </c>
    </row>
    <row r="625" spans="1:2" x14ac:dyDescent="0.35">
      <c r="A625" t="s">
        <v>815</v>
      </c>
    </row>
    <row r="626" spans="1:2" x14ac:dyDescent="0.35">
      <c r="A626" t="s">
        <v>628</v>
      </c>
      <c r="B626">
        <v>14</v>
      </c>
    </row>
    <row r="627" spans="1:2" x14ac:dyDescent="0.35">
      <c r="A627" t="s">
        <v>599</v>
      </c>
      <c r="B627">
        <v>1</v>
      </c>
    </row>
    <row r="628" spans="1:2" x14ac:dyDescent="0.35">
      <c r="A628" t="s">
        <v>861</v>
      </c>
      <c r="B628">
        <v>1</v>
      </c>
    </row>
    <row r="629" spans="1:2" x14ac:dyDescent="0.35">
      <c r="A629" t="s">
        <v>801</v>
      </c>
      <c r="B629">
        <v>14</v>
      </c>
    </row>
    <row r="630" spans="1:2" x14ac:dyDescent="0.35">
      <c r="A630" t="s">
        <v>332</v>
      </c>
      <c r="B630">
        <v>5</v>
      </c>
    </row>
    <row r="631" spans="1:2" x14ac:dyDescent="0.35">
      <c r="A631" t="s">
        <v>333</v>
      </c>
    </row>
    <row r="632" spans="1:2" x14ac:dyDescent="0.35">
      <c r="A632" t="s">
        <v>334</v>
      </c>
    </row>
    <row r="633" spans="1:2" x14ac:dyDescent="0.35">
      <c r="A633" t="s">
        <v>335</v>
      </c>
    </row>
    <row r="634" spans="1:2" x14ac:dyDescent="0.35">
      <c r="A634" t="s">
        <v>336</v>
      </c>
    </row>
    <row r="635" spans="1:2" x14ac:dyDescent="0.35">
      <c r="A635" t="s">
        <v>337</v>
      </c>
    </row>
    <row r="636" spans="1:2" x14ac:dyDescent="0.35">
      <c r="A636" t="s">
        <v>338</v>
      </c>
    </row>
    <row r="637" spans="1:2" x14ac:dyDescent="0.35">
      <c r="A637" t="s">
        <v>339</v>
      </c>
    </row>
    <row r="638" spans="1:2" x14ac:dyDescent="0.35">
      <c r="A638" t="s">
        <v>340</v>
      </c>
    </row>
    <row r="639" spans="1:2" x14ac:dyDescent="0.35">
      <c r="A639" t="s">
        <v>28</v>
      </c>
    </row>
    <row r="640" spans="1:2" x14ac:dyDescent="0.35">
      <c r="A640" t="s">
        <v>29</v>
      </c>
    </row>
    <row r="641" spans="1:2" x14ac:dyDescent="0.35">
      <c r="A641" t="s">
        <v>30</v>
      </c>
      <c r="B641">
        <v>20</v>
      </c>
    </row>
    <row r="642" spans="1:2" x14ac:dyDescent="0.35">
      <c r="A642" t="s">
        <v>31</v>
      </c>
    </row>
    <row r="643" spans="1:2" x14ac:dyDescent="0.35">
      <c r="A643" t="s">
        <v>32</v>
      </c>
      <c r="B643">
        <v>120</v>
      </c>
    </row>
    <row r="644" spans="1:2" x14ac:dyDescent="0.35">
      <c r="A644" t="s">
        <v>33</v>
      </c>
    </row>
    <row r="645" spans="1:2" x14ac:dyDescent="0.35">
      <c r="A645" t="s">
        <v>34</v>
      </c>
    </row>
    <row r="646" spans="1:2" x14ac:dyDescent="0.35">
      <c r="A646" t="s">
        <v>35</v>
      </c>
    </row>
    <row r="647" spans="1:2" x14ac:dyDescent="0.35">
      <c r="A647" t="s">
        <v>36</v>
      </c>
    </row>
    <row r="648" spans="1:2" x14ac:dyDescent="0.35">
      <c r="A648" t="s">
        <v>37</v>
      </c>
    </row>
    <row r="649" spans="1:2" x14ac:dyDescent="0.35">
      <c r="A649" t="s">
        <v>38</v>
      </c>
    </row>
    <row r="650" spans="1:2" x14ac:dyDescent="0.35">
      <c r="A650" t="s">
        <v>2526</v>
      </c>
    </row>
    <row r="651" spans="1:2" x14ac:dyDescent="0.35">
      <c r="A651" t="s">
        <v>2527</v>
      </c>
    </row>
    <row r="652" spans="1:2" x14ac:dyDescent="0.35">
      <c r="A652" t="s">
        <v>2528</v>
      </c>
    </row>
    <row r="653" spans="1:2" x14ac:dyDescent="0.35">
      <c r="A653" t="s">
        <v>2529</v>
      </c>
    </row>
    <row r="654" spans="1:2" x14ac:dyDescent="0.35">
      <c r="A654" t="s">
        <v>2530</v>
      </c>
    </row>
    <row r="655" spans="1:2" x14ac:dyDescent="0.35">
      <c r="A655" t="s">
        <v>2531</v>
      </c>
    </row>
    <row r="656" spans="1:2" x14ac:dyDescent="0.35">
      <c r="A656" t="s">
        <v>2532</v>
      </c>
    </row>
    <row r="657" spans="1:2" x14ac:dyDescent="0.35">
      <c r="A657" t="s">
        <v>2533</v>
      </c>
    </row>
    <row r="658" spans="1:2" x14ac:dyDescent="0.35">
      <c r="A658" t="s">
        <v>2534</v>
      </c>
    </row>
    <row r="659" spans="1:2" x14ac:dyDescent="0.35">
      <c r="A659" t="s">
        <v>2535</v>
      </c>
    </row>
    <row r="660" spans="1:2" x14ac:dyDescent="0.35">
      <c r="A660" t="s">
        <v>900</v>
      </c>
      <c r="B660">
        <v>1500</v>
      </c>
    </row>
    <row r="661" spans="1:2" x14ac:dyDescent="0.35">
      <c r="A661" t="s">
        <v>901</v>
      </c>
      <c r="B661">
        <v>1500</v>
      </c>
    </row>
    <row r="662" spans="1:2" x14ac:dyDescent="0.35">
      <c r="A662" t="s">
        <v>902</v>
      </c>
      <c r="B662">
        <v>1500</v>
      </c>
    </row>
    <row r="663" spans="1:2" x14ac:dyDescent="0.35">
      <c r="A663" t="s">
        <v>903</v>
      </c>
      <c r="B663">
        <v>1500</v>
      </c>
    </row>
    <row r="664" spans="1:2" x14ac:dyDescent="0.35">
      <c r="A664" t="s">
        <v>16</v>
      </c>
      <c r="B664">
        <v>1500</v>
      </c>
    </row>
    <row r="665" spans="1:2" x14ac:dyDescent="0.35">
      <c r="A665" t="s">
        <v>17</v>
      </c>
      <c r="B665">
        <v>1500</v>
      </c>
    </row>
    <row r="666" spans="1:2" x14ac:dyDescent="0.35">
      <c r="A666" t="s">
        <v>18</v>
      </c>
      <c r="B666">
        <v>1500</v>
      </c>
    </row>
    <row r="667" spans="1:2" x14ac:dyDescent="0.35">
      <c r="A667" t="s">
        <v>19</v>
      </c>
      <c r="B667">
        <v>1500</v>
      </c>
    </row>
    <row r="668" spans="1:2" x14ac:dyDescent="0.35">
      <c r="A668" t="s">
        <v>20</v>
      </c>
      <c r="B668">
        <v>1500</v>
      </c>
    </row>
    <row r="669" spans="1:2" x14ac:dyDescent="0.35">
      <c r="A669" t="s">
        <v>379</v>
      </c>
      <c r="B669">
        <v>1500</v>
      </c>
    </row>
    <row r="670" spans="1:2" x14ac:dyDescent="0.35">
      <c r="A670" t="s">
        <v>380</v>
      </c>
      <c r="B670">
        <v>1500</v>
      </c>
    </row>
    <row r="671" spans="1:2" x14ac:dyDescent="0.35">
      <c r="A671" t="s">
        <v>381</v>
      </c>
      <c r="B671">
        <v>1500</v>
      </c>
    </row>
    <row r="672" spans="1:2" x14ac:dyDescent="0.35">
      <c r="A672" t="s">
        <v>43</v>
      </c>
      <c r="B672">
        <v>1500</v>
      </c>
    </row>
    <row r="673" spans="1:2" x14ac:dyDescent="0.35">
      <c r="A673" t="s">
        <v>2496</v>
      </c>
      <c r="B673">
        <v>1500</v>
      </c>
    </row>
    <row r="674" spans="1:2" x14ac:dyDescent="0.35">
      <c r="A674" t="s">
        <v>2497</v>
      </c>
      <c r="B674">
        <v>1500</v>
      </c>
    </row>
    <row r="675" spans="1:2" x14ac:dyDescent="0.35">
      <c r="A675" t="s">
        <v>2498</v>
      </c>
      <c r="B675">
        <v>1500</v>
      </c>
    </row>
    <row r="676" spans="1:2" x14ac:dyDescent="0.35">
      <c r="A676" t="s">
        <v>2499</v>
      </c>
      <c r="B676">
        <v>1500</v>
      </c>
    </row>
    <row r="677" spans="1:2" x14ac:dyDescent="0.35">
      <c r="A677" t="s">
        <v>2500</v>
      </c>
      <c r="B677">
        <v>1500</v>
      </c>
    </row>
    <row r="678" spans="1:2" x14ac:dyDescent="0.35">
      <c r="A678" t="s">
        <v>2501</v>
      </c>
      <c r="B678">
        <v>1500</v>
      </c>
    </row>
    <row r="679" spans="1:2" x14ac:dyDescent="0.35">
      <c r="A679" t="s">
        <v>2502</v>
      </c>
      <c r="B679">
        <v>1500</v>
      </c>
    </row>
    <row r="680" spans="1:2" x14ac:dyDescent="0.35">
      <c r="A680" t="s">
        <v>2503</v>
      </c>
      <c r="B680">
        <v>1500</v>
      </c>
    </row>
    <row r="681" spans="1:2" x14ac:dyDescent="0.35">
      <c r="A681" t="s">
        <v>2504</v>
      </c>
      <c r="B681">
        <v>1500</v>
      </c>
    </row>
    <row r="682" spans="1:2" x14ac:dyDescent="0.35">
      <c r="A682" t="s">
        <v>2505</v>
      </c>
      <c r="B682">
        <v>1500</v>
      </c>
    </row>
    <row r="683" spans="1:2" x14ac:dyDescent="0.35">
      <c r="A683" t="s">
        <v>44</v>
      </c>
      <c r="B683">
        <v>1500</v>
      </c>
    </row>
    <row r="684" spans="1:2" x14ac:dyDescent="0.35">
      <c r="A684" t="s">
        <v>45</v>
      </c>
      <c r="B684">
        <v>1500</v>
      </c>
    </row>
    <row r="685" spans="1:2" x14ac:dyDescent="0.35">
      <c r="A685" t="s">
        <v>46</v>
      </c>
      <c r="B685">
        <v>1500</v>
      </c>
    </row>
    <row r="686" spans="1:2" x14ac:dyDescent="0.35">
      <c r="A686" t="s">
        <v>558</v>
      </c>
      <c r="B686">
        <v>1500</v>
      </c>
    </row>
    <row r="687" spans="1:2" x14ac:dyDescent="0.35">
      <c r="A687" t="s">
        <v>559</v>
      </c>
      <c r="B687">
        <v>1500</v>
      </c>
    </row>
    <row r="688" spans="1:2" x14ac:dyDescent="0.35">
      <c r="A688" t="s">
        <v>560</v>
      </c>
      <c r="B688">
        <v>1500</v>
      </c>
    </row>
    <row r="689" spans="1:2" x14ac:dyDescent="0.35">
      <c r="A689" t="s">
        <v>561</v>
      </c>
      <c r="B689">
        <v>1500</v>
      </c>
    </row>
    <row r="690" spans="1:2" x14ac:dyDescent="0.35">
      <c r="A690" t="s">
        <v>478</v>
      </c>
      <c r="B690">
        <v>2</v>
      </c>
    </row>
    <row r="691" spans="1:2" x14ac:dyDescent="0.35">
      <c r="A691" t="s">
        <v>802</v>
      </c>
      <c r="B691">
        <v>8</v>
      </c>
    </row>
    <row r="692" spans="1:2" x14ac:dyDescent="0.35">
      <c r="A692" t="s">
        <v>803</v>
      </c>
      <c r="B692" t="b">
        <v>1</v>
      </c>
    </row>
    <row r="693" spans="1:2" x14ac:dyDescent="0.35">
      <c r="A693" t="s">
        <v>804</v>
      </c>
      <c r="B693">
        <v>8</v>
      </c>
    </row>
    <row r="694" spans="1:2" x14ac:dyDescent="0.35">
      <c r="A694" t="s">
        <v>309</v>
      </c>
      <c r="B694">
        <v>0</v>
      </c>
    </row>
    <row r="695" spans="1:2" x14ac:dyDescent="0.35">
      <c r="A695" t="s">
        <v>701</v>
      </c>
    </row>
    <row r="696" spans="1:2" x14ac:dyDescent="0.35">
      <c r="A696" t="s">
        <v>702</v>
      </c>
    </row>
    <row r="697" spans="1:2" x14ac:dyDescent="0.35">
      <c r="A697" t="s">
        <v>452</v>
      </c>
    </row>
    <row r="698" spans="1:2" x14ac:dyDescent="0.35">
      <c r="A698" t="s">
        <v>969</v>
      </c>
      <c r="B698" t="s">
        <v>2639</v>
      </c>
    </row>
    <row r="699" spans="1:2" x14ac:dyDescent="0.35">
      <c r="A699" t="s">
        <v>1115</v>
      </c>
    </row>
    <row r="700" spans="1:2" x14ac:dyDescent="0.35">
      <c r="A700" t="s">
        <v>1116</v>
      </c>
      <c r="B700">
        <v>0</v>
      </c>
    </row>
    <row r="701" spans="1:2" x14ac:dyDescent="0.35">
      <c r="A701" t="s">
        <v>1117</v>
      </c>
      <c r="B701">
        <v>5000</v>
      </c>
    </row>
    <row r="702" spans="1:2" x14ac:dyDescent="0.35">
      <c r="A702" t="s">
        <v>1118</v>
      </c>
      <c r="B702">
        <v>0</v>
      </c>
    </row>
    <row r="703" spans="1:2" x14ac:dyDescent="0.35">
      <c r="A703" t="s">
        <v>1119</v>
      </c>
      <c r="B703">
        <v>1</v>
      </c>
    </row>
    <row r="704" spans="1:2" x14ac:dyDescent="0.35">
      <c r="A704" t="s">
        <v>1120</v>
      </c>
      <c r="B704">
        <v>1</v>
      </c>
    </row>
    <row r="705" spans="1:2" x14ac:dyDescent="0.35">
      <c r="A705" t="s">
        <v>1121</v>
      </c>
      <c r="B705">
        <v>1</v>
      </c>
    </row>
    <row r="706" spans="1:2" x14ac:dyDescent="0.35">
      <c r="A706" t="s">
        <v>1122</v>
      </c>
      <c r="B706">
        <v>1</v>
      </c>
    </row>
    <row r="707" spans="1:2" x14ac:dyDescent="0.35">
      <c r="A707" t="s">
        <v>1123</v>
      </c>
      <c r="B707">
        <v>1</v>
      </c>
    </row>
    <row r="708" spans="1:2" x14ac:dyDescent="0.35">
      <c r="A708" t="s">
        <v>1124</v>
      </c>
      <c r="B708">
        <v>1</v>
      </c>
    </row>
    <row r="709" spans="1:2" x14ac:dyDescent="0.35">
      <c r="A709" t="s">
        <v>1125</v>
      </c>
      <c r="B709">
        <v>1</v>
      </c>
    </row>
    <row r="710" spans="1:2" x14ac:dyDescent="0.35">
      <c r="A710" t="s">
        <v>1126</v>
      </c>
      <c r="B710">
        <v>1</v>
      </c>
    </row>
    <row r="711" spans="1:2" x14ac:dyDescent="0.35">
      <c r="A711" t="s">
        <v>1127</v>
      </c>
      <c r="B711">
        <v>1</v>
      </c>
    </row>
    <row r="712" spans="1:2" x14ac:dyDescent="0.35">
      <c r="A712" t="s">
        <v>1128</v>
      </c>
      <c r="B712">
        <v>1</v>
      </c>
    </row>
    <row r="713" spans="1:2" x14ac:dyDescent="0.35">
      <c r="A713" t="s">
        <v>1129</v>
      </c>
      <c r="B713">
        <v>1</v>
      </c>
    </row>
    <row r="714" spans="1:2" x14ac:dyDescent="0.35">
      <c r="A714" t="s">
        <v>1130</v>
      </c>
      <c r="B714">
        <v>0</v>
      </c>
    </row>
    <row r="715" spans="1:2" x14ac:dyDescent="0.35">
      <c r="A715" t="s">
        <v>1131</v>
      </c>
      <c r="B715">
        <v>0</v>
      </c>
    </row>
    <row r="716" spans="1:2" x14ac:dyDescent="0.35">
      <c r="A716" t="s">
        <v>1132</v>
      </c>
      <c r="B716">
        <v>0</v>
      </c>
    </row>
    <row r="717" spans="1:2" x14ac:dyDescent="0.35">
      <c r="A717" t="s">
        <v>1133</v>
      </c>
      <c r="B717">
        <v>0</v>
      </c>
    </row>
    <row r="718" spans="1:2" x14ac:dyDescent="0.35">
      <c r="A718" t="s">
        <v>1134</v>
      </c>
      <c r="B718">
        <v>0</v>
      </c>
    </row>
    <row r="719" spans="1:2" x14ac:dyDescent="0.35">
      <c r="A719" t="s">
        <v>1135</v>
      </c>
      <c r="B719">
        <v>0</v>
      </c>
    </row>
    <row r="720" spans="1:2" x14ac:dyDescent="0.35">
      <c r="A720" t="s">
        <v>1136</v>
      </c>
      <c r="B720">
        <v>0</v>
      </c>
    </row>
    <row r="721" spans="1:2" x14ac:dyDescent="0.35">
      <c r="A721" t="s">
        <v>1137</v>
      </c>
      <c r="B721">
        <v>0</v>
      </c>
    </row>
    <row r="722" spans="1:2" x14ac:dyDescent="0.35">
      <c r="A722" t="s">
        <v>1138</v>
      </c>
      <c r="B722">
        <v>0</v>
      </c>
    </row>
    <row r="723" spans="1:2" x14ac:dyDescent="0.35">
      <c r="A723" t="s">
        <v>1139</v>
      </c>
      <c r="B723">
        <v>0</v>
      </c>
    </row>
    <row r="724" spans="1:2" x14ac:dyDescent="0.35">
      <c r="A724" t="s">
        <v>1140</v>
      </c>
      <c r="B724">
        <v>0</v>
      </c>
    </row>
    <row r="725" spans="1:2" x14ac:dyDescent="0.35">
      <c r="A725" t="s">
        <v>1141</v>
      </c>
      <c r="B725">
        <v>42370</v>
      </c>
    </row>
    <row r="726" spans="1:2" x14ac:dyDescent="0.35">
      <c r="A726" t="s">
        <v>1142</v>
      </c>
      <c r="B726">
        <v>8</v>
      </c>
    </row>
    <row r="727" spans="1:2" x14ac:dyDescent="0.35">
      <c r="A727" t="s">
        <v>1143</v>
      </c>
      <c r="B727">
        <v>0</v>
      </c>
    </row>
    <row r="728" spans="1:2" x14ac:dyDescent="0.35">
      <c r="A728" t="s">
        <v>1144</v>
      </c>
      <c r="B728">
        <v>0</v>
      </c>
    </row>
    <row r="729" spans="1:2" x14ac:dyDescent="0.35">
      <c r="A729" t="s">
        <v>1145</v>
      </c>
      <c r="B729">
        <v>5000</v>
      </c>
    </row>
    <row r="730" spans="1:2" x14ac:dyDescent="0.35">
      <c r="A730" t="s">
        <v>1146</v>
      </c>
      <c r="B730">
        <v>5000</v>
      </c>
    </row>
    <row r="731" spans="1:2" x14ac:dyDescent="0.35">
      <c r="A731" t="s">
        <v>1147</v>
      </c>
      <c r="B731">
        <v>5000</v>
      </c>
    </row>
    <row r="732" spans="1:2" x14ac:dyDescent="0.35">
      <c r="A732" t="s">
        <v>1148</v>
      </c>
      <c r="B732">
        <v>1</v>
      </c>
    </row>
    <row r="733" spans="1:2" x14ac:dyDescent="0.35">
      <c r="A733" t="s">
        <v>1149</v>
      </c>
      <c r="B733">
        <v>1</v>
      </c>
    </row>
    <row r="734" spans="1:2" x14ac:dyDescent="0.35">
      <c r="A734" t="s">
        <v>1150</v>
      </c>
      <c r="B734">
        <v>1</v>
      </c>
    </row>
    <row r="735" spans="1:2" x14ac:dyDescent="0.35">
      <c r="A735" t="s">
        <v>1151</v>
      </c>
      <c r="B735">
        <v>1</v>
      </c>
    </row>
    <row r="736" spans="1:2" x14ac:dyDescent="0.35">
      <c r="A736" t="s">
        <v>1152</v>
      </c>
      <c r="B736">
        <v>1</v>
      </c>
    </row>
    <row r="737" spans="1:2" x14ac:dyDescent="0.35">
      <c r="A737" t="s">
        <v>1153</v>
      </c>
      <c r="B737">
        <v>1</v>
      </c>
    </row>
    <row r="738" spans="1:2" x14ac:dyDescent="0.35">
      <c r="A738" t="s">
        <v>1154</v>
      </c>
      <c r="B738">
        <v>1</v>
      </c>
    </row>
    <row r="739" spans="1:2" x14ac:dyDescent="0.35">
      <c r="A739" t="s">
        <v>1155</v>
      </c>
      <c r="B739">
        <v>1</v>
      </c>
    </row>
    <row r="740" spans="1:2" x14ac:dyDescent="0.35">
      <c r="A740" t="s">
        <v>1156</v>
      </c>
      <c r="B740">
        <v>1</v>
      </c>
    </row>
    <row r="741" spans="1:2" x14ac:dyDescent="0.35">
      <c r="A741" t="s">
        <v>1157</v>
      </c>
      <c r="B741">
        <v>0</v>
      </c>
    </row>
    <row r="742" spans="1:2" x14ac:dyDescent="0.35">
      <c r="A742" t="s">
        <v>1158</v>
      </c>
      <c r="B742">
        <v>0</v>
      </c>
    </row>
    <row r="743" spans="1:2" x14ac:dyDescent="0.35">
      <c r="A743" t="s">
        <v>1159</v>
      </c>
      <c r="B743">
        <v>0</v>
      </c>
    </row>
    <row r="744" spans="1:2" x14ac:dyDescent="0.35">
      <c r="A744" t="s">
        <v>1160</v>
      </c>
      <c r="B744">
        <v>0</v>
      </c>
    </row>
    <row r="745" spans="1:2" x14ac:dyDescent="0.35">
      <c r="A745" t="s">
        <v>1161</v>
      </c>
      <c r="B745">
        <v>0</v>
      </c>
    </row>
    <row r="746" spans="1:2" x14ac:dyDescent="0.35">
      <c r="A746" t="s">
        <v>1162</v>
      </c>
      <c r="B746">
        <v>0</v>
      </c>
    </row>
    <row r="747" spans="1:2" x14ac:dyDescent="0.35">
      <c r="A747" t="s">
        <v>1163</v>
      </c>
      <c r="B747">
        <v>0</v>
      </c>
    </row>
    <row r="748" spans="1:2" x14ac:dyDescent="0.35">
      <c r="A748" t="s">
        <v>1164</v>
      </c>
      <c r="B748">
        <v>0</v>
      </c>
    </row>
    <row r="749" spans="1:2" x14ac:dyDescent="0.35">
      <c r="A749" t="s">
        <v>1165</v>
      </c>
      <c r="B749">
        <v>0</v>
      </c>
    </row>
    <row r="750" spans="1:2" x14ac:dyDescent="0.35">
      <c r="A750" t="s">
        <v>1166</v>
      </c>
    </row>
    <row r="751" spans="1:2" x14ac:dyDescent="0.35">
      <c r="A751" t="s">
        <v>1167</v>
      </c>
    </row>
    <row r="752" spans="1:2" x14ac:dyDescent="0.35">
      <c r="A752" t="s">
        <v>1168</v>
      </c>
      <c r="B752">
        <v>5000</v>
      </c>
    </row>
    <row r="753" spans="1:2" x14ac:dyDescent="0.35">
      <c r="A753" t="s">
        <v>1169</v>
      </c>
      <c r="B753">
        <v>5000</v>
      </c>
    </row>
    <row r="754" spans="1:2" x14ac:dyDescent="0.35">
      <c r="A754" t="s">
        <v>1170</v>
      </c>
      <c r="B754">
        <v>5000</v>
      </c>
    </row>
    <row r="755" spans="1:2" x14ac:dyDescent="0.35">
      <c r="A755" t="s">
        <v>1171</v>
      </c>
      <c r="B755">
        <v>0</v>
      </c>
    </row>
    <row r="756" spans="1:2" x14ac:dyDescent="0.35">
      <c r="A756" t="s">
        <v>1172</v>
      </c>
      <c r="B756">
        <v>0</v>
      </c>
    </row>
    <row r="757" spans="1:2" x14ac:dyDescent="0.35">
      <c r="A757" t="s">
        <v>1173</v>
      </c>
      <c r="B757">
        <v>0</v>
      </c>
    </row>
    <row r="758" spans="1:2" x14ac:dyDescent="0.35">
      <c r="A758" t="s">
        <v>1174</v>
      </c>
      <c r="B758">
        <v>0</v>
      </c>
    </row>
    <row r="759" spans="1:2" x14ac:dyDescent="0.35">
      <c r="A759" t="s">
        <v>1175</v>
      </c>
      <c r="B759">
        <v>0</v>
      </c>
    </row>
    <row r="760" spans="1:2" x14ac:dyDescent="0.35">
      <c r="A760" t="s">
        <v>1176</v>
      </c>
      <c r="B760">
        <v>0</v>
      </c>
    </row>
    <row r="761" spans="1:2" x14ac:dyDescent="0.35">
      <c r="A761" t="s">
        <v>1177</v>
      </c>
      <c r="B761">
        <v>0</v>
      </c>
    </row>
    <row r="762" spans="1:2" x14ac:dyDescent="0.35">
      <c r="A762" t="s">
        <v>1178</v>
      </c>
      <c r="B762">
        <v>0</v>
      </c>
    </row>
    <row r="763" spans="1:2" x14ac:dyDescent="0.35">
      <c r="A763" t="s">
        <v>1179</v>
      </c>
      <c r="B763">
        <v>0</v>
      </c>
    </row>
    <row r="764" spans="1:2" x14ac:dyDescent="0.35">
      <c r="A764" t="s">
        <v>1180</v>
      </c>
      <c r="B764">
        <v>1</v>
      </c>
    </row>
    <row r="765" spans="1:2" x14ac:dyDescent="0.35">
      <c r="A765" t="s">
        <v>1181</v>
      </c>
      <c r="B765">
        <v>1</v>
      </c>
    </row>
    <row r="766" spans="1:2" x14ac:dyDescent="0.35">
      <c r="A766" t="s">
        <v>1182</v>
      </c>
      <c r="B766">
        <v>1</v>
      </c>
    </row>
    <row r="767" spans="1:2" x14ac:dyDescent="0.35">
      <c r="A767" t="s">
        <v>1183</v>
      </c>
      <c r="B767">
        <v>1</v>
      </c>
    </row>
    <row r="768" spans="1:2" x14ac:dyDescent="0.35">
      <c r="A768" t="s">
        <v>1184</v>
      </c>
      <c r="B768">
        <v>1</v>
      </c>
    </row>
    <row r="769" spans="1:2" x14ac:dyDescent="0.35">
      <c r="A769" t="s">
        <v>1185</v>
      </c>
      <c r="B769">
        <v>1</v>
      </c>
    </row>
    <row r="770" spans="1:2" x14ac:dyDescent="0.35">
      <c r="A770" t="s">
        <v>1186</v>
      </c>
      <c r="B770">
        <v>1</v>
      </c>
    </row>
    <row r="771" spans="1:2" x14ac:dyDescent="0.35">
      <c r="A771" t="s">
        <v>1187</v>
      </c>
      <c r="B771">
        <v>1</v>
      </c>
    </row>
    <row r="772" spans="1:2" x14ac:dyDescent="0.35">
      <c r="A772" t="s">
        <v>1188</v>
      </c>
      <c r="B772">
        <v>1</v>
      </c>
    </row>
    <row r="773" spans="1:2" x14ac:dyDescent="0.35">
      <c r="A773" t="s">
        <v>1189</v>
      </c>
    </row>
    <row r="774" spans="1:2" x14ac:dyDescent="0.35">
      <c r="A774" t="s">
        <v>1997</v>
      </c>
      <c r="B774">
        <v>1</v>
      </c>
    </row>
    <row r="775" spans="1:2" x14ac:dyDescent="0.35">
      <c r="A775" t="s">
        <v>1998</v>
      </c>
      <c r="B775">
        <v>1</v>
      </c>
    </row>
    <row r="776" spans="1:2" x14ac:dyDescent="0.35">
      <c r="A776" t="s">
        <v>1999</v>
      </c>
      <c r="B776">
        <v>1</v>
      </c>
    </row>
    <row r="777" spans="1:2" x14ac:dyDescent="0.35">
      <c r="A777" t="s">
        <v>2000</v>
      </c>
      <c r="B777">
        <v>1</v>
      </c>
    </row>
    <row r="778" spans="1:2" x14ac:dyDescent="0.35">
      <c r="A778" t="s">
        <v>2001</v>
      </c>
      <c r="B778">
        <v>1</v>
      </c>
    </row>
    <row r="779" spans="1:2" x14ac:dyDescent="0.35">
      <c r="A779" t="s">
        <v>2002</v>
      </c>
      <c r="B779">
        <v>1</v>
      </c>
    </row>
    <row r="780" spans="1:2" x14ac:dyDescent="0.35">
      <c r="A780" t="s">
        <v>2003</v>
      </c>
      <c r="B780">
        <v>1</v>
      </c>
    </row>
    <row r="781" spans="1:2" x14ac:dyDescent="0.35">
      <c r="A781" t="s">
        <v>2004</v>
      </c>
      <c r="B781">
        <v>1</v>
      </c>
    </row>
    <row r="782" spans="1:2" x14ac:dyDescent="0.35">
      <c r="A782" t="s">
        <v>2005</v>
      </c>
      <c r="B782">
        <v>1</v>
      </c>
    </row>
    <row r="783" spans="1:2" x14ac:dyDescent="0.35">
      <c r="A783" t="s">
        <v>1190</v>
      </c>
      <c r="B783">
        <v>5000</v>
      </c>
    </row>
    <row r="784" spans="1:2" x14ac:dyDescent="0.35">
      <c r="A784" t="s">
        <v>1191</v>
      </c>
      <c r="B784">
        <v>5000</v>
      </c>
    </row>
    <row r="785" spans="1:2" x14ac:dyDescent="0.35">
      <c r="A785" t="s">
        <v>1192</v>
      </c>
      <c r="B785">
        <v>5000</v>
      </c>
    </row>
    <row r="786" spans="1:2" x14ac:dyDescent="0.35">
      <c r="A786" t="s">
        <v>1193</v>
      </c>
      <c r="B786">
        <v>0</v>
      </c>
    </row>
    <row r="787" spans="1:2" x14ac:dyDescent="0.35">
      <c r="A787" t="s">
        <v>1194</v>
      </c>
      <c r="B787">
        <v>0</v>
      </c>
    </row>
    <row r="788" spans="1:2" x14ac:dyDescent="0.35">
      <c r="A788" t="s">
        <v>1195</v>
      </c>
      <c r="B788">
        <v>0</v>
      </c>
    </row>
    <row r="789" spans="1:2" x14ac:dyDescent="0.35">
      <c r="A789" t="s">
        <v>1196</v>
      </c>
      <c r="B789">
        <v>0</v>
      </c>
    </row>
    <row r="790" spans="1:2" x14ac:dyDescent="0.35">
      <c r="A790" t="s">
        <v>1197</v>
      </c>
      <c r="B790">
        <v>0</v>
      </c>
    </row>
    <row r="791" spans="1:2" x14ac:dyDescent="0.35">
      <c r="A791" t="s">
        <v>1198</v>
      </c>
      <c r="B791">
        <v>0</v>
      </c>
    </row>
    <row r="792" spans="1:2" x14ac:dyDescent="0.35">
      <c r="A792" t="s">
        <v>1199</v>
      </c>
      <c r="B792">
        <v>0</v>
      </c>
    </row>
    <row r="793" spans="1:2" x14ac:dyDescent="0.35">
      <c r="A793" t="s">
        <v>1200</v>
      </c>
      <c r="B793">
        <v>0</v>
      </c>
    </row>
    <row r="794" spans="1:2" x14ac:dyDescent="0.35">
      <c r="A794" t="s">
        <v>1201</v>
      </c>
      <c r="B794">
        <v>0</v>
      </c>
    </row>
    <row r="795" spans="1:2" x14ac:dyDescent="0.35">
      <c r="A795" t="s">
        <v>1202</v>
      </c>
      <c r="B795">
        <v>0</v>
      </c>
    </row>
    <row r="796" spans="1:2" x14ac:dyDescent="0.35">
      <c r="A796" t="s">
        <v>1203</v>
      </c>
      <c r="B796">
        <v>0</v>
      </c>
    </row>
    <row r="797" spans="1:2" x14ac:dyDescent="0.35">
      <c r="A797" t="s">
        <v>1204</v>
      </c>
      <c r="B797">
        <v>0</v>
      </c>
    </row>
    <row r="798" spans="1:2" x14ac:dyDescent="0.35">
      <c r="A798" t="s">
        <v>1205</v>
      </c>
      <c r="B798">
        <v>0</v>
      </c>
    </row>
    <row r="799" spans="1:2" x14ac:dyDescent="0.35">
      <c r="A799" t="s">
        <v>1206</v>
      </c>
      <c r="B799">
        <v>0</v>
      </c>
    </row>
    <row r="800" spans="1:2" x14ac:dyDescent="0.35">
      <c r="A800" t="s">
        <v>1207</v>
      </c>
      <c r="B800">
        <v>0</v>
      </c>
    </row>
    <row r="801" spans="1:2" x14ac:dyDescent="0.35">
      <c r="A801" t="s">
        <v>1208</v>
      </c>
      <c r="B801">
        <v>0</v>
      </c>
    </row>
    <row r="802" spans="1:2" x14ac:dyDescent="0.35">
      <c r="A802" t="s">
        <v>1209</v>
      </c>
      <c r="B802">
        <v>0</v>
      </c>
    </row>
    <row r="803" spans="1:2" x14ac:dyDescent="0.35">
      <c r="A803" t="s">
        <v>1210</v>
      </c>
      <c r="B803">
        <v>0</v>
      </c>
    </row>
    <row r="804" spans="1:2" x14ac:dyDescent="0.35">
      <c r="A804" t="s">
        <v>1677</v>
      </c>
      <c r="B804">
        <v>2</v>
      </c>
    </row>
    <row r="805" spans="1:2" x14ac:dyDescent="0.35">
      <c r="A805" t="s">
        <v>1211</v>
      </c>
      <c r="B805">
        <v>1</v>
      </c>
    </row>
    <row r="806" spans="1:2" x14ac:dyDescent="0.35">
      <c r="A806" t="s">
        <v>1212</v>
      </c>
      <c r="B806">
        <v>1</v>
      </c>
    </row>
    <row r="807" spans="1:2" x14ac:dyDescent="0.35">
      <c r="A807" t="s">
        <v>1213</v>
      </c>
      <c r="B807">
        <v>1</v>
      </c>
    </row>
    <row r="808" spans="1:2" x14ac:dyDescent="0.35">
      <c r="A808" t="s">
        <v>1214</v>
      </c>
      <c r="B808">
        <v>1</v>
      </c>
    </row>
    <row r="809" spans="1:2" x14ac:dyDescent="0.35">
      <c r="A809" t="s">
        <v>1678</v>
      </c>
      <c r="B809">
        <v>1</v>
      </c>
    </row>
    <row r="810" spans="1:2" x14ac:dyDescent="0.35">
      <c r="A810" t="s">
        <v>1679</v>
      </c>
      <c r="B810">
        <v>1</v>
      </c>
    </row>
    <row r="811" spans="1:2" x14ac:dyDescent="0.35">
      <c r="A811" t="s">
        <v>1680</v>
      </c>
      <c r="B811">
        <v>1</v>
      </c>
    </row>
    <row r="812" spans="1:2" x14ac:dyDescent="0.35">
      <c r="A812" t="s">
        <v>1681</v>
      </c>
      <c r="B812">
        <v>1</v>
      </c>
    </row>
    <row r="813" spans="1:2" x14ac:dyDescent="0.35">
      <c r="A813" t="s">
        <v>1215</v>
      </c>
      <c r="B813">
        <v>1</v>
      </c>
    </row>
    <row r="814" spans="1:2" x14ac:dyDescent="0.35">
      <c r="A814" t="s">
        <v>1216</v>
      </c>
      <c r="B814" t="s">
        <v>2639</v>
      </c>
    </row>
    <row r="815" spans="1:2" x14ac:dyDescent="0.35">
      <c r="A815" t="s">
        <v>1217</v>
      </c>
      <c r="B815">
        <v>30</v>
      </c>
    </row>
    <row r="816" spans="1:2" x14ac:dyDescent="0.35">
      <c r="A816" t="s">
        <v>1219</v>
      </c>
      <c r="B816">
        <v>2</v>
      </c>
    </row>
    <row r="817" spans="1:2" x14ac:dyDescent="0.35">
      <c r="A817" t="s">
        <v>1220</v>
      </c>
      <c r="B817">
        <v>0</v>
      </c>
    </row>
    <row r="818" spans="1:2" x14ac:dyDescent="0.35">
      <c r="A818" t="s">
        <v>1221</v>
      </c>
      <c r="B818" t="b">
        <v>0</v>
      </c>
    </row>
    <row r="819" spans="1:2" x14ac:dyDescent="0.35">
      <c r="A819" t="s">
        <v>1222</v>
      </c>
      <c r="B819">
        <v>2</v>
      </c>
    </row>
    <row r="820" spans="1:2" x14ac:dyDescent="0.35">
      <c r="A820" t="s">
        <v>1223</v>
      </c>
      <c r="B820" t="b">
        <v>0</v>
      </c>
    </row>
    <row r="821" spans="1:2" x14ac:dyDescent="0.35">
      <c r="A821" t="s">
        <v>1224</v>
      </c>
      <c r="B821" t="b">
        <v>0</v>
      </c>
    </row>
    <row r="822" spans="1:2" x14ac:dyDescent="0.35">
      <c r="A822" t="s">
        <v>1225</v>
      </c>
      <c r="B822" t="b">
        <v>0</v>
      </c>
    </row>
    <row r="823" spans="1:2" x14ac:dyDescent="0.35">
      <c r="A823" t="s">
        <v>1226</v>
      </c>
      <c r="B823" t="b">
        <v>0</v>
      </c>
    </row>
    <row r="824" spans="1:2" x14ac:dyDescent="0.35">
      <c r="A824" t="s">
        <v>1227</v>
      </c>
      <c r="B824">
        <v>0</v>
      </c>
    </row>
    <row r="825" spans="1:2" x14ac:dyDescent="0.35">
      <c r="A825" t="s">
        <v>1228</v>
      </c>
      <c r="B825">
        <v>0</v>
      </c>
    </row>
    <row r="826" spans="1:2" x14ac:dyDescent="0.35">
      <c r="A826" t="s">
        <v>1229</v>
      </c>
      <c r="B826">
        <v>0</v>
      </c>
    </row>
    <row r="827" spans="1:2" x14ac:dyDescent="0.35">
      <c r="A827" t="s">
        <v>1230</v>
      </c>
      <c r="B827">
        <v>0</v>
      </c>
    </row>
    <row r="828" spans="1:2" x14ac:dyDescent="0.35">
      <c r="A828" t="s">
        <v>1231</v>
      </c>
      <c r="B828">
        <v>0</v>
      </c>
    </row>
    <row r="829" spans="1:2" x14ac:dyDescent="0.35">
      <c r="A829" t="s">
        <v>1232</v>
      </c>
      <c r="B829">
        <v>0</v>
      </c>
    </row>
    <row r="830" spans="1:2" x14ac:dyDescent="0.35">
      <c r="A830" t="s">
        <v>1454</v>
      </c>
      <c r="B830" t="s">
        <v>2643</v>
      </c>
    </row>
    <row r="831" spans="1:2" x14ac:dyDescent="0.35">
      <c r="A831" t="s">
        <v>1455</v>
      </c>
      <c r="B831" t="s">
        <v>2644</v>
      </c>
    </row>
    <row r="832" spans="1:2" x14ac:dyDescent="0.35">
      <c r="A832" t="s">
        <v>1456</v>
      </c>
      <c r="B832" t="s">
        <v>2427</v>
      </c>
    </row>
    <row r="833" spans="1:1" x14ac:dyDescent="0.35">
      <c r="A833" t="s">
        <v>1457</v>
      </c>
    </row>
    <row r="834" spans="1:1" x14ac:dyDescent="0.35">
      <c r="A834" t="s">
        <v>1458</v>
      </c>
    </row>
    <row r="835" spans="1:1" x14ac:dyDescent="0.35">
      <c r="A835" t="s">
        <v>1459</v>
      </c>
    </row>
    <row r="836" spans="1:1" x14ac:dyDescent="0.35">
      <c r="A836" t="s">
        <v>1460</v>
      </c>
    </row>
    <row r="837" spans="1:1" x14ac:dyDescent="0.35">
      <c r="A837" t="s">
        <v>1461</v>
      </c>
    </row>
    <row r="838" spans="1:1" x14ac:dyDescent="0.35">
      <c r="A838" t="s">
        <v>1462</v>
      </c>
    </row>
    <row r="839" spans="1:1" x14ac:dyDescent="0.35">
      <c r="A839" t="s">
        <v>1463</v>
      </c>
    </row>
    <row r="840" spans="1:1" x14ac:dyDescent="0.35">
      <c r="A840" t="s">
        <v>1464</v>
      </c>
    </row>
    <row r="841" spans="1:1" x14ac:dyDescent="0.35">
      <c r="A841" t="s">
        <v>1465</v>
      </c>
    </row>
    <row r="842" spans="1:1" x14ac:dyDescent="0.35">
      <c r="A842" t="s">
        <v>1466</v>
      </c>
    </row>
    <row r="843" spans="1:1" x14ac:dyDescent="0.35">
      <c r="A843" t="s">
        <v>1467</v>
      </c>
    </row>
    <row r="844" spans="1:1" x14ac:dyDescent="0.35">
      <c r="A844" t="s">
        <v>1468</v>
      </c>
    </row>
    <row r="845" spans="1:1" x14ac:dyDescent="0.35">
      <c r="A845" t="s">
        <v>1469</v>
      </c>
    </row>
    <row r="846" spans="1:1" x14ac:dyDescent="0.35">
      <c r="A846" t="s">
        <v>1470</v>
      </c>
    </row>
    <row r="847" spans="1:1" x14ac:dyDescent="0.35">
      <c r="A847" t="s">
        <v>1471</v>
      </c>
    </row>
    <row r="848" spans="1:1" x14ac:dyDescent="0.35">
      <c r="A848" t="s">
        <v>1472</v>
      </c>
    </row>
    <row r="849" spans="1:1" x14ac:dyDescent="0.35">
      <c r="A849" t="s">
        <v>1473</v>
      </c>
    </row>
    <row r="850" spans="1:1" x14ac:dyDescent="0.35">
      <c r="A850" t="s">
        <v>2516</v>
      </c>
    </row>
    <row r="851" spans="1:1" x14ac:dyDescent="0.35">
      <c r="A851" t="s">
        <v>2517</v>
      </c>
    </row>
    <row r="852" spans="1:1" x14ac:dyDescent="0.35">
      <c r="A852" t="s">
        <v>2518</v>
      </c>
    </row>
    <row r="853" spans="1:1" x14ac:dyDescent="0.35">
      <c r="A853" t="s">
        <v>2519</v>
      </c>
    </row>
    <row r="854" spans="1:1" x14ac:dyDescent="0.35">
      <c r="A854" t="s">
        <v>2520</v>
      </c>
    </row>
    <row r="855" spans="1:1" x14ac:dyDescent="0.35">
      <c r="A855" t="s">
        <v>2521</v>
      </c>
    </row>
    <row r="856" spans="1:1" x14ac:dyDescent="0.35">
      <c r="A856" t="s">
        <v>2522</v>
      </c>
    </row>
    <row r="857" spans="1:1" x14ac:dyDescent="0.35">
      <c r="A857" t="s">
        <v>2523</v>
      </c>
    </row>
    <row r="858" spans="1:1" x14ac:dyDescent="0.35">
      <c r="A858" t="s">
        <v>2524</v>
      </c>
    </row>
    <row r="859" spans="1:1" x14ac:dyDescent="0.35">
      <c r="A859" t="s">
        <v>2525</v>
      </c>
    </row>
    <row r="860" spans="1:1" x14ac:dyDescent="0.35">
      <c r="A860" t="s">
        <v>1778</v>
      </c>
    </row>
    <row r="861" spans="1:1" x14ac:dyDescent="0.35">
      <c r="A861" t="s">
        <v>1779</v>
      </c>
    </row>
    <row r="862" spans="1:1" x14ac:dyDescent="0.35">
      <c r="A862" t="s">
        <v>1780</v>
      </c>
    </row>
    <row r="863" spans="1:1" x14ac:dyDescent="0.35">
      <c r="A863" t="s">
        <v>1781</v>
      </c>
    </row>
    <row r="864" spans="1:1" x14ac:dyDescent="0.35">
      <c r="A864" t="s">
        <v>1782</v>
      </c>
    </row>
    <row r="865" spans="1:1" x14ac:dyDescent="0.35">
      <c r="A865" t="s">
        <v>1783</v>
      </c>
    </row>
    <row r="866" spans="1:1" x14ac:dyDescent="0.35">
      <c r="A866" t="s">
        <v>1784</v>
      </c>
    </row>
    <row r="867" spans="1:1" x14ac:dyDescent="0.35">
      <c r="A867" t="s">
        <v>1785</v>
      </c>
    </row>
    <row r="868" spans="1:1" x14ac:dyDescent="0.35">
      <c r="A868" t="s">
        <v>1786</v>
      </c>
    </row>
    <row r="869" spans="1:1" x14ac:dyDescent="0.35">
      <c r="A869" t="s">
        <v>1787</v>
      </c>
    </row>
    <row r="870" spans="1:1" x14ac:dyDescent="0.35">
      <c r="A870" t="s">
        <v>1788</v>
      </c>
    </row>
    <row r="871" spans="1:1" x14ac:dyDescent="0.35">
      <c r="A871" t="s">
        <v>1789</v>
      </c>
    </row>
    <row r="872" spans="1:1" x14ac:dyDescent="0.35">
      <c r="A872" t="s">
        <v>1790</v>
      </c>
    </row>
    <row r="873" spans="1:1" x14ac:dyDescent="0.35">
      <c r="A873" t="s">
        <v>1791</v>
      </c>
    </row>
    <row r="874" spans="1:1" x14ac:dyDescent="0.35">
      <c r="A874" t="s">
        <v>1792</v>
      </c>
    </row>
    <row r="875" spans="1:1" x14ac:dyDescent="0.35">
      <c r="A875" t="s">
        <v>1793</v>
      </c>
    </row>
    <row r="876" spans="1:1" x14ac:dyDescent="0.35">
      <c r="A876" t="s">
        <v>1794</v>
      </c>
    </row>
    <row r="877" spans="1:1" x14ac:dyDescent="0.35">
      <c r="A877" t="s">
        <v>1795</v>
      </c>
    </row>
    <row r="878" spans="1:1" x14ac:dyDescent="0.35">
      <c r="A878" t="s">
        <v>1796</v>
      </c>
    </row>
    <row r="879" spans="1:1" x14ac:dyDescent="0.35">
      <c r="A879" t="s">
        <v>1797</v>
      </c>
    </row>
    <row r="880" spans="1:1" x14ac:dyDescent="0.35">
      <c r="A880" t="s">
        <v>1798</v>
      </c>
    </row>
    <row r="881" spans="1:1" x14ac:dyDescent="0.35">
      <c r="A881" t="s">
        <v>1799</v>
      </c>
    </row>
    <row r="882" spans="1:1" x14ac:dyDescent="0.35">
      <c r="A882" t="s">
        <v>1800</v>
      </c>
    </row>
    <row r="883" spans="1:1" x14ac:dyDescent="0.35">
      <c r="A883" t="s">
        <v>1801</v>
      </c>
    </row>
    <row r="884" spans="1:1" x14ac:dyDescent="0.35">
      <c r="A884" t="s">
        <v>1802</v>
      </c>
    </row>
    <row r="885" spans="1:1" x14ac:dyDescent="0.35">
      <c r="A885" t="s">
        <v>1803</v>
      </c>
    </row>
    <row r="886" spans="1:1" x14ac:dyDescent="0.35">
      <c r="A886" t="s">
        <v>1804</v>
      </c>
    </row>
    <row r="887" spans="1:1" x14ac:dyDescent="0.35">
      <c r="A887" t="s">
        <v>1805</v>
      </c>
    </row>
    <row r="888" spans="1:1" x14ac:dyDescent="0.35">
      <c r="A888" t="s">
        <v>1806</v>
      </c>
    </row>
    <row r="889" spans="1:1" x14ac:dyDescent="0.35">
      <c r="A889" t="s">
        <v>1807</v>
      </c>
    </row>
    <row r="890" spans="1:1" x14ac:dyDescent="0.35">
      <c r="A890" t="s">
        <v>1808</v>
      </c>
    </row>
    <row r="891" spans="1:1" x14ac:dyDescent="0.35">
      <c r="A891" t="s">
        <v>1809</v>
      </c>
    </row>
    <row r="892" spans="1:1" x14ac:dyDescent="0.35">
      <c r="A892" t="s">
        <v>1810</v>
      </c>
    </row>
    <row r="893" spans="1:1" x14ac:dyDescent="0.35">
      <c r="A893" t="s">
        <v>1811</v>
      </c>
    </row>
    <row r="894" spans="1:1" x14ac:dyDescent="0.35">
      <c r="A894" t="s">
        <v>1812</v>
      </c>
    </row>
    <row r="895" spans="1:1" x14ac:dyDescent="0.35">
      <c r="A895" t="s">
        <v>1813</v>
      </c>
    </row>
    <row r="896" spans="1:1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1" x14ac:dyDescent="0.35">
      <c r="A929" t="s">
        <v>1847</v>
      </c>
    </row>
    <row r="930" spans="1:1" x14ac:dyDescent="0.35">
      <c r="A930" t="s">
        <v>1848</v>
      </c>
    </row>
    <row r="931" spans="1:1" x14ac:dyDescent="0.35">
      <c r="A931" t="s">
        <v>1849</v>
      </c>
    </row>
    <row r="932" spans="1:1" x14ac:dyDescent="0.35">
      <c r="A932" t="s">
        <v>1850</v>
      </c>
    </row>
    <row r="933" spans="1:1" x14ac:dyDescent="0.35">
      <c r="A933" t="s">
        <v>1851</v>
      </c>
    </row>
    <row r="934" spans="1:1" x14ac:dyDescent="0.35">
      <c r="A934" t="s">
        <v>1852</v>
      </c>
    </row>
    <row r="935" spans="1:1" x14ac:dyDescent="0.35">
      <c r="A935" t="s">
        <v>1853</v>
      </c>
    </row>
    <row r="936" spans="1:1" x14ac:dyDescent="0.35">
      <c r="A936" t="s">
        <v>1854</v>
      </c>
    </row>
    <row r="937" spans="1:1" x14ac:dyDescent="0.35">
      <c r="A937" t="s">
        <v>1855</v>
      </c>
    </row>
    <row r="938" spans="1:1" x14ac:dyDescent="0.35">
      <c r="A938" t="s">
        <v>1856</v>
      </c>
    </row>
    <row r="939" spans="1:1" x14ac:dyDescent="0.35">
      <c r="A939" t="s">
        <v>1857</v>
      </c>
    </row>
    <row r="940" spans="1:1" x14ac:dyDescent="0.35">
      <c r="A940" t="s">
        <v>1858</v>
      </c>
    </row>
    <row r="941" spans="1:1" x14ac:dyDescent="0.35">
      <c r="A941" t="s">
        <v>1859</v>
      </c>
    </row>
    <row r="942" spans="1:1" x14ac:dyDescent="0.35">
      <c r="A942" t="s">
        <v>1860</v>
      </c>
    </row>
    <row r="943" spans="1:1" x14ac:dyDescent="0.35">
      <c r="A943" t="s">
        <v>2413</v>
      </c>
    </row>
    <row r="944" spans="1:1" x14ac:dyDescent="0.35">
      <c r="A944" t="s">
        <v>1861</v>
      </c>
    </row>
    <row r="945" spans="1:1" x14ac:dyDescent="0.35">
      <c r="A945" t="s">
        <v>1862</v>
      </c>
    </row>
    <row r="946" spans="1:1" x14ac:dyDescent="0.35">
      <c r="A946" t="s">
        <v>2265</v>
      </c>
    </row>
    <row r="947" spans="1:1" x14ac:dyDescent="0.35">
      <c r="A947" t="s">
        <v>2266</v>
      </c>
    </row>
    <row r="948" spans="1:1" x14ac:dyDescent="0.35">
      <c r="A948" t="s">
        <v>1863</v>
      </c>
    </row>
    <row r="949" spans="1:1" x14ac:dyDescent="0.35">
      <c r="A949" t="s">
        <v>1864</v>
      </c>
    </row>
    <row r="950" spans="1:1" x14ac:dyDescent="0.35">
      <c r="A950" t="s">
        <v>1865</v>
      </c>
    </row>
    <row r="951" spans="1:1" x14ac:dyDescent="0.35">
      <c r="A951" t="s">
        <v>1866</v>
      </c>
    </row>
    <row r="952" spans="1:1" x14ac:dyDescent="0.35">
      <c r="A952" t="s">
        <v>2267</v>
      </c>
    </row>
    <row r="953" spans="1:1" x14ac:dyDescent="0.35">
      <c r="A953" t="s">
        <v>2268</v>
      </c>
    </row>
    <row r="954" spans="1:1" x14ac:dyDescent="0.35">
      <c r="A954" t="s">
        <v>1867</v>
      </c>
    </row>
    <row r="955" spans="1:1" x14ac:dyDescent="0.35">
      <c r="A955" t="s">
        <v>1868</v>
      </c>
    </row>
    <row r="956" spans="1:1" x14ac:dyDescent="0.35">
      <c r="A956" t="s">
        <v>1869</v>
      </c>
    </row>
    <row r="957" spans="1:1" x14ac:dyDescent="0.35">
      <c r="A957" t="s">
        <v>1870</v>
      </c>
    </row>
    <row r="958" spans="1:1" x14ac:dyDescent="0.35">
      <c r="A958" t="s">
        <v>1871</v>
      </c>
    </row>
    <row r="959" spans="1:1" x14ac:dyDescent="0.35">
      <c r="A959" t="s">
        <v>1872</v>
      </c>
    </row>
    <row r="960" spans="1:1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1" x14ac:dyDescent="0.35">
      <c r="A993" t="s">
        <v>1906</v>
      </c>
    </row>
    <row r="994" spans="1:1" x14ac:dyDescent="0.35">
      <c r="A994" t="s">
        <v>1907</v>
      </c>
    </row>
    <row r="995" spans="1:1" x14ac:dyDescent="0.35">
      <c r="A995" t="s">
        <v>1908</v>
      </c>
    </row>
    <row r="996" spans="1:1" x14ac:dyDescent="0.35">
      <c r="A996" t="s">
        <v>1909</v>
      </c>
    </row>
    <row r="997" spans="1:1" x14ac:dyDescent="0.35">
      <c r="A997" t="s">
        <v>1910</v>
      </c>
    </row>
    <row r="998" spans="1:1" x14ac:dyDescent="0.35">
      <c r="A998" t="s">
        <v>1911</v>
      </c>
    </row>
    <row r="999" spans="1:1" x14ac:dyDescent="0.35">
      <c r="A999" t="s">
        <v>1912</v>
      </c>
    </row>
    <row r="1000" spans="1:1" x14ac:dyDescent="0.35">
      <c r="A1000" t="s">
        <v>1913</v>
      </c>
    </row>
    <row r="1001" spans="1:1" x14ac:dyDescent="0.35">
      <c r="A1001" t="s">
        <v>1914</v>
      </c>
    </row>
    <row r="1002" spans="1:1" x14ac:dyDescent="0.35">
      <c r="A1002" t="s">
        <v>1915</v>
      </c>
    </row>
    <row r="1003" spans="1:1" x14ac:dyDescent="0.35">
      <c r="A1003" t="s">
        <v>1916</v>
      </c>
    </row>
    <row r="1004" spans="1:1" x14ac:dyDescent="0.35">
      <c r="A1004" t="s">
        <v>1917</v>
      </c>
    </row>
    <row r="1005" spans="1:1" x14ac:dyDescent="0.35">
      <c r="A1005" t="s">
        <v>1918</v>
      </c>
    </row>
    <row r="1006" spans="1:1" x14ac:dyDescent="0.35">
      <c r="A1006" t="s">
        <v>2269</v>
      </c>
    </row>
    <row r="1007" spans="1:1" x14ac:dyDescent="0.35">
      <c r="A1007" t="s">
        <v>1919</v>
      </c>
    </row>
    <row r="1008" spans="1:1" x14ac:dyDescent="0.35">
      <c r="A1008" t="s">
        <v>1920</v>
      </c>
    </row>
    <row r="1009" spans="1:1" x14ac:dyDescent="0.35">
      <c r="A1009" t="s">
        <v>1921</v>
      </c>
    </row>
    <row r="1010" spans="1:1" x14ac:dyDescent="0.35">
      <c r="A1010" t="s">
        <v>1922</v>
      </c>
    </row>
    <row r="1011" spans="1:1" x14ac:dyDescent="0.35">
      <c r="A1011" t="s">
        <v>1923</v>
      </c>
    </row>
    <row r="1012" spans="1:1" x14ac:dyDescent="0.35">
      <c r="A1012" t="s">
        <v>1924</v>
      </c>
    </row>
    <row r="1013" spans="1:1" x14ac:dyDescent="0.35">
      <c r="A1013" t="s">
        <v>1925</v>
      </c>
    </row>
    <row r="1014" spans="1:1" x14ac:dyDescent="0.35">
      <c r="A1014" t="s">
        <v>1926</v>
      </c>
    </row>
    <row r="1015" spans="1:1" x14ac:dyDescent="0.35">
      <c r="A1015" t="s">
        <v>1927</v>
      </c>
    </row>
    <row r="1016" spans="1:1" x14ac:dyDescent="0.35">
      <c r="A1016" t="s">
        <v>1928</v>
      </c>
    </row>
    <row r="1017" spans="1:1" x14ac:dyDescent="0.35">
      <c r="A1017" t="s">
        <v>1929</v>
      </c>
    </row>
    <row r="1018" spans="1:1" x14ac:dyDescent="0.35">
      <c r="A1018" t="s">
        <v>2414</v>
      </c>
    </row>
    <row r="1019" spans="1:1" x14ac:dyDescent="0.35">
      <c r="A1019" t="s">
        <v>1930</v>
      </c>
    </row>
    <row r="1020" spans="1:1" x14ac:dyDescent="0.35">
      <c r="A1020" t="s">
        <v>1931</v>
      </c>
    </row>
    <row r="1021" spans="1:1" x14ac:dyDescent="0.35">
      <c r="A1021" t="s">
        <v>1932</v>
      </c>
    </row>
    <row r="1022" spans="1:1" x14ac:dyDescent="0.35">
      <c r="A1022" t="s">
        <v>1933</v>
      </c>
    </row>
    <row r="1023" spans="1:1" x14ac:dyDescent="0.35">
      <c r="A1023" t="s">
        <v>1934</v>
      </c>
    </row>
    <row r="1024" spans="1:1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t="s">
        <v>2026</v>
      </c>
    </row>
    <row r="1037" spans="1:2" x14ac:dyDescent="0.35">
      <c r="A1037" t="s">
        <v>2027</v>
      </c>
    </row>
    <row r="1038" spans="1:2" x14ac:dyDescent="0.35">
      <c r="A1038" t="s">
        <v>2028</v>
      </c>
    </row>
    <row r="1039" spans="1:2" x14ac:dyDescent="0.35">
      <c r="A1039" t="s">
        <v>2029</v>
      </c>
    </row>
    <row r="1040" spans="1:2" x14ac:dyDescent="0.35">
      <c r="A1040" t="s">
        <v>2030</v>
      </c>
    </row>
    <row r="1041" spans="1:1" x14ac:dyDescent="0.35">
      <c r="A1041" t="s">
        <v>2031</v>
      </c>
    </row>
    <row r="1042" spans="1:1" x14ac:dyDescent="0.35">
      <c r="A1042" t="s">
        <v>2032</v>
      </c>
    </row>
    <row r="1043" spans="1:1" x14ac:dyDescent="0.35">
      <c r="A1043" t="s">
        <v>2033</v>
      </c>
    </row>
    <row r="1044" spans="1:1" x14ac:dyDescent="0.35">
      <c r="A1044" t="s">
        <v>2034</v>
      </c>
    </row>
    <row r="1045" spans="1:1" x14ac:dyDescent="0.35">
      <c r="A1045" t="s">
        <v>2035</v>
      </c>
    </row>
    <row r="1046" spans="1:1" x14ac:dyDescent="0.35">
      <c r="A1046" t="s">
        <v>2036</v>
      </c>
    </row>
    <row r="1047" spans="1:1" x14ac:dyDescent="0.35">
      <c r="A1047" t="s">
        <v>2037</v>
      </c>
    </row>
    <row r="1048" spans="1:1" x14ac:dyDescent="0.35">
      <c r="A1048" t="s">
        <v>2038</v>
      </c>
    </row>
    <row r="1049" spans="1:1" x14ac:dyDescent="0.35">
      <c r="A1049" t="s">
        <v>2039</v>
      </c>
    </row>
    <row r="1050" spans="1:1" x14ac:dyDescent="0.35">
      <c r="A1050" t="s">
        <v>2040</v>
      </c>
    </row>
    <row r="1051" spans="1:1" x14ac:dyDescent="0.35">
      <c r="A1051" t="s">
        <v>2041</v>
      </c>
    </row>
    <row r="1052" spans="1:1" x14ac:dyDescent="0.35">
      <c r="A1052" t="s">
        <v>2042</v>
      </c>
    </row>
    <row r="1053" spans="1:1" x14ac:dyDescent="0.35">
      <c r="A1053" t="s">
        <v>2043</v>
      </c>
    </row>
    <row r="1054" spans="1:1" x14ac:dyDescent="0.35">
      <c r="A1054" t="s">
        <v>2044</v>
      </c>
    </row>
    <row r="1055" spans="1:1" x14ac:dyDescent="0.35">
      <c r="A1055" t="s">
        <v>2045</v>
      </c>
    </row>
    <row r="1056" spans="1:1" x14ac:dyDescent="0.35">
      <c r="A1056" t="s">
        <v>2046</v>
      </c>
    </row>
    <row r="1057" spans="1:1" x14ac:dyDescent="0.35">
      <c r="A1057" t="s">
        <v>2047</v>
      </c>
    </row>
    <row r="1058" spans="1:1" x14ac:dyDescent="0.35">
      <c r="A1058" t="s">
        <v>2048</v>
      </c>
    </row>
    <row r="1059" spans="1:1" x14ac:dyDescent="0.35">
      <c r="A1059" t="s">
        <v>2049</v>
      </c>
    </row>
    <row r="1060" spans="1:1" x14ac:dyDescent="0.35">
      <c r="A1060" t="s">
        <v>2050</v>
      </c>
    </row>
    <row r="1061" spans="1:1" x14ac:dyDescent="0.35">
      <c r="A1061" t="s">
        <v>2051</v>
      </c>
    </row>
    <row r="1062" spans="1:1" x14ac:dyDescent="0.35">
      <c r="A1062" t="s">
        <v>2052</v>
      </c>
    </row>
    <row r="1063" spans="1:1" x14ac:dyDescent="0.35">
      <c r="A1063" t="s">
        <v>2053</v>
      </c>
    </row>
    <row r="1064" spans="1:1" x14ac:dyDescent="0.35">
      <c r="A1064" t="s">
        <v>2054</v>
      </c>
    </row>
    <row r="1065" spans="1:1" x14ac:dyDescent="0.35">
      <c r="A1065" t="s">
        <v>2055</v>
      </c>
    </row>
    <row r="1066" spans="1:1" x14ac:dyDescent="0.35">
      <c r="A1066" t="s">
        <v>2056</v>
      </c>
    </row>
    <row r="1067" spans="1:1" x14ac:dyDescent="0.35">
      <c r="A1067" t="s">
        <v>2181</v>
      </c>
    </row>
    <row r="1068" spans="1:1" x14ac:dyDescent="0.35">
      <c r="A1068" t="s">
        <v>2057</v>
      </c>
    </row>
    <row r="1069" spans="1:1" x14ac:dyDescent="0.35">
      <c r="A1069" t="s">
        <v>2058</v>
      </c>
    </row>
    <row r="1070" spans="1:1" x14ac:dyDescent="0.35">
      <c r="A1070" t="s">
        <v>2059</v>
      </c>
    </row>
    <row r="1071" spans="1:1" x14ac:dyDescent="0.35">
      <c r="A1071" t="s">
        <v>2060</v>
      </c>
    </row>
    <row r="1072" spans="1:1" x14ac:dyDescent="0.35">
      <c r="A1072" t="s">
        <v>2061</v>
      </c>
    </row>
    <row r="1073" spans="1:1" x14ac:dyDescent="0.35">
      <c r="A1073" t="s">
        <v>2062</v>
      </c>
    </row>
    <row r="1074" spans="1:1" x14ac:dyDescent="0.35">
      <c r="A1074" t="s">
        <v>2063</v>
      </c>
    </row>
    <row r="1075" spans="1:1" x14ac:dyDescent="0.35">
      <c r="A1075" t="s">
        <v>2064</v>
      </c>
    </row>
    <row r="1076" spans="1:1" x14ac:dyDescent="0.35">
      <c r="A1076" t="s">
        <v>2065</v>
      </c>
    </row>
    <row r="1077" spans="1:1" x14ac:dyDescent="0.35">
      <c r="A1077" t="s">
        <v>2066</v>
      </c>
    </row>
    <row r="1078" spans="1:1" x14ac:dyDescent="0.35">
      <c r="A1078" t="s">
        <v>2067</v>
      </c>
    </row>
    <row r="1079" spans="1:1" x14ac:dyDescent="0.35">
      <c r="A1079" t="s">
        <v>2068</v>
      </c>
    </row>
    <row r="1080" spans="1:1" x14ac:dyDescent="0.35">
      <c r="A1080" t="s">
        <v>2069</v>
      </c>
    </row>
    <row r="1081" spans="1:1" x14ac:dyDescent="0.35">
      <c r="A1081" t="s">
        <v>2070</v>
      </c>
    </row>
    <row r="1082" spans="1:1" x14ac:dyDescent="0.35">
      <c r="A1082" t="s">
        <v>2071</v>
      </c>
    </row>
    <row r="1083" spans="1:1" x14ac:dyDescent="0.35">
      <c r="A1083" t="s">
        <v>2072</v>
      </c>
    </row>
    <row r="1084" spans="1:1" x14ac:dyDescent="0.35">
      <c r="A1084" t="s">
        <v>2073</v>
      </c>
    </row>
    <row r="1085" spans="1:1" x14ac:dyDescent="0.35">
      <c r="A1085" t="s">
        <v>2074</v>
      </c>
    </row>
    <row r="1086" spans="1:1" x14ac:dyDescent="0.35">
      <c r="A1086" t="s">
        <v>2075</v>
      </c>
    </row>
    <row r="1087" spans="1:1" x14ac:dyDescent="0.35">
      <c r="A1087" t="s">
        <v>2076</v>
      </c>
    </row>
    <row r="1088" spans="1:1" x14ac:dyDescent="0.35">
      <c r="A1088" t="s">
        <v>2077</v>
      </c>
    </row>
    <row r="1089" spans="1:1" x14ac:dyDescent="0.35">
      <c r="A1089" t="s">
        <v>2078</v>
      </c>
    </row>
    <row r="1090" spans="1:1" x14ac:dyDescent="0.35">
      <c r="A1090" t="s">
        <v>2079</v>
      </c>
    </row>
    <row r="1091" spans="1:1" x14ac:dyDescent="0.35">
      <c r="A1091" t="s">
        <v>2080</v>
      </c>
    </row>
    <row r="1092" spans="1:1" x14ac:dyDescent="0.35">
      <c r="A1092" t="s">
        <v>2081</v>
      </c>
    </row>
    <row r="1093" spans="1:1" x14ac:dyDescent="0.35">
      <c r="A1093" t="s">
        <v>2082</v>
      </c>
    </row>
    <row r="1094" spans="1:1" x14ac:dyDescent="0.35">
      <c r="A1094" t="s">
        <v>2083</v>
      </c>
    </row>
    <row r="1095" spans="1:1" x14ac:dyDescent="0.35">
      <c r="A1095" t="s">
        <v>2084</v>
      </c>
    </row>
    <row r="1096" spans="1:1" x14ac:dyDescent="0.35">
      <c r="A1096" t="s">
        <v>2085</v>
      </c>
    </row>
    <row r="1097" spans="1:1" x14ac:dyDescent="0.35">
      <c r="A1097" t="s">
        <v>2086</v>
      </c>
    </row>
    <row r="1098" spans="1:1" x14ac:dyDescent="0.35">
      <c r="A1098" t="s">
        <v>2087</v>
      </c>
    </row>
    <row r="1099" spans="1:1" x14ac:dyDescent="0.35">
      <c r="A1099" t="s">
        <v>2088</v>
      </c>
    </row>
    <row r="1100" spans="1:1" x14ac:dyDescent="0.35">
      <c r="A1100" t="s">
        <v>2089</v>
      </c>
    </row>
    <row r="1101" spans="1:1" x14ac:dyDescent="0.35">
      <c r="A1101" t="s">
        <v>2090</v>
      </c>
    </row>
    <row r="1102" spans="1:1" x14ac:dyDescent="0.35">
      <c r="A1102" t="s">
        <v>2091</v>
      </c>
    </row>
    <row r="1103" spans="1:1" x14ac:dyDescent="0.35">
      <c r="A1103" t="s">
        <v>2092</v>
      </c>
    </row>
    <row r="1104" spans="1:1" x14ac:dyDescent="0.35">
      <c r="A1104" t="s">
        <v>2093</v>
      </c>
    </row>
    <row r="1105" spans="1:1" x14ac:dyDescent="0.35">
      <c r="A1105" t="s">
        <v>2094</v>
      </c>
    </row>
    <row r="1106" spans="1:1" x14ac:dyDescent="0.35">
      <c r="A1106" t="s">
        <v>2095</v>
      </c>
    </row>
    <row r="1107" spans="1:1" x14ac:dyDescent="0.35">
      <c r="A1107" t="s">
        <v>2096</v>
      </c>
    </row>
    <row r="1108" spans="1:1" x14ac:dyDescent="0.35">
      <c r="A1108" t="s">
        <v>2097</v>
      </c>
    </row>
    <row r="1109" spans="1:1" x14ac:dyDescent="0.35">
      <c r="A1109" t="s">
        <v>2098</v>
      </c>
    </row>
    <row r="1110" spans="1:1" x14ac:dyDescent="0.35">
      <c r="A1110" t="s">
        <v>2099</v>
      </c>
    </row>
    <row r="1111" spans="1:1" x14ac:dyDescent="0.35">
      <c r="A1111" t="s">
        <v>2100</v>
      </c>
    </row>
    <row r="1112" spans="1:1" x14ac:dyDescent="0.35">
      <c r="A1112" t="s">
        <v>2101</v>
      </c>
    </row>
    <row r="1113" spans="1:1" x14ac:dyDescent="0.35">
      <c r="A1113" t="s">
        <v>2102</v>
      </c>
    </row>
    <row r="1114" spans="1:1" x14ac:dyDescent="0.35">
      <c r="A1114" t="s">
        <v>2103</v>
      </c>
    </row>
    <row r="1115" spans="1:1" x14ac:dyDescent="0.35">
      <c r="A1115" t="s">
        <v>2104</v>
      </c>
    </row>
    <row r="1116" spans="1:1" x14ac:dyDescent="0.35">
      <c r="A1116" t="s">
        <v>2105</v>
      </c>
    </row>
    <row r="1117" spans="1:1" x14ac:dyDescent="0.35">
      <c r="A1117" t="s">
        <v>2106</v>
      </c>
    </row>
    <row r="1118" spans="1:1" x14ac:dyDescent="0.35">
      <c r="A1118" t="s">
        <v>2107</v>
      </c>
    </row>
    <row r="1119" spans="1:1" x14ac:dyDescent="0.35">
      <c r="A1119" t="s">
        <v>2108</v>
      </c>
    </row>
    <row r="1120" spans="1:1" x14ac:dyDescent="0.35">
      <c r="A1120" t="s">
        <v>2109</v>
      </c>
    </row>
    <row r="1121" spans="1:1" x14ac:dyDescent="0.35">
      <c r="A1121" t="s">
        <v>2110</v>
      </c>
    </row>
    <row r="1122" spans="1:1" x14ac:dyDescent="0.35">
      <c r="A1122" t="s">
        <v>2111</v>
      </c>
    </row>
    <row r="1123" spans="1:1" x14ac:dyDescent="0.35">
      <c r="A1123" t="s">
        <v>2112</v>
      </c>
    </row>
    <row r="1124" spans="1:1" x14ac:dyDescent="0.35">
      <c r="A1124" t="s">
        <v>2113</v>
      </c>
    </row>
    <row r="1125" spans="1:1" x14ac:dyDescent="0.35">
      <c r="A1125" t="s">
        <v>2114</v>
      </c>
    </row>
    <row r="1126" spans="1:1" x14ac:dyDescent="0.35">
      <c r="A1126" t="s">
        <v>2115</v>
      </c>
    </row>
    <row r="1127" spans="1:1" x14ac:dyDescent="0.35">
      <c r="A1127" t="s">
        <v>2116</v>
      </c>
    </row>
    <row r="1128" spans="1:1" x14ac:dyDescent="0.35">
      <c r="A1128" t="s">
        <v>2117</v>
      </c>
    </row>
    <row r="1129" spans="1:1" x14ac:dyDescent="0.35">
      <c r="A1129" t="s">
        <v>2118</v>
      </c>
    </row>
    <row r="1130" spans="1:1" x14ac:dyDescent="0.35">
      <c r="A1130" t="s">
        <v>2119</v>
      </c>
    </row>
    <row r="1131" spans="1:1" x14ac:dyDescent="0.35">
      <c r="A1131" t="s">
        <v>2120</v>
      </c>
    </row>
    <row r="1132" spans="1:1" x14ac:dyDescent="0.35">
      <c r="A1132" t="s">
        <v>2121</v>
      </c>
    </row>
    <row r="1133" spans="1:1" x14ac:dyDescent="0.35">
      <c r="A1133" t="s">
        <v>2122</v>
      </c>
    </row>
    <row r="1134" spans="1:1" x14ac:dyDescent="0.35">
      <c r="A1134" t="s">
        <v>2123</v>
      </c>
    </row>
    <row r="1135" spans="1:1" x14ac:dyDescent="0.35">
      <c r="A1135" t="s">
        <v>2124</v>
      </c>
    </row>
    <row r="1136" spans="1:1" x14ac:dyDescent="0.35">
      <c r="A1136" t="s">
        <v>2125</v>
      </c>
    </row>
    <row r="1137" spans="1:1" x14ac:dyDescent="0.35">
      <c r="A1137" t="s">
        <v>2126</v>
      </c>
    </row>
    <row r="1138" spans="1:1" x14ac:dyDescent="0.35">
      <c r="A1138" t="s">
        <v>2127</v>
      </c>
    </row>
    <row r="1139" spans="1:1" x14ac:dyDescent="0.35">
      <c r="A1139" t="s">
        <v>2128</v>
      </c>
    </row>
    <row r="1140" spans="1:1" x14ac:dyDescent="0.35">
      <c r="A1140" t="s">
        <v>2129</v>
      </c>
    </row>
    <row r="1141" spans="1:1" x14ac:dyDescent="0.35">
      <c r="A1141" t="s">
        <v>2130</v>
      </c>
    </row>
    <row r="1142" spans="1:1" x14ac:dyDescent="0.35">
      <c r="A1142" t="s">
        <v>2131</v>
      </c>
    </row>
    <row r="1143" spans="1:1" x14ac:dyDescent="0.35">
      <c r="A1143" t="s">
        <v>2132</v>
      </c>
    </row>
    <row r="1144" spans="1:1" x14ac:dyDescent="0.35">
      <c r="A1144" t="s">
        <v>2133</v>
      </c>
    </row>
    <row r="1145" spans="1:1" x14ac:dyDescent="0.35">
      <c r="A1145" t="s">
        <v>2134</v>
      </c>
    </row>
    <row r="1146" spans="1:1" x14ac:dyDescent="0.35">
      <c r="A1146" t="s">
        <v>2135</v>
      </c>
    </row>
    <row r="1147" spans="1:1" x14ac:dyDescent="0.35">
      <c r="A1147" t="s">
        <v>2136</v>
      </c>
    </row>
    <row r="1148" spans="1:1" x14ac:dyDescent="0.35">
      <c r="A1148" t="s">
        <v>2137</v>
      </c>
    </row>
    <row r="1149" spans="1:1" x14ac:dyDescent="0.35">
      <c r="A1149" t="s">
        <v>2138</v>
      </c>
    </row>
    <row r="1150" spans="1:1" x14ac:dyDescent="0.35">
      <c r="A1150" t="s">
        <v>2139</v>
      </c>
    </row>
    <row r="1151" spans="1:1" x14ac:dyDescent="0.35">
      <c r="A1151" t="s">
        <v>2140</v>
      </c>
    </row>
    <row r="1152" spans="1:1" x14ac:dyDescent="0.35">
      <c r="A1152" t="s">
        <v>2141</v>
      </c>
    </row>
    <row r="1153" spans="1:1" x14ac:dyDescent="0.35">
      <c r="A1153" t="s">
        <v>2142</v>
      </c>
    </row>
    <row r="1154" spans="1:1" x14ac:dyDescent="0.35">
      <c r="A1154" t="s">
        <v>2143</v>
      </c>
    </row>
    <row r="1155" spans="1:1" x14ac:dyDescent="0.35">
      <c r="A1155" t="s">
        <v>2144</v>
      </c>
    </row>
    <row r="1156" spans="1:1" x14ac:dyDescent="0.35">
      <c r="A1156" t="s">
        <v>2145</v>
      </c>
    </row>
    <row r="1157" spans="1:1" x14ac:dyDescent="0.35">
      <c r="A1157" t="s">
        <v>2146</v>
      </c>
    </row>
    <row r="1158" spans="1:1" x14ac:dyDescent="0.35">
      <c r="A1158" t="s">
        <v>2147</v>
      </c>
    </row>
    <row r="1159" spans="1:1" x14ac:dyDescent="0.35">
      <c r="A1159" t="s">
        <v>2148</v>
      </c>
    </row>
    <row r="1160" spans="1:1" x14ac:dyDescent="0.35">
      <c r="A1160" t="s">
        <v>2149</v>
      </c>
    </row>
    <row r="1161" spans="1:1" x14ac:dyDescent="0.35">
      <c r="A1161" t="s">
        <v>2150</v>
      </c>
    </row>
    <row r="1162" spans="1:1" x14ac:dyDescent="0.35">
      <c r="A1162" t="s">
        <v>2151</v>
      </c>
    </row>
    <row r="1163" spans="1:1" x14ac:dyDescent="0.35">
      <c r="A1163" t="s">
        <v>2152</v>
      </c>
    </row>
    <row r="1164" spans="1:1" x14ac:dyDescent="0.35">
      <c r="A1164" t="s">
        <v>2153</v>
      </c>
    </row>
    <row r="1165" spans="1:1" x14ac:dyDescent="0.35">
      <c r="A1165" t="s">
        <v>2154</v>
      </c>
    </row>
    <row r="1166" spans="1:1" x14ac:dyDescent="0.35">
      <c r="A1166" t="s">
        <v>2155</v>
      </c>
    </row>
    <row r="1167" spans="1:1" x14ac:dyDescent="0.35">
      <c r="A1167" t="s">
        <v>2156</v>
      </c>
    </row>
    <row r="1168" spans="1:1" x14ac:dyDescent="0.35">
      <c r="A1168" t="s">
        <v>2157</v>
      </c>
    </row>
    <row r="1169" spans="1:1" x14ac:dyDescent="0.35">
      <c r="A1169" t="s">
        <v>2158</v>
      </c>
    </row>
    <row r="1170" spans="1:1" x14ac:dyDescent="0.35">
      <c r="A1170" t="s">
        <v>2159</v>
      </c>
    </row>
    <row r="1171" spans="1:1" x14ac:dyDescent="0.35">
      <c r="A1171" t="s">
        <v>2160</v>
      </c>
    </row>
    <row r="1172" spans="1:1" x14ac:dyDescent="0.35">
      <c r="A1172" t="s">
        <v>2161</v>
      </c>
    </row>
    <row r="1173" spans="1:1" x14ac:dyDescent="0.35">
      <c r="A1173" t="s">
        <v>2162</v>
      </c>
    </row>
    <row r="1174" spans="1:1" x14ac:dyDescent="0.35">
      <c r="A1174" t="s">
        <v>2163</v>
      </c>
    </row>
    <row r="1175" spans="1:1" x14ac:dyDescent="0.35">
      <c r="A1175" t="s">
        <v>2164</v>
      </c>
    </row>
    <row r="1176" spans="1:1" x14ac:dyDescent="0.35">
      <c r="A1176" t="s">
        <v>2165</v>
      </c>
    </row>
    <row r="1177" spans="1:1" x14ac:dyDescent="0.35">
      <c r="A1177" t="s">
        <v>2166</v>
      </c>
    </row>
    <row r="1178" spans="1:1" x14ac:dyDescent="0.35">
      <c r="A1178" t="s">
        <v>2167</v>
      </c>
    </row>
    <row r="1179" spans="1:1" x14ac:dyDescent="0.35">
      <c r="A1179" t="s">
        <v>2168</v>
      </c>
    </row>
    <row r="1180" spans="1:1" x14ac:dyDescent="0.35">
      <c r="A1180" t="s">
        <v>2169</v>
      </c>
    </row>
    <row r="1181" spans="1:1" x14ac:dyDescent="0.35">
      <c r="A1181" t="s">
        <v>2170</v>
      </c>
    </row>
    <row r="1182" spans="1:1" x14ac:dyDescent="0.35">
      <c r="A1182" t="s">
        <v>2171</v>
      </c>
    </row>
    <row r="1183" spans="1:1" x14ac:dyDescent="0.35">
      <c r="A1183" t="s">
        <v>2172</v>
      </c>
    </row>
    <row r="1184" spans="1:1" x14ac:dyDescent="0.35">
      <c r="A1184" t="s">
        <v>2173</v>
      </c>
    </row>
    <row r="1185" spans="1:1" x14ac:dyDescent="0.35">
      <c r="A1185" t="s">
        <v>2174</v>
      </c>
    </row>
    <row r="1186" spans="1:1" x14ac:dyDescent="0.35">
      <c r="A1186" t="s">
        <v>2175</v>
      </c>
    </row>
    <row r="1187" spans="1:1" x14ac:dyDescent="0.35">
      <c r="A1187" t="s">
        <v>2176</v>
      </c>
    </row>
    <row r="1188" spans="1:1" x14ac:dyDescent="0.35">
      <c r="A1188" t="s">
        <v>2177</v>
      </c>
    </row>
    <row r="1189" spans="1:1" x14ac:dyDescent="0.35">
      <c r="A1189" t="s">
        <v>2178</v>
      </c>
    </row>
    <row r="1190" spans="1:1" x14ac:dyDescent="0.35">
      <c r="A1190" t="s">
        <v>2179</v>
      </c>
    </row>
    <row r="1191" spans="1:1" x14ac:dyDescent="0.35">
      <c r="A1191" t="s">
        <v>2180</v>
      </c>
    </row>
    <row r="1192" spans="1:1" x14ac:dyDescent="0.35">
      <c r="A1192" t="s">
        <v>2182</v>
      </c>
    </row>
    <row r="1193" spans="1:1" x14ac:dyDescent="0.35">
      <c r="A1193" t="s">
        <v>2183</v>
      </c>
    </row>
    <row r="1194" spans="1:1" x14ac:dyDescent="0.35">
      <c r="A1194" t="s">
        <v>2184</v>
      </c>
    </row>
    <row r="1195" spans="1:1" x14ac:dyDescent="0.35">
      <c r="A1195" t="s">
        <v>2185</v>
      </c>
    </row>
    <row r="1196" spans="1:1" x14ac:dyDescent="0.35">
      <c r="A1196" t="s">
        <v>2186</v>
      </c>
    </row>
    <row r="1197" spans="1:1" x14ac:dyDescent="0.35">
      <c r="A1197" t="s">
        <v>2187</v>
      </c>
    </row>
    <row r="1198" spans="1:1" x14ac:dyDescent="0.35">
      <c r="A1198" t="s">
        <v>2188</v>
      </c>
    </row>
    <row r="1199" spans="1:1" x14ac:dyDescent="0.35">
      <c r="A1199" t="s">
        <v>2189</v>
      </c>
    </row>
    <row r="1200" spans="1:1" x14ac:dyDescent="0.35">
      <c r="A1200" t="s">
        <v>2190</v>
      </c>
    </row>
    <row r="1201" spans="1:1" x14ac:dyDescent="0.35">
      <c r="A1201" t="s">
        <v>2191</v>
      </c>
    </row>
    <row r="1202" spans="1:1" x14ac:dyDescent="0.35">
      <c r="A1202" t="s">
        <v>2192</v>
      </c>
    </row>
    <row r="1203" spans="1:1" x14ac:dyDescent="0.35">
      <c r="A1203" t="s">
        <v>2193</v>
      </c>
    </row>
    <row r="1204" spans="1:1" x14ac:dyDescent="0.35">
      <c r="A1204" t="s">
        <v>2194</v>
      </c>
    </row>
    <row r="1205" spans="1:1" x14ac:dyDescent="0.35">
      <c r="A1205" t="s">
        <v>2195</v>
      </c>
    </row>
    <row r="1206" spans="1:1" x14ac:dyDescent="0.35">
      <c r="A1206" t="s">
        <v>2196</v>
      </c>
    </row>
    <row r="1207" spans="1:1" x14ac:dyDescent="0.35">
      <c r="A1207" t="s">
        <v>2197</v>
      </c>
    </row>
    <row r="1208" spans="1:1" x14ac:dyDescent="0.35">
      <c r="A1208" t="s">
        <v>2198</v>
      </c>
    </row>
    <row r="1209" spans="1:1" x14ac:dyDescent="0.35">
      <c r="A1209" t="s">
        <v>2199</v>
      </c>
    </row>
    <row r="1210" spans="1:1" x14ac:dyDescent="0.35">
      <c r="A1210" t="s">
        <v>2200</v>
      </c>
    </row>
    <row r="1211" spans="1:1" x14ac:dyDescent="0.35">
      <c r="A1211" t="s">
        <v>2201</v>
      </c>
    </row>
    <row r="1212" spans="1:1" x14ac:dyDescent="0.35">
      <c r="A1212" t="s">
        <v>2202</v>
      </c>
    </row>
    <row r="1213" spans="1:1" x14ac:dyDescent="0.35">
      <c r="A1213" t="s">
        <v>2203</v>
      </c>
    </row>
    <row r="1214" spans="1:1" x14ac:dyDescent="0.35">
      <c r="A1214" t="s">
        <v>2204</v>
      </c>
    </row>
    <row r="1215" spans="1:1" x14ac:dyDescent="0.35">
      <c r="A1215" t="s">
        <v>2205</v>
      </c>
    </row>
    <row r="1216" spans="1:1" x14ac:dyDescent="0.35">
      <c r="A1216" t="s">
        <v>2206</v>
      </c>
    </row>
    <row r="1217" spans="1:1" x14ac:dyDescent="0.35">
      <c r="A1217" t="s">
        <v>2207</v>
      </c>
    </row>
    <row r="1218" spans="1:1" x14ac:dyDescent="0.35">
      <c r="A1218" t="s">
        <v>2208</v>
      </c>
    </row>
    <row r="1219" spans="1:1" x14ac:dyDescent="0.35">
      <c r="A1219" t="s">
        <v>2209</v>
      </c>
    </row>
    <row r="1220" spans="1:1" x14ac:dyDescent="0.35">
      <c r="A1220" t="s">
        <v>2210</v>
      </c>
    </row>
    <row r="1221" spans="1:1" x14ac:dyDescent="0.35">
      <c r="A1221" t="s">
        <v>2211</v>
      </c>
    </row>
    <row r="1222" spans="1:1" x14ac:dyDescent="0.35">
      <c r="A1222" t="s">
        <v>2212</v>
      </c>
    </row>
    <row r="1223" spans="1:1" x14ac:dyDescent="0.35">
      <c r="A1223" t="s">
        <v>2213</v>
      </c>
    </row>
    <row r="1224" spans="1:1" x14ac:dyDescent="0.35">
      <c r="A1224" t="s">
        <v>2214</v>
      </c>
    </row>
    <row r="1225" spans="1:1" x14ac:dyDescent="0.35">
      <c r="A1225" t="s">
        <v>2215</v>
      </c>
    </row>
    <row r="1226" spans="1:1" x14ac:dyDescent="0.35">
      <c r="A1226" t="s">
        <v>2216</v>
      </c>
    </row>
    <row r="1227" spans="1:1" x14ac:dyDescent="0.35">
      <c r="A1227" t="s">
        <v>2217</v>
      </c>
    </row>
    <row r="1228" spans="1:1" x14ac:dyDescent="0.35">
      <c r="A1228" t="s">
        <v>2218</v>
      </c>
    </row>
    <row r="1229" spans="1:1" x14ac:dyDescent="0.35">
      <c r="A1229" t="s">
        <v>2219</v>
      </c>
    </row>
    <row r="1230" spans="1:1" x14ac:dyDescent="0.35">
      <c r="A1230" t="s">
        <v>2220</v>
      </c>
    </row>
    <row r="1231" spans="1:1" x14ac:dyDescent="0.35">
      <c r="A1231" t="s">
        <v>2221</v>
      </c>
    </row>
    <row r="1232" spans="1:1" x14ac:dyDescent="0.35">
      <c r="A1232" t="s">
        <v>2222</v>
      </c>
    </row>
    <row r="1233" spans="1:1" x14ac:dyDescent="0.35">
      <c r="A1233" t="s">
        <v>2223</v>
      </c>
    </row>
    <row r="1234" spans="1:1" x14ac:dyDescent="0.35">
      <c r="A1234" t="s">
        <v>2224</v>
      </c>
    </row>
    <row r="1235" spans="1:1" x14ac:dyDescent="0.35">
      <c r="A1235" t="s">
        <v>2225</v>
      </c>
    </row>
    <row r="1236" spans="1:1" x14ac:dyDescent="0.35">
      <c r="A1236" t="s">
        <v>2226</v>
      </c>
    </row>
    <row r="1237" spans="1:1" x14ac:dyDescent="0.35">
      <c r="A1237" t="s">
        <v>2227</v>
      </c>
    </row>
    <row r="1238" spans="1:1" x14ac:dyDescent="0.35">
      <c r="A1238" t="s">
        <v>2228</v>
      </c>
    </row>
    <row r="1239" spans="1:1" x14ac:dyDescent="0.35">
      <c r="A1239" t="s">
        <v>2229</v>
      </c>
    </row>
    <row r="1240" spans="1:1" x14ac:dyDescent="0.35">
      <c r="A1240" t="s">
        <v>2230</v>
      </c>
    </row>
    <row r="1241" spans="1:1" x14ac:dyDescent="0.35">
      <c r="A1241" t="s">
        <v>2231</v>
      </c>
    </row>
    <row r="1242" spans="1:1" x14ac:dyDescent="0.35">
      <c r="A1242" t="s">
        <v>2232</v>
      </c>
    </row>
    <row r="1243" spans="1:1" x14ac:dyDescent="0.35">
      <c r="A1243" t="s">
        <v>2233</v>
      </c>
    </row>
    <row r="1244" spans="1:1" x14ac:dyDescent="0.35">
      <c r="A1244" t="s">
        <v>2234</v>
      </c>
    </row>
    <row r="1245" spans="1:1" x14ac:dyDescent="0.35">
      <c r="A1245" t="s">
        <v>2235</v>
      </c>
    </row>
    <row r="1246" spans="1:1" x14ac:dyDescent="0.35">
      <c r="A1246" t="s">
        <v>2236</v>
      </c>
    </row>
    <row r="1247" spans="1:1" x14ac:dyDescent="0.35">
      <c r="A1247" t="s">
        <v>2237</v>
      </c>
    </row>
    <row r="1248" spans="1:1" x14ac:dyDescent="0.35">
      <c r="A1248" t="s">
        <v>2238</v>
      </c>
    </row>
    <row r="1249" spans="1:2" x14ac:dyDescent="0.35">
      <c r="A1249" t="s">
        <v>2239</v>
      </c>
    </row>
    <row r="1250" spans="1:2" x14ac:dyDescent="0.35">
      <c r="A1250" t="s">
        <v>2240</v>
      </c>
    </row>
    <row r="1251" spans="1:2" x14ac:dyDescent="0.35">
      <c r="A1251" t="s">
        <v>2241</v>
      </c>
    </row>
    <row r="1252" spans="1:2" x14ac:dyDescent="0.35">
      <c r="A1252" t="s">
        <v>2242</v>
      </c>
    </row>
    <row r="1253" spans="1:2" x14ac:dyDescent="0.35">
      <c r="A1253" t="s">
        <v>2243</v>
      </c>
    </row>
    <row r="1254" spans="1:2" x14ac:dyDescent="0.35">
      <c r="A1254" t="s">
        <v>2289</v>
      </c>
    </row>
    <row r="1255" spans="1:2" x14ac:dyDescent="0.35">
      <c r="A1255" t="s">
        <v>2290</v>
      </c>
      <c r="B1255">
        <v>0</v>
      </c>
    </row>
    <row r="1256" spans="1:2" x14ac:dyDescent="0.35">
      <c r="A1256" t="s">
        <v>2291</v>
      </c>
    </row>
    <row r="1257" spans="1:2" x14ac:dyDescent="0.35">
      <c r="A1257" t="s">
        <v>2292</v>
      </c>
      <c r="B1257">
        <v>0</v>
      </c>
    </row>
    <row r="1258" spans="1:2" x14ac:dyDescent="0.35">
      <c r="A1258" t="s">
        <v>2293</v>
      </c>
      <c r="B1258">
        <v>5000</v>
      </c>
    </row>
    <row r="1259" spans="1:2" x14ac:dyDescent="0.35">
      <c r="A1259" t="s">
        <v>2294</v>
      </c>
      <c r="B1259">
        <v>0</v>
      </c>
    </row>
    <row r="1260" spans="1:2" x14ac:dyDescent="0.35">
      <c r="A1260" t="s">
        <v>2295</v>
      </c>
      <c r="B1260">
        <v>1</v>
      </c>
    </row>
    <row r="1261" spans="1:2" x14ac:dyDescent="0.35">
      <c r="A1261" t="s">
        <v>2296</v>
      </c>
      <c r="B1261">
        <v>1</v>
      </c>
    </row>
    <row r="1262" spans="1:2" x14ac:dyDescent="0.35">
      <c r="A1262" t="s">
        <v>2297</v>
      </c>
      <c r="B1262">
        <v>1</v>
      </c>
    </row>
    <row r="1263" spans="1:2" x14ac:dyDescent="0.35">
      <c r="A1263" t="s">
        <v>2298</v>
      </c>
      <c r="B1263">
        <v>1</v>
      </c>
    </row>
    <row r="1264" spans="1:2" x14ac:dyDescent="0.35">
      <c r="A1264" t="s">
        <v>2299</v>
      </c>
      <c r="B1264">
        <v>1</v>
      </c>
    </row>
    <row r="1265" spans="1:2" x14ac:dyDescent="0.35">
      <c r="A1265" t="s">
        <v>2300</v>
      </c>
      <c r="B1265">
        <v>1</v>
      </c>
    </row>
    <row r="1266" spans="1:2" x14ac:dyDescent="0.35">
      <c r="A1266" t="s">
        <v>2301</v>
      </c>
      <c r="B1266">
        <v>1</v>
      </c>
    </row>
    <row r="1267" spans="1:2" x14ac:dyDescent="0.35">
      <c r="A1267" t="s">
        <v>2302</v>
      </c>
      <c r="B1267">
        <v>1</v>
      </c>
    </row>
    <row r="1268" spans="1:2" x14ac:dyDescent="0.35">
      <c r="A1268" t="s">
        <v>2303</v>
      </c>
      <c r="B1268">
        <v>1</v>
      </c>
    </row>
    <row r="1269" spans="1:2" x14ac:dyDescent="0.35">
      <c r="A1269" t="s">
        <v>2304</v>
      </c>
      <c r="B1269">
        <v>1</v>
      </c>
    </row>
    <row r="1270" spans="1:2" x14ac:dyDescent="0.35">
      <c r="A1270" t="s">
        <v>2305</v>
      </c>
      <c r="B1270">
        <v>1</v>
      </c>
    </row>
    <row r="1271" spans="1:2" x14ac:dyDescent="0.35">
      <c r="A1271" t="s">
        <v>2306</v>
      </c>
      <c r="B1271">
        <v>0</v>
      </c>
    </row>
    <row r="1272" spans="1:2" x14ac:dyDescent="0.35">
      <c r="A1272" t="s">
        <v>2307</v>
      </c>
      <c r="B1272" t="b">
        <v>0</v>
      </c>
    </row>
    <row r="1273" spans="1:2" x14ac:dyDescent="0.35">
      <c r="A1273" t="s">
        <v>2308</v>
      </c>
      <c r="B1273" t="b">
        <v>0</v>
      </c>
    </row>
    <row r="1274" spans="1:2" x14ac:dyDescent="0.35">
      <c r="A1274" t="s">
        <v>2309</v>
      </c>
      <c r="B1274" t="b">
        <v>0</v>
      </c>
    </row>
    <row r="1275" spans="1:2" x14ac:dyDescent="0.35">
      <c r="A1275" t="s">
        <v>2310</v>
      </c>
      <c r="B1275" t="b">
        <v>0</v>
      </c>
    </row>
    <row r="1276" spans="1:2" x14ac:dyDescent="0.35">
      <c r="A1276" t="s">
        <v>2311</v>
      </c>
      <c r="B1276">
        <v>0</v>
      </c>
    </row>
    <row r="1277" spans="1:2" x14ac:dyDescent="0.35">
      <c r="A1277" t="s">
        <v>2312</v>
      </c>
      <c r="B1277">
        <v>0</v>
      </c>
    </row>
    <row r="1278" spans="1:2" x14ac:dyDescent="0.35">
      <c r="A1278" t="s">
        <v>2313</v>
      </c>
      <c r="B1278">
        <v>0</v>
      </c>
    </row>
    <row r="1279" spans="1:2" x14ac:dyDescent="0.35">
      <c r="A1279" t="s">
        <v>2314</v>
      </c>
      <c r="B1279">
        <v>0</v>
      </c>
    </row>
    <row r="1280" spans="1:2" x14ac:dyDescent="0.35">
      <c r="A1280" t="s">
        <v>2315</v>
      </c>
      <c r="B1280">
        <v>0</v>
      </c>
    </row>
    <row r="1281" spans="1:2" x14ac:dyDescent="0.35">
      <c r="A1281" t="s">
        <v>2316</v>
      </c>
      <c r="B1281">
        <v>0</v>
      </c>
    </row>
    <row r="1282" spans="1:2" x14ac:dyDescent="0.35">
      <c r="A1282" t="s">
        <v>2317</v>
      </c>
      <c r="B1282">
        <v>0</v>
      </c>
    </row>
    <row r="1283" spans="1:2" x14ac:dyDescent="0.35">
      <c r="A1283" t="s">
        <v>2318</v>
      </c>
      <c r="B1283">
        <v>0</v>
      </c>
    </row>
    <row r="1284" spans="1:2" x14ac:dyDescent="0.35">
      <c r="A1284" t="s">
        <v>2319</v>
      </c>
      <c r="B1284">
        <v>2</v>
      </c>
    </row>
    <row r="1285" spans="1:2" x14ac:dyDescent="0.35">
      <c r="A1285" t="s">
        <v>2320</v>
      </c>
      <c r="B1285">
        <v>0</v>
      </c>
    </row>
    <row r="1286" spans="1:2" x14ac:dyDescent="0.35">
      <c r="A1286" t="s">
        <v>2321</v>
      </c>
      <c r="B1286">
        <v>0</v>
      </c>
    </row>
    <row r="1287" spans="1:2" x14ac:dyDescent="0.35">
      <c r="A1287" t="s">
        <v>2322</v>
      </c>
      <c r="B1287">
        <v>2</v>
      </c>
    </row>
    <row r="1288" spans="1:2" x14ac:dyDescent="0.35">
      <c r="A1288" t="s">
        <v>2323</v>
      </c>
      <c r="B1288">
        <v>0</v>
      </c>
    </row>
    <row r="1289" spans="1:2" x14ac:dyDescent="0.35">
      <c r="A1289" t="s">
        <v>2324</v>
      </c>
      <c r="B1289">
        <v>0</v>
      </c>
    </row>
    <row r="1290" spans="1:2" x14ac:dyDescent="0.35">
      <c r="A1290" t="s">
        <v>2325</v>
      </c>
      <c r="B1290">
        <v>5000</v>
      </c>
    </row>
    <row r="1291" spans="1:2" x14ac:dyDescent="0.35">
      <c r="A1291" t="s">
        <v>2326</v>
      </c>
      <c r="B1291">
        <v>5000</v>
      </c>
    </row>
    <row r="1292" spans="1:2" x14ac:dyDescent="0.35">
      <c r="A1292" t="s">
        <v>2327</v>
      </c>
      <c r="B1292">
        <v>5000</v>
      </c>
    </row>
    <row r="1293" spans="1:2" x14ac:dyDescent="0.35">
      <c r="A1293" t="s">
        <v>2328</v>
      </c>
      <c r="B1293">
        <v>1</v>
      </c>
    </row>
    <row r="1294" spans="1:2" x14ac:dyDescent="0.35">
      <c r="A1294" t="s">
        <v>2329</v>
      </c>
      <c r="B1294">
        <v>1</v>
      </c>
    </row>
    <row r="1295" spans="1:2" x14ac:dyDescent="0.35">
      <c r="A1295" t="s">
        <v>2330</v>
      </c>
      <c r="B1295">
        <v>1</v>
      </c>
    </row>
    <row r="1296" spans="1:2" x14ac:dyDescent="0.35">
      <c r="A1296" t="s">
        <v>2331</v>
      </c>
      <c r="B1296">
        <v>1</v>
      </c>
    </row>
    <row r="1297" spans="1:2" x14ac:dyDescent="0.35">
      <c r="A1297" t="s">
        <v>2332</v>
      </c>
      <c r="B1297">
        <v>1</v>
      </c>
    </row>
    <row r="1298" spans="1:2" x14ac:dyDescent="0.35">
      <c r="A1298" t="s">
        <v>2333</v>
      </c>
      <c r="B1298">
        <v>1</v>
      </c>
    </row>
    <row r="1299" spans="1:2" x14ac:dyDescent="0.35">
      <c r="A1299" t="s">
        <v>2334</v>
      </c>
      <c r="B1299">
        <v>1</v>
      </c>
    </row>
    <row r="1300" spans="1:2" x14ac:dyDescent="0.35">
      <c r="A1300" t="s">
        <v>2335</v>
      </c>
      <c r="B1300">
        <v>1</v>
      </c>
    </row>
    <row r="1301" spans="1:2" x14ac:dyDescent="0.35">
      <c r="A1301" t="s">
        <v>2336</v>
      </c>
      <c r="B1301">
        <v>1</v>
      </c>
    </row>
    <row r="1302" spans="1:2" x14ac:dyDescent="0.35">
      <c r="A1302" t="s">
        <v>2337</v>
      </c>
      <c r="B1302">
        <v>0</v>
      </c>
    </row>
    <row r="1303" spans="1:2" x14ac:dyDescent="0.35">
      <c r="A1303" t="s">
        <v>2338</v>
      </c>
      <c r="B1303">
        <v>0</v>
      </c>
    </row>
    <row r="1304" spans="1:2" x14ac:dyDescent="0.35">
      <c r="A1304" t="s">
        <v>2339</v>
      </c>
      <c r="B1304">
        <v>0</v>
      </c>
    </row>
    <row r="1305" spans="1:2" x14ac:dyDescent="0.35">
      <c r="A1305" t="s">
        <v>2340</v>
      </c>
      <c r="B1305">
        <v>0</v>
      </c>
    </row>
    <row r="1306" spans="1:2" x14ac:dyDescent="0.35">
      <c r="A1306" t="s">
        <v>2341</v>
      </c>
      <c r="B1306">
        <v>0</v>
      </c>
    </row>
    <row r="1307" spans="1:2" x14ac:dyDescent="0.35">
      <c r="A1307" t="s">
        <v>2342</v>
      </c>
      <c r="B1307">
        <v>0</v>
      </c>
    </row>
    <row r="1308" spans="1:2" x14ac:dyDescent="0.35">
      <c r="A1308" t="s">
        <v>2343</v>
      </c>
      <c r="B1308">
        <v>0</v>
      </c>
    </row>
    <row r="1309" spans="1:2" x14ac:dyDescent="0.35">
      <c r="A1309" t="s">
        <v>2344</v>
      </c>
      <c r="B1309">
        <v>0</v>
      </c>
    </row>
    <row r="1310" spans="1:2" x14ac:dyDescent="0.35">
      <c r="A1310" t="s">
        <v>2345</v>
      </c>
      <c r="B1310">
        <v>0</v>
      </c>
    </row>
    <row r="1311" spans="1:2" x14ac:dyDescent="0.35">
      <c r="A1311" t="s">
        <v>2346</v>
      </c>
    </row>
    <row r="1312" spans="1:2" x14ac:dyDescent="0.35">
      <c r="A1312" t="s">
        <v>2347</v>
      </c>
    </row>
    <row r="1313" spans="1:2" x14ac:dyDescent="0.35">
      <c r="A1313" t="s">
        <v>2348</v>
      </c>
      <c r="B1313">
        <v>5000</v>
      </c>
    </row>
    <row r="1314" spans="1:2" x14ac:dyDescent="0.35">
      <c r="A1314" t="s">
        <v>2349</v>
      </c>
      <c r="B1314">
        <v>5000</v>
      </c>
    </row>
    <row r="1315" spans="1:2" x14ac:dyDescent="0.35">
      <c r="A1315" t="s">
        <v>2350</v>
      </c>
      <c r="B1315">
        <v>5000</v>
      </c>
    </row>
    <row r="1316" spans="1:2" x14ac:dyDescent="0.35">
      <c r="A1316" t="s">
        <v>2351</v>
      </c>
      <c r="B1316">
        <v>0</v>
      </c>
    </row>
    <row r="1317" spans="1:2" x14ac:dyDescent="0.35">
      <c r="A1317" t="s">
        <v>2352</v>
      </c>
      <c r="B1317">
        <v>0</v>
      </c>
    </row>
    <row r="1318" spans="1:2" x14ac:dyDescent="0.35">
      <c r="A1318" t="s">
        <v>2353</v>
      </c>
      <c r="B1318">
        <v>0</v>
      </c>
    </row>
    <row r="1319" spans="1:2" x14ac:dyDescent="0.35">
      <c r="A1319" t="s">
        <v>2354</v>
      </c>
      <c r="B1319">
        <v>0</v>
      </c>
    </row>
    <row r="1320" spans="1:2" x14ac:dyDescent="0.35">
      <c r="A1320" t="s">
        <v>2355</v>
      </c>
      <c r="B1320">
        <v>0</v>
      </c>
    </row>
    <row r="1321" spans="1:2" x14ac:dyDescent="0.35">
      <c r="A1321" t="s">
        <v>2356</v>
      </c>
      <c r="B1321">
        <v>0</v>
      </c>
    </row>
    <row r="1322" spans="1:2" x14ac:dyDescent="0.35">
      <c r="A1322" t="s">
        <v>2357</v>
      </c>
      <c r="B1322">
        <v>0</v>
      </c>
    </row>
    <row r="1323" spans="1:2" x14ac:dyDescent="0.35">
      <c r="A1323" t="s">
        <v>2358</v>
      </c>
      <c r="B1323">
        <v>0</v>
      </c>
    </row>
    <row r="1324" spans="1:2" x14ac:dyDescent="0.35">
      <c r="A1324" t="s">
        <v>2359</v>
      </c>
      <c r="B1324">
        <v>0</v>
      </c>
    </row>
    <row r="1325" spans="1:2" x14ac:dyDescent="0.35">
      <c r="A1325" t="s">
        <v>2360</v>
      </c>
      <c r="B1325">
        <v>1</v>
      </c>
    </row>
    <row r="1326" spans="1:2" x14ac:dyDescent="0.35">
      <c r="A1326" t="s">
        <v>2361</v>
      </c>
      <c r="B1326">
        <v>1</v>
      </c>
    </row>
    <row r="1327" spans="1:2" x14ac:dyDescent="0.35">
      <c r="A1327" t="s">
        <v>2362</v>
      </c>
      <c r="B1327">
        <v>1</v>
      </c>
    </row>
    <row r="1328" spans="1:2" x14ac:dyDescent="0.35">
      <c r="A1328" t="s">
        <v>2363</v>
      </c>
      <c r="B1328">
        <v>1</v>
      </c>
    </row>
    <row r="1329" spans="1:2" x14ac:dyDescent="0.35">
      <c r="A1329" t="s">
        <v>2364</v>
      </c>
      <c r="B1329">
        <v>1</v>
      </c>
    </row>
    <row r="1330" spans="1:2" x14ac:dyDescent="0.35">
      <c r="A1330" t="s">
        <v>2365</v>
      </c>
      <c r="B1330">
        <v>1</v>
      </c>
    </row>
    <row r="1331" spans="1:2" x14ac:dyDescent="0.35">
      <c r="A1331" t="s">
        <v>2366</v>
      </c>
      <c r="B1331">
        <v>1</v>
      </c>
    </row>
    <row r="1332" spans="1:2" x14ac:dyDescent="0.35">
      <c r="A1332" t="s">
        <v>2367</v>
      </c>
      <c r="B1332">
        <v>1</v>
      </c>
    </row>
    <row r="1333" spans="1:2" x14ac:dyDescent="0.35">
      <c r="A1333" t="s">
        <v>2368</v>
      </c>
      <c r="B1333">
        <v>1</v>
      </c>
    </row>
    <row r="1334" spans="1:2" x14ac:dyDescent="0.35">
      <c r="A1334" t="s">
        <v>2369</v>
      </c>
      <c r="B1334">
        <v>1</v>
      </c>
    </row>
    <row r="1335" spans="1:2" x14ac:dyDescent="0.35">
      <c r="A1335" t="s">
        <v>2370</v>
      </c>
      <c r="B1335">
        <v>1</v>
      </c>
    </row>
    <row r="1336" spans="1:2" x14ac:dyDescent="0.35">
      <c r="A1336" t="s">
        <v>2371</v>
      </c>
      <c r="B1336">
        <v>1</v>
      </c>
    </row>
    <row r="1337" spans="1:2" x14ac:dyDescent="0.35">
      <c r="A1337" t="s">
        <v>2372</v>
      </c>
      <c r="B1337" t="b">
        <v>0</v>
      </c>
    </row>
    <row r="1338" spans="1:2" x14ac:dyDescent="0.35">
      <c r="A1338" t="s">
        <v>2373</v>
      </c>
    </row>
    <row r="1339" spans="1:2" x14ac:dyDescent="0.35">
      <c r="A1339" t="s">
        <v>2374</v>
      </c>
      <c r="B1339">
        <v>1</v>
      </c>
    </row>
    <row r="1340" spans="1:2" x14ac:dyDescent="0.35">
      <c r="A1340" t="s">
        <v>2375</v>
      </c>
      <c r="B1340">
        <v>1</v>
      </c>
    </row>
    <row r="1341" spans="1:2" x14ac:dyDescent="0.35">
      <c r="A1341" t="s">
        <v>2376</v>
      </c>
      <c r="B1341">
        <v>1</v>
      </c>
    </row>
    <row r="1342" spans="1:2" x14ac:dyDescent="0.35">
      <c r="A1342" t="s">
        <v>2377</v>
      </c>
      <c r="B1342">
        <v>1</v>
      </c>
    </row>
    <row r="1343" spans="1:2" x14ac:dyDescent="0.35">
      <c r="A1343" t="s">
        <v>2378</v>
      </c>
      <c r="B1343">
        <v>1</v>
      </c>
    </row>
    <row r="1344" spans="1:2" x14ac:dyDescent="0.35">
      <c r="A1344" t="s">
        <v>2379</v>
      </c>
      <c r="B1344">
        <v>1</v>
      </c>
    </row>
    <row r="1345" spans="1:2" x14ac:dyDescent="0.35">
      <c r="A1345" t="s">
        <v>2380</v>
      </c>
      <c r="B1345">
        <v>1</v>
      </c>
    </row>
    <row r="1346" spans="1:2" x14ac:dyDescent="0.35">
      <c r="A1346" t="s">
        <v>2381</v>
      </c>
      <c r="B1346">
        <v>1</v>
      </c>
    </row>
    <row r="1347" spans="1:2" x14ac:dyDescent="0.35">
      <c r="A1347" t="s">
        <v>2382</v>
      </c>
      <c r="B1347">
        <v>1</v>
      </c>
    </row>
    <row r="1348" spans="1:2" x14ac:dyDescent="0.35">
      <c r="A1348" t="s">
        <v>2383</v>
      </c>
      <c r="B1348">
        <v>5000</v>
      </c>
    </row>
    <row r="1349" spans="1:2" x14ac:dyDescent="0.35">
      <c r="A1349" t="s">
        <v>2384</v>
      </c>
      <c r="B1349">
        <v>5000</v>
      </c>
    </row>
    <row r="1350" spans="1:2" x14ac:dyDescent="0.35">
      <c r="A1350" t="s">
        <v>2385</v>
      </c>
      <c r="B1350">
        <v>5000</v>
      </c>
    </row>
    <row r="1351" spans="1:2" x14ac:dyDescent="0.35">
      <c r="A1351" t="s">
        <v>2386</v>
      </c>
      <c r="B1351">
        <v>0</v>
      </c>
    </row>
    <row r="1352" spans="1:2" x14ac:dyDescent="0.35">
      <c r="A1352" t="s">
        <v>2387</v>
      </c>
      <c r="B1352">
        <v>0</v>
      </c>
    </row>
    <row r="1353" spans="1:2" x14ac:dyDescent="0.35">
      <c r="A1353" t="s">
        <v>2388</v>
      </c>
      <c r="B1353">
        <v>0</v>
      </c>
    </row>
    <row r="1354" spans="1:2" x14ac:dyDescent="0.35">
      <c r="A1354" t="s">
        <v>2389</v>
      </c>
      <c r="B1354">
        <v>0</v>
      </c>
    </row>
    <row r="1355" spans="1:2" x14ac:dyDescent="0.35">
      <c r="A1355" t="s">
        <v>2390</v>
      </c>
      <c r="B1355">
        <v>0</v>
      </c>
    </row>
    <row r="1356" spans="1:2" x14ac:dyDescent="0.35">
      <c r="A1356" t="s">
        <v>2391</v>
      </c>
      <c r="B1356">
        <v>0</v>
      </c>
    </row>
    <row r="1357" spans="1:2" x14ac:dyDescent="0.35">
      <c r="A1357" t="s">
        <v>2392</v>
      </c>
      <c r="B1357">
        <v>0</v>
      </c>
    </row>
    <row r="1358" spans="1:2" x14ac:dyDescent="0.35">
      <c r="A1358" t="s">
        <v>2393</v>
      </c>
      <c r="B1358">
        <v>0</v>
      </c>
    </row>
    <row r="1359" spans="1:2" x14ac:dyDescent="0.35">
      <c r="A1359" t="s">
        <v>2394</v>
      </c>
      <c r="B1359">
        <v>0</v>
      </c>
    </row>
    <row r="1360" spans="1:2" x14ac:dyDescent="0.35">
      <c r="A1360" t="s">
        <v>2395</v>
      </c>
      <c r="B1360">
        <v>0</v>
      </c>
    </row>
    <row r="1361" spans="1:2" x14ac:dyDescent="0.35">
      <c r="A1361" t="s">
        <v>2396</v>
      </c>
      <c r="B1361">
        <v>0</v>
      </c>
    </row>
    <row r="1362" spans="1:2" x14ac:dyDescent="0.35">
      <c r="A1362" t="s">
        <v>2397</v>
      </c>
      <c r="B1362">
        <v>0</v>
      </c>
    </row>
    <row r="1363" spans="1:2" x14ac:dyDescent="0.35">
      <c r="A1363" t="s">
        <v>2398</v>
      </c>
    </row>
    <row r="1364" spans="1:2" x14ac:dyDescent="0.35">
      <c r="A1364" t="s">
        <v>2399</v>
      </c>
      <c r="B1364">
        <v>2</v>
      </c>
    </row>
    <row r="1365" spans="1:2" x14ac:dyDescent="0.35">
      <c r="A1365" t="s">
        <v>2400</v>
      </c>
      <c r="B1365">
        <v>1</v>
      </c>
    </row>
    <row r="1366" spans="1:2" x14ac:dyDescent="0.35">
      <c r="A1366" t="s">
        <v>2401</v>
      </c>
      <c r="B1366">
        <v>1</v>
      </c>
    </row>
    <row r="1367" spans="1:2" x14ac:dyDescent="0.35">
      <c r="A1367" t="s">
        <v>2402</v>
      </c>
      <c r="B1367">
        <v>1</v>
      </c>
    </row>
    <row r="1368" spans="1:2" x14ac:dyDescent="0.35">
      <c r="A1368" t="s">
        <v>2403</v>
      </c>
      <c r="B1368">
        <v>1</v>
      </c>
    </row>
    <row r="1369" spans="1:2" x14ac:dyDescent="0.35">
      <c r="A1369" t="s">
        <v>2404</v>
      </c>
      <c r="B1369">
        <v>1</v>
      </c>
    </row>
    <row r="1370" spans="1:2" x14ac:dyDescent="0.35">
      <c r="A1370" t="s">
        <v>2405</v>
      </c>
      <c r="B1370">
        <v>1</v>
      </c>
    </row>
    <row r="1371" spans="1:2" x14ac:dyDescent="0.35">
      <c r="A1371" t="s">
        <v>2406</v>
      </c>
      <c r="B1371">
        <v>1</v>
      </c>
    </row>
    <row r="1372" spans="1:2" x14ac:dyDescent="0.35">
      <c r="A1372" t="s">
        <v>2407</v>
      </c>
      <c r="B1372">
        <v>1</v>
      </c>
    </row>
    <row r="1373" spans="1:2" x14ac:dyDescent="0.35">
      <c r="A1373" t="s">
        <v>2408</v>
      </c>
      <c r="B1373">
        <v>1</v>
      </c>
    </row>
    <row r="1374" spans="1:2" x14ac:dyDescent="0.35">
      <c r="A1374" t="s">
        <v>2409</v>
      </c>
    </row>
    <row r="1375" spans="1:2" x14ac:dyDescent="0.35">
      <c r="A1375" t="s">
        <v>2410</v>
      </c>
      <c r="B1375">
        <v>30</v>
      </c>
    </row>
    <row r="1376" spans="1:2" x14ac:dyDescent="0.35">
      <c r="A1376" t="s">
        <v>2424</v>
      </c>
      <c r="B1376">
        <v>1</v>
      </c>
    </row>
    <row r="1377" spans="1:2" x14ac:dyDescent="0.35">
      <c r="A1377" t="s">
        <v>2429</v>
      </c>
      <c r="B1377">
        <v>1</v>
      </c>
    </row>
    <row r="1378" spans="1:2" x14ac:dyDescent="0.35">
      <c r="A1378" t="s">
        <v>2433</v>
      </c>
    </row>
    <row r="1379" spans="1:2" x14ac:dyDescent="0.35">
      <c r="A1379" t="s">
        <v>2434</v>
      </c>
    </row>
    <row r="1380" spans="1:2" x14ac:dyDescent="0.35">
      <c r="A1380" t="s">
        <v>2435</v>
      </c>
    </row>
    <row r="1381" spans="1:2" x14ac:dyDescent="0.35">
      <c r="A1381" t="s">
        <v>2436</v>
      </c>
    </row>
    <row r="1382" spans="1:2" x14ac:dyDescent="0.35">
      <c r="A1382" t="s">
        <v>2437</v>
      </c>
    </row>
    <row r="1383" spans="1:2" x14ac:dyDescent="0.35">
      <c r="A1383" t="s">
        <v>2438</v>
      </c>
    </row>
    <row r="1384" spans="1:2" x14ac:dyDescent="0.35">
      <c r="A1384" t="s">
        <v>2439</v>
      </c>
    </row>
    <row r="1385" spans="1:2" x14ac:dyDescent="0.35">
      <c r="A1385" t="s">
        <v>2440</v>
      </c>
    </row>
    <row r="1386" spans="1:2" x14ac:dyDescent="0.35">
      <c r="A1386" t="s">
        <v>2441</v>
      </c>
    </row>
    <row r="1387" spans="1:2" x14ac:dyDescent="0.35">
      <c r="A1387" t="s">
        <v>2442</v>
      </c>
    </row>
    <row r="1388" spans="1:2" x14ac:dyDescent="0.35">
      <c r="A1388" t="s">
        <v>2443</v>
      </c>
    </row>
    <row r="1389" spans="1:2" x14ac:dyDescent="0.35">
      <c r="A1389" t="s">
        <v>2444</v>
      </c>
    </row>
    <row r="1390" spans="1:2" x14ac:dyDescent="0.35">
      <c r="A1390" t="s">
        <v>2445</v>
      </c>
    </row>
    <row r="1391" spans="1:2" x14ac:dyDescent="0.35">
      <c r="A1391" t="s">
        <v>2446</v>
      </c>
    </row>
    <row r="1392" spans="1:2" x14ac:dyDescent="0.35">
      <c r="A1392" t="s">
        <v>2447</v>
      </c>
    </row>
    <row r="1393" spans="1:1" x14ac:dyDescent="0.35">
      <c r="A1393" t="s">
        <v>2448</v>
      </c>
    </row>
    <row r="1394" spans="1:1" x14ac:dyDescent="0.35">
      <c r="A1394" t="s">
        <v>2449</v>
      </c>
    </row>
    <row r="1395" spans="1:1" x14ac:dyDescent="0.35">
      <c r="A1395" t="s">
        <v>2450</v>
      </c>
    </row>
    <row r="1396" spans="1:1" x14ac:dyDescent="0.35">
      <c r="A1396" t="s">
        <v>2451</v>
      </c>
    </row>
    <row r="1397" spans="1:1" x14ac:dyDescent="0.35">
      <c r="A1397" t="s">
        <v>2452</v>
      </c>
    </row>
    <row r="1398" spans="1:1" x14ac:dyDescent="0.35">
      <c r="A1398" t="s">
        <v>2453</v>
      </c>
    </row>
    <row r="1399" spans="1:1" x14ac:dyDescent="0.35">
      <c r="A1399" t="s">
        <v>2454</v>
      </c>
    </row>
    <row r="1400" spans="1:1" x14ac:dyDescent="0.35">
      <c r="A1400" t="s">
        <v>2455</v>
      </c>
    </row>
    <row r="1401" spans="1:1" x14ac:dyDescent="0.35">
      <c r="A1401" t="s">
        <v>2456</v>
      </c>
    </row>
    <row r="1402" spans="1:1" x14ac:dyDescent="0.35">
      <c r="A1402" t="s">
        <v>2457</v>
      </c>
    </row>
    <row r="1403" spans="1:1" x14ac:dyDescent="0.35">
      <c r="A1403" t="s">
        <v>2458</v>
      </c>
    </row>
    <row r="1404" spans="1:1" x14ac:dyDescent="0.35">
      <c r="A1404" t="s">
        <v>2459</v>
      </c>
    </row>
    <row r="1405" spans="1:1" x14ac:dyDescent="0.35">
      <c r="A1405" t="s">
        <v>2460</v>
      </c>
    </row>
    <row r="1406" spans="1:1" x14ac:dyDescent="0.35">
      <c r="A1406" t="s">
        <v>2461</v>
      </c>
    </row>
    <row r="1407" spans="1:1" x14ac:dyDescent="0.35">
      <c r="A1407" t="s">
        <v>2462</v>
      </c>
    </row>
    <row r="1408" spans="1:1" x14ac:dyDescent="0.35">
      <c r="A1408" t="s">
        <v>2463</v>
      </c>
    </row>
    <row r="1409" spans="1:1" x14ac:dyDescent="0.35">
      <c r="A1409" t="s">
        <v>2464</v>
      </c>
    </row>
    <row r="1410" spans="1:1" x14ac:dyDescent="0.35">
      <c r="A1410" t="s">
        <v>2465</v>
      </c>
    </row>
    <row r="1411" spans="1:1" x14ac:dyDescent="0.35">
      <c r="A1411" t="s">
        <v>2466</v>
      </c>
    </row>
    <row r="1412" spans="1:1" x14ac:dyDescent="0.35">
      <c r="A1412" t="s">
        <v>2467</v>
      </c>
    </row>
    <row r="1413" spans="1:1" x14ac:dyDescent="0.35">
      <c r="A1413" t="s">
        <v>2468</v>
      </c>
    </row>
    <row r="1414" spans="1:1" x14ac:dyDescent="0.35">
      <c r="A1414" t="s">
        <v>2469</v>
      </c>
    </row>
    <row r="1415" spans="1:1" x14ac:dyDescent="0.35">
      <c r="A1415" t="s">
        <v>2470</v>
      </c>
    </row>
    <row r="1416" spans="1:1" x14ac:dyDescent="0.35">
      <c r="A1416" t="s">
        <v>2471</v>
      </c>
    </row>
    <row r="1417" spans="1:1" x14ac:dyDescent="0.35">
      <c r="A1417" t="s">
        <v>2472</v>
      </c>
    </row>
    <row r="1418" spans="1:1" x14ac:dyDescent="0.35">
      <c r="A1418" t="s">
        <v>2473</v>
      </c>
    </row>
    <row r="1419" spans="1:1" x14ac:dyDescent="0.35">
      <c r="A1419" t="s">
        <v>2474</v>
      </c>
    </row>
    <row r="1420" spans="1:1" x14ac:dyDescent="0.35">
      <c r="A1420" t="s">
        <v>2475</v>
      </c>
    </row>
    <row r="1421" spans="1:1" x14ac:dyDescent="0.35">
      <c r="A1421" t="s">
        <v>2476</v>
      </c>
    </row>
    <row r="1422" spans="1:1" x14ac:dyDescent="0.35">
      <c r="A1422" t="s">
        <v>2477</v>
      </c>
    </row>
    <row r="1423" spans="1:1" x14ac:dyDescent="0.35">
      <c r="A1423" t="s">
        <v>2478</v>
      </c>
    </row>
    <row r="1424" spans="1:1" x14ac:dyDescent="0.35">
      <c r="A1424" t="s">
        <v>2479</v>
      </c>
    </row>
    <row r="1425" spans="1:1" x14ac:dyDescent="0.35">
      <c r="A1425" t="s">
        <v>2480</v>
      </c>
    </row>
    <row r="1426" spans="1:1" x14ac:dyDescent="0.35">
      <c r="A1426" t="s">
        <v>2481</v>
      </c>
    </row>
    <row r="1427" spans="1:1" x14ac:dyDescent="0.35">
      <c r="A1427" t="s">
        <v>2482</v>
      </c>
    </row>
    <row r="1428" spans="1:1" x14ac:dyDescent="0.35">
      <c r="A1428" t="s">
        <v>2483</v>
      </c>
    </row>
    <row r="1429" spans="1:1" x14ac:dyDescent="0.35">
      <c r="A1429" t="s">
        <v>2484</v>
      </c>
    </row>
    <row r="1430" spans="1:1" x14ac:dyDescent="0.35">
      <c r="A1430" t="s">
        <v>2485</v>
      </c>
    </row>
    <row r="1431" spans="1:1" x14ac:dyDescent="0.35">
      <c r="A1431" t="s">
        <v>2486</v>
      </c>
    </row>
    <row r="1432" spans="1:1" x14ac:dyDescent="0.35">
      <c r="A1432" t="s">
        <v>2487</v>
      </c>
    </row>
    <row r="1433" spans="1:1" x14ac:dyDescent="0.35">
      <c r="A1433" t="s">
        <v>2488</v>
      </c>
    </row>
    <row r="1434" spans="1:1" x14ac:dyDescent="0.35">
      <c r="A1434" t="s">
        <v>2489</v>
      </c>
    </row>
    <row r="1435" spans="1:1" x14ac:dyDescent="0.35">
      <c r="A1435" t="s">
        <v>2490</v>
      </c>
    </row>
    <row r="1436" spans="1:1" x14ac:dyDescent="0.35">
      <c r="A1436" t="s">
        <v>2491</v>
      </c>
    </row>
    <row r="1437" spans="1:1" x14ac:dyDescent="0.35">
      <c r="A1437" t="s">
        <v>2492</v>
      </c>
    </row>
    <row r="1438" spans="1:1" x14ac:dyDescent="0.35">
      <c r="A1438" t="s">
        <v>2493</v>
      </c>
    </row>
    <row r="1439" spans="1:1" x14ac:dyDescent="0.35">
      <c r="A1439" t="s">
        <v>2494</v>
      </c>
    </row>
    <row r="1440" spans="1:1" x14ac:dyDescent="0.35">
      <c r="A1440" t="s">
        <v>2417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  <button id="btnNaamGeven" label="Geef Naam aan Range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1823</vt:i4>
      </vt:variant>
    </vt:vector>
  </HeadingPairs>
  <TitlesOfParts>
    <vt:vector size="1846" baseType="lpstr">
      <vt:lpstr>MedicatieIV</vt:lpstr>
      <vt:lpstr>Med_disc</vt:lpstr>
      <vt:lpstr>Infusen</vt:lpstr>
      <vt:lpstr>Intake</vt:lpstr>
      <vt:lpstr>Lab</vt:lpstr>
      <vt:lpstr>Aanvullende afspraken Ped</vt:lpstr>
      <vt:lpstr>AcuteOpvang</vt:lpstr>
      <vt:lpstr>AfsprakenCMV</vt:lpstr>
      <vt:lpstr>Medicatie</vt:lpstr>
      <vt:lpstr>TPN2tot6kg</vt:lpstr>
      <vt:lpstr>TPN7tot15kg</vt:lpstr>
      <vt:lpstr>TPN16tot30kg</vt:lpstr>
      <vt:lpstr>TPN31tot50kg</vt:lpstr>
      <vt:lpstr>TPNboven50kg</vt:lpstr>
      <vt:lpstr>Afspraken</vt:lpstr>
      <vt:lpstr>Afspraken1700</vt:lpstr>
      <vt:lpstr>WerkBrief</vt:lpstr>
      <vt:lpstr>Medicatie Neo</vt:lpstr>
      <vt:lpstr>Aanvullende afspraken Neo</vt:lpstr>
      <vt:lpstr>Lab Neo</vt:lpstr>
      <vt:lpstr>AcuteOpvang Neo</vt:lpstr>
      <vt:lpstr>Print</vt:lpstr>
      <vt:lpstr>Apotheek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AcuteOpvang!Print_Area</vt:lpstr>
      <vt:lpstr>'AcuteOpvang Neo'!Print_Area</vt:lpstr>
      <vt:lpstr>AfsprakenCMV!Print_Area</vt:lpstr>
      <vt:lpstr>Apotheek!Print_Area</vt:lpstr>
      <vt:lpstr>Medicatie!Print_Area</vt:lpstr>
      <vt:lpstr>'Medicatie Neo'!Print_Area</vt:lpstr>
      <vt:lpstr>Print!Print_Area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WerkBrief!Print_Area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2016-12-18T15:33:58Z</dcterms:modified>
</cp:coreProperties>
</file>