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T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T20" i="11"/>
  <c r="AN5" i="12"/>
  <c r="U48" i="9"/>
  <c r="AF5" i="12"/>
  <c r="U5" i="11"/>
  <c r="U11" i="11"/>
  <c r="U6" i="11"/>
  <c r="U10" i="11"/>
  <c r="U18" i="11"/>
  <c r="U20" i="11"/>
  <c r="H5" i="12"/>
  <c r="V5" i="11"/>
  <c r="V11" i="11"/>
  <c r="V6" i="11"/>
  <c r="V10" i="11"/>
  <c r="V18" i="11"/>
  <c r="V20" i="11"/>
  <c r="I5" i="12"/>
  <c r="X11" i="11"/>
  <c r="X6" i="11"/>
  <c r="X10" i="11"/>
  <c r="X18" i="11"/>
  <c r="X20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T22" i="11"/>
  <c r="AN6" i="12"/>
  <c r="U49" i="9"/>
  <c r="AF6" i="12"/>
  <c r="U25" i="11"/>
  <c r="U27" i="11"/>
  <c r="U19" i="11"/>
  <c r="U9" i="11"/>
  <c r="U16" i="11"/>
  <c r="U22" i="11"/>
  <c r="H6" i="12"/>
  <c r="V25" i="11"/>
  <c r="V27" i="11"/>
  <c r="V19" i="11"/>
  <c r="V9" i="11"/>
  <c r="V16" i="11"/>
  <c r="V22" i="11"/>
  <c r="I6" i="12"/>
  <c r="X27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T26" i="11"/>
  <c r="AN8" i="12"/>
  <c r="U51" i="9"/>
  <c r="AF8" i="12"/>
  <c r="I8" i="12"/>
  <c r="H8" i="12"/>
  <c r="X26" i="11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T30" i="11"/>
  <c r="AN10" i="12"/>
  <c r="U53" i="9"/>
  <c r="AF10" i="12"/>
  <c r="U34" i="11"/>
  <c r="U30" i="11"/>
  <c r="H10" i="12"/>
  <c r="V34" i="11"/>
  <c r="V30" i="11"/>
  <c r="I10" i="12"/>
  <c r="X34" i="11"/>
  <c r="X30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W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U26" i="71"/>
  <c r="H23" i="45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B7" i="8"/>
  <c r="D7" i="8"/>
  <c r="B8" i="8"/>
  <c r="D8" i="8"/>
  <c r="B9" i="8"/>
  <c r="D9" i="8"/>
  <c r="B10" i="8"/>
  <c r="D10" i="8"/>
  <c r="B11" i="8"/>
  <c r="D11" i="8"/>
  <c r="B12" i="8"/>
  <c r="D12" i="8"/>
  <c r="B13" i="8"/>
  <c r="D13" i="8"/>
  <c r="B14" i="8"/>
  <c r="D14" i="8"/>
  <c r="B15" i="8"/>
  <c r="D15" i="8"/>
  <c r="B16" i="8"/>
  <c r="D16" i="8"/>
  <c r="B17" i="8"/>
  <c r="D17" i="8"/>
  <c r="B18" i="8"/>
  <c r="D18" i="8"/>
  <c r="B19" i="8"/>
  <c r="D19" i="8"/>
  <c r="B20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29" i="11"/>
  <c r="U29" i="11"/>
  <c r="V28" i="11"/>
  <c r="U28" i="11"/>
  <c r="V24" i="11"/>
  <c r="U24" i="11"/>
  <c r="V23" i="11"/>
  <c r="U23" i="11"/>
  <c r="V21" i="11"/>
  <c r="U21" i="11"/>
  <c r="V17" i="11"/>
  <c r="U17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17" i="11"/>
  <c r="T21" i="11"/>
  <c r="T23" i="11"/>
  <c r="T24" i="11"/>
  <c r="T28" i="11"/>
  <c r="T29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U21" i="71"/>
  <c r="U17" i="71"/>
  <c r="U5" i="7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<sst xmlns="http://schemas.openxmlformats.org/spreadsheetml/2006/main" count="13348" uniqueCount="7927">
  <si>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</si>
  <si>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</si>
  <si>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</si>
  <si>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</si>
  <si>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</si>
  <si>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</si>
  <si>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</si>
  <si>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</si>
  <si>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</si>
  <si>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</si>
  <si>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</si>
  <si>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</si>
  <si>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</si>
  <si>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</si>
  <si>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</si>
  <si>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</si>
  <si>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</si>
  <si>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</si>
  <si>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</si>
  <si>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</si>
  <si>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</si>
  <si>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</si>
  <si>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</si>
  <si>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</si>
  <si>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</si>
  <si>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</si>
  <si>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</si>
  <si>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</si>
  <si>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</si>
  <si>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</si>
  <si>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</si>
  <si>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</si>
  <si>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</si>
  <si>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</si>
  <si>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</si>
  <si>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</si>
  <si>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</si>
  <si>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</si>
  <si>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</si>
  <si>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</si>
  <si>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</si>
  <si>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</si>
  <si>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</si>
  <si>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</si>
  <si>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</si>
  <si>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</si>
  <si>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</si>
  <si>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</si>
  <si>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</si>
  <si>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</si>
  <si>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</si>
  <si>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</si>
  <si>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</si>
  <si>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</si>
  <si>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</si>
  <si>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</si>
  <si>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</si>
  <si>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</si>
  <si>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</si>
  <si>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</si>
  <si>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</si>
  <si>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</si>
  <si>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</si>
  <si>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</si>
  <si>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</si>
  <si>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</si>
  <si>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</si>
  <si>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</si>
  <si>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</si>
  <si>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</si>
  <si>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</si>
  <si>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</si>
  <si>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</si>
  <si>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</si>
  <si>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</si>
  <si>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</si>
  <si>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</si>
  <si>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</si>
  <si>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</si>
  <si>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</si>
  <si>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</si>
  <si>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</si>
  <si>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</si>
  <si>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</si>
  <si>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</si>
  <si>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</si>
  <si>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</si>
  <si>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</si>
  <si>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</si>
  <si>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</si>
  <si>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</si>
  <si>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</si>
  <si>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</si>
  <si>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</si>
  <si>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</si>
  <si>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</si>
  <si>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</si>
  <si>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</si>
  <si>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</si>
  <si>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</si>
  <si>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</si>
  <si>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</si>
  <si>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</si>
  <si>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</si>
  <si>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</si>
  <si>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</si>
  <si>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</si>
  <si>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</si>
  <si>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</si>
  <si>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</si>
  <si>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</si>
  <si>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</si>
  <si>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</si>
  <si>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</si>
  <si>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</si>
  <si>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</si>
  <si>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</si>
  <si>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</si>
  <si>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</si>
  <si>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</si>
  <si>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</si>
  <si>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</si>
  <si>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</si>
  <si>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</si>
  <si>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</si>
  <si>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</si>
  <si>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</si>
  <si>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</si>
  <si>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</si>
  <si>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</si>
  <si>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</si>
  <si>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</si>
  <si>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</si>
  <si>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</si>
  <si>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</si>
  <si>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</si>
  <si>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</si>
  <si>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</si>
  <si>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</si>
  <si>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</si>
  <si>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</si>
  <si>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</si>
  <si>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</si>
  <si>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</si>
  <si>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</si>
  <si>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</si>
  <si>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</si>
  <si>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</si>
  <si>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</si>
  <si>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</si>
  <si>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</si>
  <si>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</si>
  <si>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</si>
  <si>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</si>
  <si>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</si>
  <si>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</si>
  <si>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</si>
  <si>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</si>
  <si>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</si>
  <si>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</si>
  <si>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</si>
  <si>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</si>
  <si>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</si>
  <si>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</si>
  <si>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</si>
  <si>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</si>
  <si>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</si>
  <si>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</si>
  <si>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</si>
  <si>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</si>
  <si>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</si>
  <si>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</si>
  <si>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</si>
  <si>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</si>
  <si>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</si>
  <si>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</si>
  <si>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</si>
  <si>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</si>
  <si>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</si>
  <si>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</si>
  <si>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</si>
  <si>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</si>
  <si>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</si>
  <si>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</si>
  <si>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</si>
  <si>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</si>
  <si>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</si>
  <si>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</si>
  <si>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</si>
  <si>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</si>
  <si>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</si>
  <si>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</si>
  <si>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</si>
  <si>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</si>
  <si>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</si>
  <si>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</si>
  <si>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</si>
  <si>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</si>
  <si>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</si>
  <si>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</si>
  <si>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</si>
  <si>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</si>
  <si>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</si>
  <si>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</si>
  <si>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</si>
  <si>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</si>
  <si>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</si>
  <si>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</si>
  <si>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</si>
  <si>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</si>
  <si>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</si>
  <si>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</si>
  <si>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</si>
  <si>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</si>
  <si>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</si>
  <si>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</si>
  <si>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</si>
  <si>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</si>
  <si>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</si>
  <si>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</si>
  <si>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</si>
  <si>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</si>
  <si>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</si>
  <si>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</si>
  <si>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</si>
  <si>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</si>
  <si>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</si>
  <si>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</si>
  <si>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</si>
  <si>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</si>
  <si>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</si>
  <si>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</si>
  <si>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</si>
  <si>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</si>
  <si>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</si>
  <si>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</si>
  <si>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</si>
  <si>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</si>
  <si>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</si>
  <si>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</si>
  <si>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</si>
  <si>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</si>
  <si>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</si>
  <si>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</si>
  <si>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</si>
  <si>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</si>
  <si>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</si>
  <si>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</si>
  <si>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</si>
  <si>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</si>
  <si>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</si>
  <si>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</si>
  <si>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</si>
  <si>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</si>
  <si>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</si>
  <si>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</si>
  <si>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</si>
  <si>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</si>
  <si>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</si>
  <si>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</si>
  <si>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</si>
  <si>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</si>
  <si>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</si>
  <si>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</si>
  <si>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</si>
  <si>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</si>
  <si>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</si>
  <si>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</si>
  <si>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</si>
  <si>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</si>
  <si>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</si>
  <si>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</si>
  <si>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</si>
  <si>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</si>
  <si>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</si>
  <si>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</si>
  <si>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</si>
  <si>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</si>
  <si>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</si>
  <si>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</si>
  <si>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</si>
  <si>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</si>
  <si>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</si>
  <si>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</si>
  <si>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</si>
  <si>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</si>
  <si>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</si>
  <si>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</si>
  <si>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</si>
  <si>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</si>
  <si>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</si>
  <si>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</si>
  <si>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</si>
  <si>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</si>
  <si>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</si>
  <si>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</si>
  <si>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</si>
  <si>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</si>
  <si>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</si>
  <si>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</si>
  <si>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</si>
  <si>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</si>
  <si>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</si>
  <si>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</si>
  <si>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</si>
  <si>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</si>
  <si>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</si>
  <si>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</si>
  <si>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</si>
  <si>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</si>
  <si>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</si>
  <si>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</si>
  <si>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</si>
  <si>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</si>
  <si>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</si>
  <si>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</si>
  <si>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</si>
  <si>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</si>
  <si>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</si>
  <si>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</si>
  <si>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</si>
  <si>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</si>
  <si>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</si>
  <si>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</si>
  <si>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</si>
  <si>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</si>
  <si>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</si>
  <si>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</si>
  <si>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</si>
  <si>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</si>
  <si>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</si>
  <si>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</si>
  <si>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</si>
  <si>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</si>
  <si>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</si>
  <si>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</si>
  <si>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</si>
  <si>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</si>
  <si>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</si>
  <si>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</si>
  <si>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</si>
  <si>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</si>
  <si>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</si>
  <si>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</si>
  <si>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</si>
  <si>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</si>
  <si>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</si>
  <si>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</si>
  <si>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</si>
  <si>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</si>
  <si>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</si>
  <si>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</si>
  <si>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</si>
  <si>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</si>
  <si>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</si>
  <si>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</si>
  <si>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</si>
  <si>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</si>
  <si>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</si>
  <si>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</si>
  <si>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</si>
  <si>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</si>
  <si>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</si>
  <si>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</si>
  <si>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</si>
  <si>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</si>
  <si>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</si>
  <si>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</si>
  <si>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</si>
  <si>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</si>
  <si>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</si>
  <si>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</si>
  <si>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</si>
  <si>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</si>
  <si>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</si>
  <si>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</si>
  <si>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</si>
  <si>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</si>
  <si>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</si>
  <si>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</si>
  <si>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</si>
  <si>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</si>
  <si>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</si>
  <si>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</si>
  <si>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</si>
  <si>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</si>
  <si>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</si>
  <si>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</si>
  <si>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</si>
  <si>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</si>
  <si>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</si>
  <si>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</si>
  <si>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</si>
  <si>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</si>
  <si>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</si>
  <si>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</si>
  <si>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</si>
  <si>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</si>
  <si>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</si>
  <si>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</si>
  <si>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</si>
  <si>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</si>
  <si>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</si>
  <si>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</si>
  <si>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</si>
  <si>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</si>
  <si>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</si>
  <si>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</si>
  <si>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</si>
  <si>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</si>
  <si>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</si>
  <si>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</si>
  <si>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</si>
  <si>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</si>
  <si>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</si>
  <si>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</si>
  <si>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</si>
  <si>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</si>
  <si>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</si>
  <si>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</si>
  <si>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</si>
  <si>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</si>
  <si>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</si>
  <si>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</si>
  <si>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</si>
  <si>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</si>
  <si>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</si>
  <si>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</si>
  <si>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</si>
  <si>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</si>
  <si>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</si>
  <si>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</si>
  <si>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</si>
  <si>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</si>
  <si>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</si>
  <si>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</si>
  <si>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</si>
  <si>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</si>
  <si>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</si>
  <si>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</si>
  <si>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</si>
  <si>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</si>
  <si>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</si>
  <si>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</si>
  <si>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</si>
  <si>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</si>
  <si>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</si>
  <si>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</si>
  <si>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</si>
  <si>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</si>
  <si>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</si>
  <si>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</si>
  <si>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</si>
  <si>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</si>
  <si>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</si>
  <si>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</si>
  <si>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</si>
  <si>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</si>
  <si>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</si>
  <si>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</si>
  <si>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</si>
  <si>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</si>
  <si>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</si>
  <si>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</si>
  <si>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</si>
  <si>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</si>
  <si>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</si>
  <si>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</si>
  <si>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</si>
  <si>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</si>
  <si>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</si>
  <si>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</si>
  <si>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</si>
  <si>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</si>
  <si>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</si>
  <si>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</si>
  <si>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</si>
  <si>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</si>
  <si>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</si>
  <si>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</si>
  <si>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</si>
  <si>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</si>
  <si>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</si>
  <si>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</si>
  <si>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</si>
  <si>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</si>
  <si>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</si>
  <si>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</si>
  <si>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</si>
  <si>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</si>
  <si>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</si>
  <si>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</si>
  <si>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</si>
  <si>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</si>
  <si>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</si>
  <si>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</si>
  <si>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</si>
  <si>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</si>
  <si>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</si>
  <si>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</si>
  <si>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</si>
  <si>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</si>
  <si>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</si>
  <si>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</si>
  <si>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</si>
  <si>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</si>
  <si>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</si>
  <si>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</si>
  <si>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</si>
  <si>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</si>
  <si>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</si>
  <si>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</si>
  <si>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</si>
  <si>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</si>
  <si>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</si>
  <si>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</si>
  <si>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</si>
  <si>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</si>
  <si>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</si>
  <si>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</si>
  <si>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</si>
  <si>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</si>
  <si>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</si>
  <si>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</si>
  <si>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</si>
  <si>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</si>
  <si>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</si>
  <si>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</si>
  <si>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</si>
  <si>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</si>
  <si>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</si>
  <si>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</si>
  <si>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</si>
  <si>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</si>
  <si>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</si>
  <si>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</si>
  <si>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</si>
  <si>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</si>
  <si>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</si>
  <si>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</si>
  <si>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</si>
  <si>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</si>
  <si>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</si>
  <si>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</si>
  <si>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</si>
  <si>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</si>
  <si>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</si>
  <si>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</si>
  <si>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</si>
  <si>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</si>
  <si>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</si>
  <si>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</si>
  <si>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</si>
  <si>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</si>
  <si>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</si>
  <si>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</si>
  <si>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</si>
  <si>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</si>
  <si>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</si>
  <si>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</si>
  <si>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</si>
  <si>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</si>
  <si>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</si>
  <si>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</si>
  <si>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</si>
  <si>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</si>
  <si>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</si>
  <si>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</si>
  <si>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</si>
  <si>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</si>
  <si>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</si>
  <si>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</si>
  <si>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</si>
  <si>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</si>
  <si>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</si>
  <si>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</si>
  <si>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</si>
  <si>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</si>
  <si>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</si>
  <si>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</si>
  <si>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</si>
  <si>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</si>
  <si>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</si>
  <si>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</si>
  <si>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</si>
  <si>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</si>
  <si>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</si>
  <si>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</si>
  <si>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</si>
  <si>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</si>
  <si>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</si>
  <si>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</si>
  <si>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</si>
  <si>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</si>
  <si>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</si>
  <si>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</si>
  <si>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</si>
  <si>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</si>
  <si>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</si>
  <si>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</si>
  <si>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</si>
  <si>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</si>
  <si>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</si>
  <si>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</si>
  <si>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</si>
  <si>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</si>
  <si>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</si>
  <si>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</si>
  <si>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</si>
  <si>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</si>
  <si>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</si>
  <si>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</si>
  <si>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</si>
  <si>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</si>
  <si>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</si>
  <si>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</si>
  <si>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</si>
  <si>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</si>
  <si>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</si>
  <si>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</si>
  <si>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</si>
  <si>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</si>
  <si>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</si>
  <si>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</si>
  <si>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</si>
  <si>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</si>
  <si>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</si>
  <si>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</si>
  <si>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</si>
  <si>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</si>
  <si>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</si>
  <si>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</si>
  <si>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</si>
  <si>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</si>
  <si>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</si>
  <si>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</si>
  <si>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</si>
  <si>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</si>
  <si>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</si>
  <si>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</si>
  <si>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</si>
  <si>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</si>
  <si>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</si>
  <si>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</si>
  <si>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</si>
  <si>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</si>
  <si>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</si>
  <si>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</si>
  <si>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</si>
  <si>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</si>
  <si>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</si>
  <si>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</si>
  <si>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</si>
  <si>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</si>
  <si>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</si>
  <si>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</si>
  <si>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</si>
  <si>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</si>
  <si>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</si>
  <si>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</si>
  <si>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</si>
  <si>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</si>
  <si>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</si>
  <si>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</si>
  <si>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</si>
  <si>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</si>
  <si>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</si>
  <si>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</si>
  <si>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</si>
  <si>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</si>
  <si>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</si>
  <si>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</si>
  <si>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</si>
  <si>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</si>
  <si>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</si>
  <si>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</si>
  <si>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</si>
  <si>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</si>
  <si>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</si>
  <si>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</si>
  <si>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</si>
  <si>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</si>
  <si>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</si>
  <si>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</si>
  <si>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</si>
  <si>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</si>
  <si>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</si>
  <si>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</si>
  <si>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</si>
  <si>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</si>
  <si>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</si>
  <si>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</si>
  <si>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</si>
  <si>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</si>
  <si>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</si>
  <si>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</si>
  <si>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</si>
  <si>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</si>
  <si>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</si>
  <si>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</si>
  <si>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</si>
  <si>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</si>
  <si>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</si>
  <si>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</si>
  <si>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</si>
  <si>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</si>
  <si>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</si>
  <si>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</si>
  <si>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</si>
  <si>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</si>
  <si>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</si>
  <si>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</si>
  <si>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</si>
  <si>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</si>
  <si>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</si>
  <si>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</si>
  <si>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</si>
  <si>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</si>
  <si>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</si>
  <si>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</si>
  <si>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</si>
  <si>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</si>
  <si>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</si>
  <si>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</si>
  <si>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</si>
  <si>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</si>
  <si>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</si>
  <si>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</si>
  <si>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</si>
  <si>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</si>
  <si>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</si>
  <si>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</si>
  <si>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</si>
  <si>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</si>
  <si>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</si>
  <si>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</si>
  <si>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</si>
  <si>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</si>
  <si>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</si>
  <si>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</si>
  <si>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</si>
  <si>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</si>
  <si>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</si>
  <si>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</si>
  <si>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</si>
  <si>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</si>
  <si>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</si>
  <si>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</si>
  <si>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</si>
  <si>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</si>
  <si>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</si>
  <si>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</si>
  <si>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</si>
  <si>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</si>
  <si>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</si>
  <si>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</si>
  <si>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</si>
  <si>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</si>
  <si>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</si>
  <si>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</si>
  <si>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</si>
  <si>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</si>
  <si>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</si>
  <si>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</si>
  <si>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</si>
  <si>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</si>
  <si>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</si>
  <si>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</si>
  <si>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</si>
  <si>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</si>
  <si>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</si>
  <si>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</si>
  <si>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</si>
  <si>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</si>
  <si>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</si>
  <si>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</si>
  <si>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</si>
  <si>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</si>
  <si>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</si>
  <si>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</si>
  <si>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</si>
  <si>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</si>
  <si>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</si>
  <si>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</si>
  <si>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</si>
  <si>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</si>
  <si>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</si>
  <si>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</si>
  <si>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</si>
  <si>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</si>
  <si>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</si>
  <si>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</si>
  <si>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</si>
  <si>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</si>
  <si>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</si>
  <si>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</si>
  <si>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</si>
  <si>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</si>
  <si>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</si>
  <si>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</si>
  <si>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</si>
  <si>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</si>
  <si>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</si>
  <si>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</si>
  <si>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</si>
  <si>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</si>
  <si>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</si>
  <si>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</si>
  <si>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</si>
  <si>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</si>
  <si>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</si>
  <si>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</si>
  <si>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</si>
  <si>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</si>
  <si>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</si>
  <si>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</si>
  <si>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</si>
  <si>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</si>
  <si>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</si>
  <si>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</si>
  <si>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</si>
  <si>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</si>
  <si>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</si>
  <si>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</si>
  <si>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</si>
  <si>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</si>
  <si>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</si>
  <si>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</si>
  <si>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</si>
  <si>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</si>
  <si>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</si>
  <si>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</si>
  <si>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</si>
  <si>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</si>
  <si>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</si>
  <si>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</si>
  <si>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</si>
  <si>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</si>
  <si>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</si>
  <si>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</si>
  <si>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</si>
  <si>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</si>
  <si>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</si>
  <si>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</si>
  <si>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</si>
  <si>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</si>
  <si>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</si>
  <si>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</si>
  <si>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</si>
  <si>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</si>
  <si>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</si>
  <si>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</si>
  <si>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</si>
  <si>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</si>
  <si>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</si>
  <si>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</si>
  <si>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</si>
  <si>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</si>
  <si>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</si>
  <si>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</si>
  <si>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</si>
  <si>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</si>
  <si>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</si>
  <si>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</si>
  <si>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</si>
  <si>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</si>
  <si>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</si>
  <si>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</si>
  <si>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</si>
  <si>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</si>
  <si>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</si>
  <si>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</si>
  <si>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</si>
  <si>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</si>
  <si>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</si>
  <si>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</si>
  <si>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</si>
  <si>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</si>
  <si>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</si>
  <si>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</si>
  <si>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</si>
  <si>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</si>
  <si>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</si>
  <si>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</si>
  <si>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</si>
  <si>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</si>
  <si>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</si>
  <si>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</si>
  <si>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</si>
  <si>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</si>
  <si>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</si>
  <si>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</si>
  <si>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</si>
  <si>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</si>
  <si>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</si>
  <si>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</si>
  <si>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</si>
  <si>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</si>
  <si>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</si>
  <si>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</si>
  <si>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</si>
  <si>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</si>
  <si>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</si>
  <si>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</si>
  <si>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</si>
  <si>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</si>
  <si>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</si>
  <si>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</si>
  <si>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</si>
  <si>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</si>
  <si>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</si>
  <si>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</si>
  <si>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</si>
  <si>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</si>
  <si>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</si>
  <si>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</si>
  <si>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</si>
  <si>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</si>
  <si>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</si>
  <si>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</si>
  <si>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</si>
  <si>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</si>
  <si>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</si>
  <si>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</si>
  <si>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</si>
  <si>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</si>
  <si>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</si>
  <si>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</si>
  <si>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</si>
  <si>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</si>
  <si>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</si>
  <si>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</si>
  <si>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</si>
  <si>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</si>
  <si>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</si>
  <si>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</si>
  <si>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</si>
  <si>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</si>
  <si>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</si>
  <si>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</si>
  <si>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</si>
  <si>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</si>
  <si>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</si>
  <si>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</si>
  <si>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</si>
  <si>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</si>
  <si>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</si>
  <si>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</si>
  <si>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</si>
  <si>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</si>
  <si>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</si>
  <si>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</si>
  <si>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</si>
  <si>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</si>
  <si>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</si>
  <si>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</si>
  <si>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</si>
  <si>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</si>
  <si>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</si>
  <si>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</si>
  <si>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</si>
  <si>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</si>
  <si>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</si>
  <si>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</si>
  <si>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</si>
  <si>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</si>
  <si>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</si>
  <si>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</si>
  <si>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</si>
  <si>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</si>
  <si>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</si>
  <si>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</si>
  <si>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</si>
  <si>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</si>
  <si>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</si>
  <si>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</si>
  <si>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</si>
  <si>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</si>
  <si>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</si>
  <si>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</si>
  <si>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</si>
  <si>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</si>
  <si>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</si>
  <si>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</si>
  <si>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</si>
  <si>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</si>
  <si>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</si>
  <si>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</si>
  <si>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</si>
  <si>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</si>
  <si>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</si>
  <si>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</si>
  <si>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</si>
  <si>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</si>
  <si>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</si>
  <si>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</si>
  <si>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</si>
  <si>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</si>
  <si>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</si>
  <si>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</si>
  <si>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</si>
  <si>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</si>
  <si>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</si>
  <si>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</si>
  <si>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</si>
  <si>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</si>
  <si>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</si>
  <si>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</si>
  <si>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</si>
  <si>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</si>
  <si>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</si>
  <si>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</si>
  <si>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</si>
  <si>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</si>
  <si>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</si>
  <si>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</si>
  <si>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</si>
  <si>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</si>
  <si>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</si>
  <si>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</si>
  <si>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</si>
  <si>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</si>
  <si>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</si>
  <si>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</si>
  <si>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</si>
  <si>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</si>
  <si>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</si>
  <si>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</si>
  <si>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</si>
  <si>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</si>
  <si>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</si>
  <si>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</si>
  <si>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</si>
  <si>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</si>
  <si>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</si>
  <si>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</si>
  <si>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</si>
  <si>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</si>
  <si>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</si>
  <si>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</si>
  <si>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</si>
  <si>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</si>
  <si>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</si>
  <si>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</si>
  <si>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</si>
  <si>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</si>
  <si>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</si>
  <si>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</si>
  <si>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</si>
  <si>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</si>
  <si>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</si>
  <si>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</si>
  <si>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</si>
  <si>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</si>
  <si>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</si>
  <si>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</si>
  <si>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</si>
  <si>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</si>
  <si>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</si>
  <si>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</si>
  <si>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</si>
  <si>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</si>
  <si>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</si>
  <si>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</si>
  <si>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</si>
  <si>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</si>
  <si>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</si>
  <si>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</si>
  <si>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</si>
  <si>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</si>
  <si>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</si>
  <si>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</si>
  <si>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</si>
  <si>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</si>
  <si>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</si>
  <si>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</si>
  <si>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</si>
  <si>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</si>
  <si>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</si>
  <si>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</si>
  <si>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</si>
  <si>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</si>
  <si>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</si>
  <si>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</si>
  <si>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</si>
  <si>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</si>
  <si>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</si>
  <si>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</si>
  <si>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</si>
  <si>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</si>
  <si>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</si>
  <si>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</si>
  <si>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</si>
  <si>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</si>
  <si>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</si>
  <si>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</si>
  <si>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</si>
  <si>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</si>
  <si>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</si>
  <si>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</si>
  <si>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</si>
  <si>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</si>
  <si>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</si>
  <si>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</si>
  <si>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</si>
  <si>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</si>
  <si>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</si>
  <si>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</si>
  <si>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</si>
  <si>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</si>
  <si>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</si>
  <si>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</si>
  <si>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</si>
  <si>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</si>
  <si>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</si>
  <si>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</si>
  <si>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</si>
  <si>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</si>
  <si>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</si>
  <si>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</si>
  <si>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</si>
  <si>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</si>
  <si>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</si>
  <si>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</si>
  <si>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</si>
  <si>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</si>
  <si>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</si>
  <si>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</si>
  <si>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</si>
  <si>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</si>
  <si>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</si>
  <si>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</si>
  <si>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</si>
  <si>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</si>
  <si>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</si>
  <si>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</si>
  <si>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</si>
  <si>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</si>
  <si>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</si>
  <si>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</si>
  <si>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</si>
  <si>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</si>
  <si>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</si>
  <si>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</si>
  <si>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</si>
  <si>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</si>
  <si>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</si>
  <si>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</si>
  <si>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</si>
  <si>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</si>
  <si>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</si>
  <si>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</si>
  <si>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</si>
  <si>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</si>
  <si>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</si>
  <si>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</si>
  <si>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</si>
  <si>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</si>
  <si>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</si>
  <si>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</si>
  <si>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</si>
  <si>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</si>
  <si>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</si>
  <si>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</si>
  <si>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</si>
  <si>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</si>
  <si>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</si>
  <si>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</si>
  <si>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</si>
  <si>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</si>
  <si>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</si>
  <si>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</si>
  <si>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</si>
  <si>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</si>
  <si>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</si>
  <si>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</si>
  <si>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</si>
  <si>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</si>
  <si>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</si>
  <si>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</si>
  <si>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</si>
  <si>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</si>
  <si>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</si>
  <si>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</si>
  <si>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</si>
  <si>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</si>
  <si>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</si>
  <si>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</si>
  <si>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</si>
  <si>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</si>
  <si>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</si>
  <si>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</si>
  <si>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</si>
  <si>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</si>
  <si>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</si>
  <si>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</si>
  <si>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</si>
  <si>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</si>
  <si>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</si>
  <si>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</si>
  <si>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</si>
  <si>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</si>
  <si>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</si>
  <si>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</si>
  <si>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</si>
  <si>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</si>
  <si>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</si>
  <si>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</si>
  <si>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</si>
  <si>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</si>
  <si>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</si>
  <si>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</si>
  <si>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</si>
  <si>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</si>
  <si>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</si>
  <si>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</si>
  <si>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</si>
  <si>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</si>
  <si>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</si>
  <si>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</si>
  <si>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</si>
  <si>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</si>
  <si>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</si>
  <si>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</si>
  <si>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</si>
  <si>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</si>
  <si>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</si>
  <si>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</si>
  <si>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</si>
  <si>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</si>
  <si>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</si>
  <si>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</si>
  <si>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</si>
  <si>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</si>
  <si>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</si>
  <si>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</si>
  <si>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</si>
  <si>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</si>
  <si>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</si>
  <si>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</si>
  <si>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</si>
  <si>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</si>
  <si>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</si>
  <si>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</si>
  <si>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</si>
  <si>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</si>
  <si>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</si>
  <si>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</si>
  <si>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</si>
  <si>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</si>
  <si>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</si>
  <si>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</si>
  <si>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</si>
  <si>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</si>
  <si>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</si>
  <si>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</si>
  <si>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</si>
  <si>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</si>
  <si>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</si>
  <si>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</si>
  <si>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</si>
  <si>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</si>
  <si>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</si>
  <si>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</si>
  <si>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</si>
  <si>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</si>
  <si>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</si>
  <si>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</si>
  <si>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</si>
  <si>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</si>
  <si>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</si>
  <si>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</si>
  <si>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</si>
  <si>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</si>
  <si>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</si>
  <si>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</si>
  <si>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</si>
  <si>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</si>
  <si>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</si>
  <si>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</si>
  <si>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</si>
  <si>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</si>
  <si>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</si>
  <si>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</si>
  <si>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</si>
  <si>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</si>
  <si>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</si>
  <si>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</si>
  <si>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</si>
  <si>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</si>
  <si>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</si>
  <si>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</si>
  <si>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</si>
  <si>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</si>
  <si>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</si>
  <si>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</si>
  <si>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</si>
  <si>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</si>
  <si>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</si>
  <si>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</si>
  <si>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</si>
  <si>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</si>
  <si>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</si>
  <si>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</si>
  <si>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</si>
  <si>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</si>
  <si>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</si>
  <si>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</si>
  <si>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</si>
  <si>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</si>
  <si>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</si>
  <si>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</si>
  <si>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</si>
  <si>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</si>
  <si>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</si>
  <si>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</si>
  <si>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</si>
  <si>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</si>
  <si>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</si>
  <si>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</si>
  <si>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</si>
  <si>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</si>
  <si>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</si>
  <si>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</si>
  <si>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</si>
  <si>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</si>
  <si>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</si>
  <si>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</si>
  <si>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</si>
  <si>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</si>
  <si>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</si>
  <si>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</si>
  <si>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</si>
  <si>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</si>
  <si>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</si>
  <si>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</si>
  <si>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</si>
  <si>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</si>
  <si>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</si>
  <si>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</si>
  <si>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</si>
  <si>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</si>
  <si>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</si>
  <si>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</si>
  <si>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</si>
  <si>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</si>
  <si>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</si>
  <si>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</si>
  <si>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</si>
  <si>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</si>
  <si>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</si>
  <si>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</si>
  <si>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</si>
  <si>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</si>
  <si>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</si>
  <si>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</si>
  <si>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</si>
  <si>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</si>
  <si>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</si>
  <si>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</si>
  <si>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</si>
  <si>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</si>
  <si>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</si>
  <si>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</si>
  <si>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</si>
  <si>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</si>
  <si>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</si>
  <si>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</si>
  <si>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</si>
  <si>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</si>
  <si>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</si>
  <si>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</si>
  <si>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</si>
  <si>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</si>
  <si>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</si>
  <si>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</si>
  <si>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</si>
  <si>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</si>
  <si>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</si>
  <si>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</si>
  <si>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</si>
  <si>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</si>
  <si>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</si>
  <si>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</si>
  <si>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</si>
  <si>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</si>
  <si>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</si>
  <si>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</si>
  <si>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</si>
  <si>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</si>
  <si>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</si>
  <si>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</si>
  <si>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</si>
  <si>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</si>
  <si>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</si>
  <si>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</si>
  <si>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</si>
  <si>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</si>
  <si>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</si>
  <si>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</si>
  <si>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</si>
  <si>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</si>
  <si>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</si>
  <si>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</si>
  <si>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</si>
  <si>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</si>
  <si>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</si>
  <si>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</si>
  <si>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</si>
  <si>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</si>
  <si>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</si>
  <si>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</si>
  <si>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</si>
  <si>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</si>
  <si>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</si>
  <si>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</si>
  <si>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</si>
  <si>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</si>
  <si>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</si>
  <si>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</si>
  <si>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</si>
  <si>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</si>
  <si>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</si>
  <si>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</si>
  <si>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</si>
  <si>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</si>
  <si>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</si>
  <si>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</si>
  <si>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</si>
  <si>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</si>
  <si>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</si>
  <si>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</si>
  <si>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</si>
  <si>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</si>
  <si>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</si>
  <si>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</si>
  <si>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</si>
  <si>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</si>
  <si>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</si>
  <si>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</si>
  <si>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</si>
  <si>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</si>
  <si>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</si>
  <si>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</si>
  <si>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</si>
  <si>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</si>
  <si>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</si>
  <si>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</si>
  <si>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</si>
  <si>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</si>
  <si>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</si>
  <si>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</si>
  <si>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</si>
  <si>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</si>
  <si>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</si>
  <si>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</si>
  <si>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</si>
  <si>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</si>
  <si>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</si>
  <si>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</si>
  <si>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</si>
  <si>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</si>
  <si>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</si>
  <si>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</si>
  <si>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</si>
  <si>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</si>
  <si>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</si>
  <si>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</si>
  <si>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</si>
  <si>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</si>
  <si>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</si>
  <si>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</si>
  <si>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</si>
  <si>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</si>
  <si>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</si>
  <si>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</si>
  <si>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</si>
  <si>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</si>
  <si>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</si>
  <si>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</si>
  <si>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</si>
  <si>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</si>
  <si>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</si>
  <si>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</si>
  <si>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</si>
  <si>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</si>
  <si>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</si>
  <si>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</si>
  <si>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</si>
  <si>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</si>
  <si>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</si>
  <si>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</si>
  <si>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</si>
  <si>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</si>
  <si>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</si>
  <si>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</si>
  <si>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</si>
  <si>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</si>
  <si>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</si>
  <si>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</si>
  <si>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</si>
  <si>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</si>
  <si>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</si>
  <si>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</si>
  <si>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</si>
  <si>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</si>
  <si>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</si>
  <si>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</si>
  <si>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</si>
  <si>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</si>
  <si>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</si>
  <si>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</si>
  <si>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</si>
  <si>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</si>
  <si>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</si>
  <si>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</si>
  <si>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</si>
  <si>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</si>
  <si>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</si>
  <si>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</si>
  <si>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</si>
  <si>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</si>
  <si>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</si>
  <si>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</si>
  <si>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</si>
  <si>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</si>
  <si>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</si>
  <si>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</si>
  <si>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</si>
  <si>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</si>
  <si>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</si>
  <si>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</si>
  <si>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</si>
  <si>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</si>
  <si>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</si>
  <si>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</si>
  <si>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</si>
  <si>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</si>
  <si>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</si>
  <si>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</si>
  <si>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</si>
  <si>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</si>
  <si>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</si>
  <si>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</si>
  <si>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</si>
  <si>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</si>
  <si>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</si>
  <si>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</si>
  <si>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</si>
  <si>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</si>
  <si>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</si>
  <si>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</si>
  <si>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</si>
  <si>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</si>
  <si>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</si>
  <si>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</si>
  <si>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</si>
  <si>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</si>
  <si>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</si>
  <si>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</si>
  <si>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</si>
  <si>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</si>
  <si>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</si>
  <si>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</si>
  <si>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</si>
  <si>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</si>
  <si>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</si>
  <si>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</si>
  <si>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</si>
  <si>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</si>
  <si>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</si>
  <si>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</si>
  <si>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</si>
  <si>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</si>
  <si>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</si>
  <si>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</si>
  <si>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</si>
  <si>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</si>
  <si>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</si>
  <si>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</si>
  <si>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</si>
  <si>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</si>
  <si>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</si>
  <si>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</si>
  <si>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</si>
  <si>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</si>
  <si>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</si>
  <si>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</si>
  <si>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</si>
  <si>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</si>
  <si>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</si>
  <si>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</si>
  <si>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</si>
  <si>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</si>
  <si>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</si>
  <si>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</si>
  <si>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</si>
  <si>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</si>
  <si>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</si>
  <si>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</si>
  <si>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</si>
  <si>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</si>
  <si>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</si>
  <si>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</si>
  <si>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</si>
  <si>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</si>
  <si>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</si>
  <si>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</si>
  <si>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</si>
  <si>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</si>
  <si>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</si>
  <si>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</si>
  <si>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</si>
  <si>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</si>
  <si>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</si>
  <si>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</si>
  <si>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</si>
  <si>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</si>
  <si>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</si>
  <si>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</si>
  <si>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</si>
  <si>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</si>
  <si>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</si>
  <si>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</si>
  <si>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</si>
  <si>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</si>
  <si>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</si>
  <si>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</si>
  <si>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</si>
  <si>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</si>
  <si>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</si>
  <si>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</si>
  <si>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</si>
  <si>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</si>
  <si>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</si>
  <si>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</si>
  <si>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</si>
  <si>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</si>
  <si>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</si>
  <si>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</si>
  <si>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</si>
  <si>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</si>
  <si>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</si>
  <si>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</si>
  <si>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</si>
  <si>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</si>
  <si>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</si>
  <si>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</si>
  <si>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</si>
  <si>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</si>
  <si>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</si>
  <si>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</si>
  <si>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</si>
  <si>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</si>
  <si>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</si>
  <si>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</si>
  <si>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</si>
  <si>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</si>
  <si>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</si>
  <si>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</si>
  <si>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</si>
  <si>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</si>
  <si>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</si>
  <si>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</si>
  <si>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</si>
  <si>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</si>
  <si>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</si>
  <si>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</si>
  <si>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</si>
  <si>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</si>
  <si>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</si>
  <si>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</si>
  <si>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</si>
  <si>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</si>
  <si>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</si>
  <si>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</si>
  <si>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</si>
  <si>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</si>
  <si>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</si>
  <si>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</si>
  <si>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</si>
  <si>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</si>
  <si>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</si>
  <si>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</si>
  <si>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</si>
  <si>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</si>
  <si>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</si>
  <si>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</si>
  <si>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</si>
  <si>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</si>
  <si>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</si>
  <si>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</si>
  <si>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</si>
  <si>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</si>
  <si>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</si>
  <si>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</si>
  <si>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</si>
  <si>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</si>
  <si>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</si>
  <si>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</si>
  <si>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</si>
  <si>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</si>
  <si>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</si>
  <si>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</si>
  <si>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</si>
  <si>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</si>
  <si>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</si>
  <si>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</si>
  <si>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</si>
  <si>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</si>
  <si>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</si>
  <si>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</si>
  <si>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</si>
  <si>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</si>
  <si>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</si>
  <si>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</si>
  <si>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</si>
  <si>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</si>
  <si>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</si>
  <si>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</si>
  <si>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</si>
  <si>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</si>
  <si>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</si>
  <si>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</si>
  <si>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</si>
  <si>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</si>
  <si>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</si>
  <si>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</si>
  <si>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</si>
  <si>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</si>
  <si>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</si>
  <si>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</si>
  <si>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</si>
  <si>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</si>
  <si>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</si>
  <si>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</si>
  <si>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</si>
  <si>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</si>
  <si>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</si>
  <si>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</si>
  <si>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</si>
  <si>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</si>
  <si>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</si>
  <si>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</si>
  <si>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</si>
  <si>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</si>
  <si>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</si>
  <si>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</si>
  <si>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</si>
  <si>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</si>
  <si>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</si>
  <si>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</si>
  <si>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</si>
  <si>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</si>
  <si>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</si>
  <si>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</si>
  <si>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</si>
  <si>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</si>
  <si>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</si>
  <si>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</si>
  <si>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</si>
  <si>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</si>
  <si>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</si>
  <si>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</si>
  <si>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</si>
  <si>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</si>
  <si>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</si>
  <si>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</si>
  <si>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</si>
  <si>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</si>
  <si>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</si>
  <si>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</si>
  <si>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</si>
  <si>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</si>
  <si>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</si>
  <si>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</si>
  <si>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</si>
  <si>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</si>
  <si>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</si>
  <si>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</si>
  <si>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</si>
  <si>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</si>
  <si>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</si>
  <si>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</si>
  <si>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</si>
  <si>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</si>
  <si>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</si>
  <si>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</si>
  <si>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</si>
  <si>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</si>
  <si>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</si>
  <si>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</si>
  <si>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</si>
  <si>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</si>
  <si>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</si>
  <si>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</si>
  <si>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</si>
  <si>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</si>
  <si>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</si>
  <si>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</si>
  <si>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</si>
  <si>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</si>
  <si>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</si>
  <si>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</si>
  <si>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</si>
  <si>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</si>
  <si>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</si>
  <si>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</si>
  <si>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</si>
  <si>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</si>
  <si>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</si>
  <si>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</si>
  <si>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</si>
  <si>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</si>
  <si>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</si>
  <si>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</si>
  <si>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</si>
  <si>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</si>
  <si>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</si>
  <si>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</si>
  <si>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</si>
  <si>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</si>
  <si>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</si>
  <si>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</si>
  <si>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</si>
  <si>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</si>
  <si>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</si>
  <si>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</si>
  <si>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</si>
  <si>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</si>
  <si>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</si>
  <si>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</si>
  <si>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</si>
  <si>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</si>
  <si>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</si>
  <si>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</si>
  <si>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</si>
  <si>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</si>
  <si>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</si>
  <si>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</si>
  <si>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</si>
  <si>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</si>
  <si>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</si>
  <si>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</si>
  <si>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</si>
  <si>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</si>
  <si>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</si>
  <si>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</si>
  <si>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</si>
  <si>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</si>
  <si>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</si>
  <si>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</si>
  <si>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</si>
  <si>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</si>
  <si>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</si>
  <si>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</si>
  <si>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</si>
  <si>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</si>
  <si>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</si>
  <si>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</si>
  <si>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</si>
  <si>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</si>
  <si>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</si>
  <si>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</si>
  <si>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</si>
  <si>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</si>
  <si>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</si>
  <si>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</si>
  <si>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</si>
  <si>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</si>
  <si>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</si>
  <si>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</si>
  <si>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</si>
  <si>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</si>
  <si>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</si>
  <si>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</si>
  <si>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</si>
  <si>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</si>
  <si>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</si>
  <si>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</si>
  <si>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</si>
  <si>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</si>
  <si>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</si>
  <si>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</si>
  <si>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</si>
  <si>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</si>
  <si>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</si>
  <si>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</si>
  <si>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</si>
  <si>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</si>
  <si>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</si>
  <si>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</si>
  <si>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</si>
  <si>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</si>
  <si>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</si>
  <si>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</si>
  <si>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</si>
  <si>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</si>
  <si>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</si>
  <si>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</si>
  <si>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</si>
  <si>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</si>
  <si>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</si>
  <si>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</si>
  <si>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</si>
  <si>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</si>
  <si>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</si>
  <si>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</si>
  <si>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</si>
  <si>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</si>
  <si>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</si>
  <si>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</si>
  <si>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</si>
  <si>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</si>
  <si>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</si>
  <si>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</si>
  <si>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</si>
  <si>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</si>
  <si>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</si>
  <si>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</si>
  <si>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</si>
  <si>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</si>
  <si>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</si>
  <si>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</si>
  <si>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</si>
  <si>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</si>
  <si>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</si>
  <si>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</si>
  <si>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</si>
  <si>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</si>
  <si>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</si>
  <si>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</si>
  <si>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</si>
  <si>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</si>
  <si>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</si>
  <si>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</si>
  <si>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</si>
  <si>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</si>
  <si>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</si>
  <si>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</si>
  <si>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</si>
  <si>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</si>
  <si>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</si>
  <si>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</si>
  <si>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</si>
  <si>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</si>
  <si>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</si>
  <si>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</si>
  <si>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</si>
  <si>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</si>
  <si>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</si>
  <si>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</si>
  <si>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</si>
  <si>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</si>
  <si>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</si>
  <si>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</si>
  <si>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</si>
  <si>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</si>
  <si>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</si>
  <si>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</si>
  <si>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</si>
  <si>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</si>
  <si>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</si>
  <si>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</si>
  <si>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</si>
  <si>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</si>
  <si>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</si>
  <si>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</si>
  <si>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</si>
  <si>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</si>
  <si>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</si>
  <si>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</si>
  <si>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</si>
  <si>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</si>
  <si>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</si>
  <si>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</si>
  <si>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</si>
  <si>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</si>
  <si>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</si>
  <si>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</si>
  <si>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</si>
  <si>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</si>
  <si>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</si>
  <si>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</si>
  <si>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</si>
  <si>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</si>
  <si>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</si>
  <si>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</si>
  <si>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</si>
  <si>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</si>
  <si>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</si>
  <si>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</si>
  <si>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</si>
  <si>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</si>
  <si>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</si>
  <si>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</si>
  <si>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</si>
  <si>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</si>
  <si>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</si>
  <si>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</si>
  <si>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</si>
  <si>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</si>
  <si>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</si>
  <si>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</si>
  <si>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</si>
  <si>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</si>
  <si>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</si>
  <si>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</si>
  <si>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</si>
  <si>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</si>
  <si>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</si>
  <si>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</si>
  <si>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</si>
  <si>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</si>
  <si>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</si>
  <si>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</si>
  <si>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</si>
  <si>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</si>
  <si>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</si>
  <si>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</si>
  <si>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</si>
  <si>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</si>
  <si>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</si>
  <si>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</si>
  <si>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</si>
  <si>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</si>
  <si>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</si>
  <si>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</si>
  <si>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</si>
  <si>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</si>
  <si>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</si>
  <si>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</si>
  <si>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</si>
  <si>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</si>
  <si>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</si>
  <si>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</si>
  <si>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</si>
  <si>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</si>
  <si>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</si>
  <si>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</si>
  <si>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</si>
  <si>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</si>
  <si>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</si>
  <si>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</si>
  <si>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</si>
  <si>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</si>
  <si>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</si>
  <si>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</si>
  <si>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</si>
  <si>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</si>
  <si>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</si>
  <si>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</si>
  <si>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</si>
  <si>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</si>
  <si>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</si>
  <si>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</si>
  <si>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</si>
  <si>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</si>
  <si>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</si>
  <si>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</si>
  <si>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</si>
  <si>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</si>
  <si>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</si>
  <si>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</si>
  <si>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</si>
  <si>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</si>
  <si>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</si>
  <si>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</si>
  <si>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</si>
  <si>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</si>
  <si>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</si>
  <si>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</si>
  <si>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</si>
  <si>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</si>
  <si>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</si>
  <si>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</si>
  <si>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</si>
  <si>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</si>
  <si>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</si>
  <si>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</si>
  <si>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</si>
  <si>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</si>
  <si>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</si>
  <si>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</si>
  <si>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</si>
  <si>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</si>
  <si>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</si>
  <si>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</si>
  <si>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</si>
  <si>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</si>
  <si>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</si>
  <si>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</si>
  <si>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</si>
  <si>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</si>
  <si>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</si>
  <si>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</si>
  <si>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</si>
  <si>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</si>
  <si>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</si>
  <si>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</si>
  <si>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</si>
  <si>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</si>
  <si>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</si>
  <si>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</si>
  <si>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</si>
  <si>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</si>
  <si>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</si>
  <si>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</si>
  <si>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</si>
  <si>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</si>
  <si>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</si>
  <si>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</si>
  <si>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</si>
  <si>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</si>
  <si>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</si>
  <si>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</si>
  <si>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</si>
  <si>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</si>
  <si>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</si>
  <si>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</si>
  <si>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</si>
  <si>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</si>
  <si>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</si>
  <si>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</si>
  <si>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</si>
  <si>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</si>
  <si>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</si>
  <si>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</si>
  <si>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</si>
  <si>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</si>
  <si>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</si>
  <si>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</si>
  <si>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</si>
  <si>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</si>
  <si>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</si>
  <si>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</si>
  <si>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</si>
  <si>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</si>
  <si>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</si>
  <si>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</si>
  <si>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</si>
  <si>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</si>
  <si>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</si>
  <si>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</si>
  <si>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</si>
  <si>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</si>
  <si>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</si>
  <si>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</si>
  <si>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</si>
  <si>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</si>
  <si>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</si>
  <si>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</si>
  <si>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</si>
  <si>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</si>
  <si>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</si>
  <si>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</si>
  <si>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</si>
  <si>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</si>
  <si>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</si>
  <si>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</si>
  <si>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</si>
  <si>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</si>
  <si>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</si>
  <si>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</si>
  <si>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</si>
  <si>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</si>
  <si>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</si>
  <si>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</si>
  <si>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</si>
  <si>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</si>
  <si>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</si>
  <si>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</si>
  <si>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</si>
  <si>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</si>
  <si>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</si>
  <si>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</si>
  <si>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</si>
  <si>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</si>
  <si>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</si>
  <si>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</si>
  <si>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</si>
  <si>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</si>
  <si>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</si>
  <si>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</si>
  <si>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</si>
  <si>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</si>
  <si>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</si>
  <si>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</si>
  <si>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</si>
  <si>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</si>
  <si>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</si>
  <si>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</si>
  <si>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</si>
  <si>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</si>
  <si>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</si>
  <si>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</si>
  <si>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</si>
  <si>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</si>
  <si>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</si>
  <si>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</si>
  <si>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</si>
  <si>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</si>
  <si>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</si>
  <si>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</si>
  <si>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</si>
  <si>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</si>
  <si>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</si>
  <si>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</si>
  <si>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</si>
  <si>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</si>
  <si>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</si>
  <si>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</si>
  <si>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</si>
  <si>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</si>
  <si>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</si>
  <si>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</si>
  <si>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</si>
  <si>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</si>
  <si>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</si>
  <si>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</si>
  <si>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</si>
  <si>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</si>
  <si>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</si>
  <si>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</si>
  <si>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</si>
  <si>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</si>
  <si>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</si>
  <si>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</si>
  <si>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</si>
  <si>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</si>
  <si>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</si>
  <si>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</si>
  <si>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</si>
  <si>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</si>
  <si>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</si>
  <si>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</si>
  <si>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</si>
  <si>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</si>
  <si>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</si>
  <si>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</si>
  <si>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</si>
  <si>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</si>
  <si>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</si>
  <si>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</si>
  <si>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</si>
  <si>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</si>
  <si>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</si>
  <si>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</si>
  <si>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</si>
  <si>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</si>
  <si>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</si>
  <si>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</si>
  <si>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</si>
  <si>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</si>
  <si>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</si>
  <si>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</si>
  <si>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</si>
  <si>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</si>
  <si>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</si>
  <si>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</si>
  <si>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</si>
  <si>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</si>
  <si>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</si>
  <si>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</si>
  <si>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</si>
  <si>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</si>
  <si>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</si>
  <si>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</si>
  <si>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</si>
  <si>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</si>
  <si>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</si>
  <si>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</si>
  <si>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</si>
  <si>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</si>
  <si>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</si>
  <si>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</si>
  <si>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</si>
  <si>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</si>
  <si>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</si>
  <si>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</si>
  <si>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</si>
  <si>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</si>
  <si>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</si>
  <si>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</si>
  <si>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</si>
  <si>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</si>
  <si>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</si>
  <si>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</si>
  <si>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</si>
  <si>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</si>
  <si>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</si>
  <si>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</si>
  <si>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</si>
  <si>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</si>
  <si>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</si>
  <si>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</si>
  <si>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</si>
  <si>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</si>
  <si>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</si>
  <si>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</si>
  <si>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</si>
  <si>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</si>
  <si>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</si>
  <si>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</si>
  <si>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</si>
  <si>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</si>
  <si>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</si>
  <si>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</si>
  <si>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</si>
  <si>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</si>
  <si>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</si>
  <si>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</si>
  <si>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</si>
  <si>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</si>
  <si>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</si>
  <si>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</si>
  <si>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</si>
  <si>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</si>
  <si>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</si>
  <si>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</si>
  <si>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</si>
  <si>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</si>
  <si>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</si>
  <si>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</si>
  <si>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</si>
  <si>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</si>
  <si>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</si>
  <si>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</si>
  <si>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</si>
  <si>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</si>
  <si>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</si>
  <si>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</si>
  <si>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</si>
  <si>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</si>
  <si>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</si>
  <si>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</si>
  <si>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</si>
  <si>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</si>
  <si>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</si>
  <si>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</si>
  <si>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</si>
  <si>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</si>
  <si>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</si>
  <si>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</si>
  <si>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</si>
  <si>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</si>
  <si>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</si>
  <si>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</si>
  <si>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</si>
  <si>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</si>
  <si>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</si>
  <si>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</si>
  <si>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</si>
  <si>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</si>
  <si>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</si>
  <si>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</si>
  <si>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</si>
  <si>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</si>
  <si>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</si>
  <si>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</si>
  <si>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</si>
  <si>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</si>
  <si>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</si>
  <si>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</si>
  <si>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</si>
  <si>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</si>
  <si>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</si>
  <si>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</si>
  <si>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</si>
  <si>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</si>
  <si>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</si>
  <si>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</si>
  <si>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</si>
  <si>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</si>
  <si>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</si>
  <si>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</si>
  <si>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</si>
  <si>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</si>
  <si>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</si>
  <si>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</si>
  <si>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</si>
  <si>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</si>
  <si>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</si>
  <si>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</si>
  <si>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</si>
  <si>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</si>
  <si>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</si>
  <si>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</si>
  <si>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</si>
  <si>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</si>
  <si>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</si>
  <si>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</si>
  <si>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</si>
  <si>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</si>
  <si>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</si>
  <si>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</si>
  <si>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</si>
  <si>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</si>
  <si>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</si>
  <si>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</si>
  <si>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</si>
  <si>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</si>
  <si>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</si>
  <si>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</si>
  <si>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</si>
  <si>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</si>
  <si>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</si>
  <si>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</si>
  <si>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</si>
  <si>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</si>
  <si>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</si>
  <si>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</si>
  <si>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</si>
  <si>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</si>
  <si>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</si>
  <si>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</si>
  <si>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</si>
  <si>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</si>
  <si>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</si>
  <si>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</si>
  <si>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</si>
  <si>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</si>
  <si>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</si>
  <si>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</si>
  <si>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</si>
  <si>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</si>
  <si>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</si>
  <si>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</si>
  <si>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</si>
  <si>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</si>
  <si>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</si>
  <si>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</si>
  <si>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</si>
  <si>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</si>
  <si>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</si>
  <si>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</si>
  <si>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</si>
  <si>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</si>
  <si>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</si>
  <si>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</si>
  <si>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</si>
  <si>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</si>
  <si>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</si>
  <si>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</si>
  <si>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</si>
  <si>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</si>
  <si>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</si>
  <si>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</si>
  <si>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</si>
  <si>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</si>
  <si>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</si>
  <si>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</si>
  <si>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</si>
  <si>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</si>
  <si>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</si>
  <si>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</si>
  <si>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</si>
  <si>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</si>
  <si>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</si>
  <si>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</si>
  <si>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</si>
  <si>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</si>
  <si>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</si>
  <si>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</si>
  <si>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</si>
  <si>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</si>
  <si>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</si>
  <si>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</si>
  <si>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</si>
  <si>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</si>
  <si>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</si>
  <si>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</si>
  <si>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</si>
  <si>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</si>
  <si>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</si>
  <si>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</si>
  <si>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</si>
  <si>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</si>
  <si>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</si>
  <si>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</si>
  <si>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</si>
  <si>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</si>
  <si>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</si>
  <si>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</si>
  <si>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</si>
  <si>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</si>
  <si>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</si>
  <si>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</si>
  <si>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</si>
  <si>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</si>
  <si>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</si>
  <si>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</si>
  <si>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</si>
  <si>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</si>
  <si>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</si>
  <si>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</si>
  <si>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</si>
  <si>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</si>
  <si>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</si>
  <si>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</si>
  <si>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</si>
  <si>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</si>
  <si>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</si>
  <si>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</si>
  <si>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</si>
  <si>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</si>
  <si>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</si>
  <si>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</si>
  <si>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</si>
  <si>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</si>
  <si>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</si>
  <si>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</si>
  <si>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</si>
  <si>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</si>
  <si>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</si>
  <si>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</si>
  <si>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</si>
  <si>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</si>
  <si>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</si>
  <si>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</si>
  <si>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</si>
  <si>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</si>
  <si>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</si>
  <si>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</si>
  <si>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</si>
  <si>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</si>
  <si>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</si>
  <si>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</si>
  <si>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</si>
  <si>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</si>
  <si>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</si>
  <si>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</si>
  <si>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</si>
  <si>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</si>
  <si>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</si>
  <si>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</si>
  <si>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</si>
  <si>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</si>
  <si>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</si>
  <si>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</si>
  <si>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</si>
  <si>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</si>
  <si>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</si>
  <si>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</si>
  <si>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</si>
  <si>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</si>
  <si>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</si>
  <si>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</si>
  <si>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</si>
  <si>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</si>
  <si>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</si>
  <si>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</si>
  <si>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</si>
  <si>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</si>
  <si>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</si>
  <si>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</si>
  <si>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</si>
  <si>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</si>
  <si>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</si>
  <si>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</si>
  <si>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</si>
  <si>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</si>
  <si>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</si>
  <si>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</si>
  <si>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</si>
  <si>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</si>
  <si>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</si>
  <si>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</si>
  <si>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</si>
  <si>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</si>
  <si>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</si>
  <si>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</si>
  <si>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</si>
  <si>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</si>
  <si>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</si>
  <si>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</si>
  <si>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</si>
  <si>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</si>
  <si>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</si>
  <si>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</si>
  <si>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</si>
  <si>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</si>
  <si>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</si>
  <si>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</si>
  <si>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</si>
  <si>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</si>
  <si>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</si>
  <si>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</si>
  <si>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</si>
  <si>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</si>
  <si>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</si>
  <si>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</si>
  <si>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</si>
  <si>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</si>
  <si>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</si>
  <si>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</si>
  <si>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</si>
  <si>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</si>
  <si>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</si>
  <si>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</si>
  <si>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</si>
  <si>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</si>
  <si>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</si>
  <si>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</si>
  <si>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</si>
  <si>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</si>
  <si>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</si>
  <si>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</si>
  <si>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</si>
  <si>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</si>
  <si>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</si>
  <si>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</si>
  <si>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</si>
  <si>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</si>
  <si>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</si>
  <si>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</si>
  <si>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</si>
  <si>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</si>
  <si>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</si>
  <si>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</si>
  <si>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</si>
  <si>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</si>
  <si>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</si>
  <si>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</si>
  <si>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</si>
  <si>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</si>
  <si>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</si>
  <si>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</si>
  <si>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</si>
  <si>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</si>
  <si>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</si>
  <si>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</si>
  <si>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</si>
  <si>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</si>
  <si>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</si>
  <si>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</si>
  <si>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</si>
  <si>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</si>
  <si>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</si>
  <si>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</si>
  <si>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</si>
  <si>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</si>
  <si>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</si>
  <si>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</si>
  <si>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</si>
  <si>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</si>
  <si>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</si>
  <si>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</si>
  <si>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</si>
  <si>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</si>
  <si>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</si>
  <si>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</si>
  <si>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</si>
  <si>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</si>
  <si>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</si>
  <si>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</si>
  <si>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</si>
  <si>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</si>
  <si>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</si>
  <si>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</si>
  <si>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</si>
  <si>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</si>
  <si>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</si>
  <si>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</si>
  <si>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</si>
  <si>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</si>
  <si>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</si>
  <si>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</si>
  <si>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</si>
  <si>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</si>
  <si>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</si>
  <si>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</si>
  <si>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</si>
  <si>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</si>
  <si>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</si>
  <si>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</si>
  <si>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</si>
  <si>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</si>
  <si>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</si>
  <si>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</si>
  <si>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</si>
  <si>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</si>
  <si>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</si>
  <si>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</si>
  <si>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</si>
  <si>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</si>
  <si>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</si>
  <si>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</si>
  <si>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</si>
  <si>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</si>
  <si>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</si>
  <si>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</si>
  <si>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</si>
  <si>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</si>
  <si>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</si>
  <si>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</si>
  <si>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</si>
  <si>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</si>
  <si>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</si>
  <si>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</si>
  <si>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</si>
  <si>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</si>
  <si>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</si>
  <si>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</si>
  <si>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</si>
  <si>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</si>
  <si>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</si>
  <si>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</si>
  <si>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</si>
  <si>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</si>
  <si>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</si>
  <si>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</si>
  <si>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</si>
  <si>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</si>
  <si>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</si>
  <si>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</si>
  <si>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</si>
  <si>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</si>
  <si>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</si>
  <si>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</si>
  <si>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</si>
  <si>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</si>
  <si>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</si>
  <si>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</si>
  <si>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</si>
  <si>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</si>
  <si>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</si>
  <si>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</si>
  <si>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</si>
  <si>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</si>
  <si>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</si>
  <si>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</si>
  <si>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</si>
  <si>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</si>
  <si>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</si>
  <si>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</si>
  <si>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</si>
  <si>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</si>
  <si>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</si>
  <si>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</si>
  <si>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</si>
  <si>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</si>
  <si>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</si>
  <si>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</si>
  <si>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</si>
  <si>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</si>
  <si>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</si>
  <si>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</si>
  <si>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</si>
  <si>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</si>
  <si>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</si>
  <si>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</si>
  <si>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</si>
  <si>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</si>
  <si>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</si>
  <si>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</si>
  <si>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</si>
  <si>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</si>
  <si>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</si>
  <si>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</si>
  <si>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</si>
  <si>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</si>
  <si>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</si>
  <si>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</si>
  <si>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</si>
  <si>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</si>
  <si>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</si>
  <si>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</si>
  <si>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</si>
  <si>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</si>
  <si>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</si>
  <si>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</si>
  <si>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</si>
  <si>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</si>
  <si>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</si>
  <si>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</si>
  <si>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</si>
  <si>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</si>
  <si>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</si>
  <si>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</si>
  <si>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</si>
  <si>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</si>
  <si>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</si>
  <si>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</si>
  <si>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</si>
  <si>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</si>
  <si>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</si>
  <si>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</si>
  <si>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</si>
  <si>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</si>
  <si>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</si>
  <si>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</si>
  <si>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</si>
  <si>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</si>
  <si>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</si>
  <si>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</si>
  <si>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</si>
  <si>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</si>
  <si>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</si>
  <si>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</si>
  <si>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</si>
  <si>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</si>
  <si>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</si>
  <si>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</si>
  <si>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</si>
  <si>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</si>
  <si>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</si>
  <si>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</si>
  <si>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</si>
  <si>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</si>
  <si>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</si>
  <si>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</si>
  <si>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</si>
  <si>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</si>
  <si>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</si>
  <si>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</si>
  <si>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</si>
  <si>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</si>
  <si>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</si>
  <si>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</si>
  <si>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</si>
  <si>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</si>
  <si>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</si>
  <si>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</si>
  <si>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</si>
  <si>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</si>
  <si>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</si>
  <si>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</si>
  <si>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</si>
  <si>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</si>
  <si>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</si>
  <si>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</si>
  <si>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</si>
  <si>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</si>
  <si>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</si>
  <si>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</si>
  <si>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</si>
  <si>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</si>
  <si>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</si>
  <si>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</si>
  <si>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</si>
  <si>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</si>
  <si>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</si>
  <si>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</si>
  <si>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</si>
  <si>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</si>
  <si>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</si>
  <si>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</si>
  <si>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</si>
  <si>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</si>
  <si>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</si>
  <si>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</si>
  <si>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</si>
  <si>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</si>
  <si>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</si>
  <si>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</si>
  <si>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</si>
  <si>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</si>
  <si>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</si>
  <si>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</si>
  <si>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</si>
  <si>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</si>
  <si>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</si>
  <si>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</si>
  <si>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</si>
  <si>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</si>
  <si>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</si>
  <si>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</si>
  <si>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</si>
  <si>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</si>
  <si>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</si>
  <si>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</si>
  <si>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</si>
  <si>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</si>
  <si>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</si>
  <si>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</si>
  <si>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</si>
  <si>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</si>
  <si>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</si>
  <si>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</si>
  <si>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</si>
  <si>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</si>
  <si>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</si>
  <si>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</si>
  <si>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</si>
  <si>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</si>
  <si>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</si>
  <si>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</si>
  <si>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</si>
  <si>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</si>
  <si>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</si>
  <si>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</si>
  <si>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</si>
  <si>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</si>
  <si>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</si>
  <si>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</si>
  <si>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</si>
  <si>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</si>
  <si>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</si>
  <si>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</si>
  <si>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</si>
  <si>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</si>
  <si>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</si>
  <si>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</si>
  <si>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</si>
  <si>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</si>
  <si>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</si>
  <si>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</si>
  <si>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</si>
  <si>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</si>
  <si>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</si>
  <si>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</si>
  <si>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</si>
  <si>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</si>
  <si>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</si>
  <si>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</si>
  <si>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</si>
  <si>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</si>
  <si>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</si>
  <si>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</si>
  <si>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</si>
  <si>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</si>
  <si>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</si>
  <si>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</si>
  <si>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</si>
  <si>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</si>
  <si>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</si>
  <si>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</si>
  <si>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</si>
  <si>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</si>
  <si>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</si>
  <si>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</si>
  <si>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</si>
  <si>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</si>
  <si>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</si>
  <si>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</si>
  <si>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</si>
  <si>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</si>
  <si>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</si>
  <si>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</si>
  <si>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</si>
  <si>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</si>
  <si>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</si>
  <si>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</si>
  <si>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</si>
  <si>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</si>
  <si>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</si>
  <si>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</si>
  <si>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</si>
  <si>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</si>
  <si>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</si>
  <si>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</si>
  <si>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</si>
  <si>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</si>
  <si>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</si>
  <si>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</si>
  <si>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</si>
  <si>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</si>
  <si>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</si>
  <si>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</si>
  <si>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</si>
  <si>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</si>
  <si>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</si>
  <si>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</si>
  <si>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</si>
  <si>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</si>
  <si>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</si>
  <si>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</si>
  <si>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</si>
  <si>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</si>
  <si>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</si>
  <si>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</si>
  <si>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</si>
  <si>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</si>
  <si>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</si>
  <si>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</si>
  <si>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</si>
  <si>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</si>
  <si>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</si>
  <si>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</si>
  <si>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</si>
  <si>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</si>
  <si>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</si>
  <si>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</si>
  <si>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</si>
  <si>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</si>
  <si>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</si>
  <si>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</si>
  <si>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</si>
  <si>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</si>
  <si>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</si>
  <si>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</si>
  <si>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</si>
  <si>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</si>
  <si>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</si>
  <si>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</si>
  <si>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</si>
  <si>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</si>
  <si>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</si>
  <si>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</si>
  <si>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</si>
  <si>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</si>
  <si>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</si>
  <si>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</si>
  <si>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</si>
  <si>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</si>
  <si>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</si>
  <si>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</si>
  <si>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</si>
  <si>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</si>
  <si>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</si>
  <si>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</si>
  <si>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</si>
  <si>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</si>
  <si>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</si>
  <si>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</si>
  <si>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</si>
  <si>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</si>
  <si>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</si>
  <si>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</si>
  <si>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</si>
  <si>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</si>
  <si>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</si>
  <si>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</si>
  <si>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</si>
  <si>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</si>
  <si>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</si>
  <si>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</si>
  <si>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</si>
  <si>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</si>
  <si>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</si>
  <si>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</si>
  <si>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</si>
  <si>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</si>
  <si>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</si>
  <si>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</si>
  <si>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</si>
  <si>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</si>
  <si>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</si>
  <si>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</si>
  <si>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</si>
  <si>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</si>
  <si>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</si>
  <si>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</si>
  <si>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</si>
  <si>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</si>
  <si>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</si>
  <si>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</si>
  <si>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</si>
  <si>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</si>
  <si>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</si>
  <si>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</si>
  <si>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</si>
  <si>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</si>
  <si>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</si>
  <si>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</si>
  <si>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</si>
  <si>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</si>
  <si>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</si>
  <si>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</si>
  <si>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</si>
  <si>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</si>
  <si>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</si>
  <si>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</si>
  <si>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</si>
  <si>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</si>
  <si>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</si>
  <si>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</si>
  <si>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</si>
  <si>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</si>
  <si>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</si>
  <si>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</si>
  <si>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</si>
  <si>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</si>
  <si>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</si>
  <si>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</si>
  <si>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</si>
  <si>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</si>
  <si>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</si>
  <si>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</si>
  <si>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</si>
  <si>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</si>
  <si>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</si>
  <si>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</si>
  <si>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</si>
  <si>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</si>
  <si>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</si>
  <si>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</si>
  <si>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</si>
  <si>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</si>
  <si>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</si>
  <si>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</si>
  <si>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</si>
  <si>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</si>
  <si>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</si>
  <si>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</si>
  <si>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</si>
  <si>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</si>
  <si>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</si>
  <si>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</si>
  <si>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</si>
  <si>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</si>
  <si>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</si>
  <si>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</si>
  <si>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</si>
  <si>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</si>
  <si>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</si>
  <si>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</si>
  <si>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</si>
  <si>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</si>
  <si>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</si>
  <si>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</si>
  <si>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</si>
  <si>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</si>
  <si>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</si>
  <si>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</si>
  <si>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</si>
  <si>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</si>
  <si>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</si>
  <si>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</si>
  <si>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</si>
  <si>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</si>
  <si>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</si>
  <si>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</si>
  <si>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</si>
  <si>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</si>
  <si>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</si>
  <si>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</si>
  <si>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</si>
  <si>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</si>
  <si>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</si>
  <si>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</si>
  <si>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</si>
  <si>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</si>
  <si>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</si>
  <si>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</si>
  <si>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</si>
  <si>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</si>
  <si>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</si>
  <si>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</si>
  <si>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</si>
  <si>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</si>
  <si>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</si>
  <si>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</si>
  <si>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</si>
  <si>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</si>
  <si>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</si>
  <si>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</si>
  <si>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</si>
  <si>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</si>
  <si>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</si>
  <si>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</si>
  <si>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</si>
  <si>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</si>
  <si>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</si>
  <si>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</si>
  <si>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</si>
  <si>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</si>
  <si>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</si>
  <si>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</si>
  <si>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</si>
  <si>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</si>
  <si>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</si>
  <si>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</si>
  <si>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</si>
  <si>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</si>
  <si>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</si>
  <si>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</si>
  <si>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</si>
  <si>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</si>
  <si>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</si>
  <si>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</si>
  <si>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</si>
  <si>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</si>
  <si>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</si>
  <si>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</si>
  <si>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</si>
  <si>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</si>
  <si>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</si>
  <si>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</si>
  <si>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</si>
  <si>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</si>
  <si>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</si>
  <si>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</si>
  <si>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</si>
  <si>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</si>
  <si>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</si>
  <si>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</si>
  <si>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</si>
  <si>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</si>
  <si>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</si>
  <si>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</si>
  <si>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</si>
  <si>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</si>
  <si>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</si>
  <si>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</si>
  <si>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</si>
  <si>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</si>
  <si>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</si>
  <si>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</si>
  <si>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</si>
  <si>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</si>
  <si>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</si>
  <si>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</si>
  <si>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</si>
  <si>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</si>
  <si>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</si>
  <si>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</si>
  <si>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</si>
  <si>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</si>
  <si>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</si>
  <si>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</si>
  <si>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</si>
  <si>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</si>
  <si>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</si>
  <si>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</si>
  <si>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</si>
  <si>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</si>
  <si>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</si>
  <si>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</si>
  <si>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</si>
  <si>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</si>
  <si>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</si>
  <si>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</si>
  <si>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</si>
  <si>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</si>
  <si>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</si>
  <si>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</si>
  <si>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</si>
  <si>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</si>
  <si>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</si>
  <si>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</si>
  <si>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</si>
  <si>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</si>
  <si>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</si>
  <si>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</si>
  <si>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</si>
  <si>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</si>
  <si>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</si>
  <si>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</si>
  <si>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</si>
  <si>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</si>
  <si>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</si>
  <si>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</si>
  <si>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</si>
  <si>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</si>
  <si>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</si>
  <si>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</si>
  <si>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</si>
  <si>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</si>
  <si>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</si>
  <si>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</si>
  <si>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</si>
  <si>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</si>
  <si>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</si>
  <si>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</si>
  <si>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</si>
  <si>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</si>
  <si>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</si>
  <si>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</si>
  <si>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</si>
  <si>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</si>
  <si>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</si>
  <si>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</si>
  <si>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</si>
  <si>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</si>
  <si>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</si>
  <si>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</si>
  <si>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</si>
  <si>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</si>
  <si>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</si>
  <si>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</si>
  <si>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</si>
  <si>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</si>
  <si>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</si>
  <si>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</si>
  <si>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</si>
  <si>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</si>
  <si>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</si>
  <si>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</si>
  <si>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</si>
  <si>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</si>
  <si>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</si>
  <si>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</si>
  <si>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</si>
  <si>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</si>
  <si>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</si>
  <si>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</si>
  <si>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</si>
  <si>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</si>
  <si>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</si>
  <si>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</si>
  <si>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</si>
  <si>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</si>
  <si>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</si>
  <si>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</si>
  <si>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</si>
  <si>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</si>
  <si>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</si>
  <si>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</si>
  <si>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</si>
  <si>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</si>
  <si>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</si>
  <si>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</si>
  <si>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</si>
  <si>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</si>
  <si>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</si>
  <si>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</si>
  <si>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</si>
  <si>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</si>
  <si>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</si>
  <si>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</si>
  <si>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</si>
  <si>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</si>
  <si>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</si>
  <si>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</si>
  <si>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</si>
  <si>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</si>
  <si>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</si>
  <si>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</si>
  <si>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</si>
  <si>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</si>
  <si>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</si>
  <si>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</si>
  <si>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</si>
  <si>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</si>
  <si>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</si>
  <si>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</si>
  <si>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</si>
  <si>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</si>
  <si>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</si>
  <si>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</si>
  <si>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</si>
  <si>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</si>
  <si>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</si>
  <si>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</si>
  <si>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</si>
  <si>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</si>
  <si>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</si>
  <si>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</si>
  <si>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</si>
  <si>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</si>
  <si>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</si>
  <si>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</si>
  <si>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</si>
  <si>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</si>
  <si>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</si>
  <si>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</si>
  <si>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</si>
  <si>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</si>
  <si>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</si>
  <si>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</si>
  <si>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</si>
  <si>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</si>
  <si>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</si>
  <si>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</si>
  <si>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</si>
  <si>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</si>
  <si>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</si>
  <si>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</si>
  <si>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</si>
  <si>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</si>
  <si>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</si>
  <si>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</si>
  <si>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</si>
  <si>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</si>
  <si>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</si>
  <si>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</si>
  <si>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</si>
  <si>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</si>
  <si>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</si>
  <si>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</si>
  <si>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</si>
  <si>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</si>
  <si>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</si>
  <si>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</si>
  <si>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</si>
  <si>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</si>
  <si>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</si>
  <si>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</si>
  <si>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</si>
  <si>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</si>
  <si>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</si>
  <si>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</si>
  <si>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</si>
  <si>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</si>
  <si>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</si>
  <si>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</si>
  <si>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</si>
  <si>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</si>
  <si>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</si>
  <si>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</si>
  <si>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</si>
  <si>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</si>
  <si>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</si>
  <si>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</si>
  <si>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</si>
  <si>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</si>
  <si>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</si>
  <si>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</si>
  <si>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</si>
  <si>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</si>
  <si>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</si>
  <si>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</si>
  <si>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</si>
  <si>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</si>
  <si>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</si>
  <si>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</si>
  <si>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</si>
  <si>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</si>
  <si>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</si>
  <si>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</si>
  <si>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</si>
  <si>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</si>
  <si>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</si>
  <si>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</si>
  <si>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</si>
  <si>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</si>
  <si>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</si>
  <si>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</si>
  <si>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</si>
  <si>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</si>
  <si>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</si>
  <si>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</si>
  <si>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</si>
  <si>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</si>
  <si>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</si>
  <si>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</si>
  <si>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</si>
  <si>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</si>
  <si>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</si>
  <si>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</si>
  <si>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</si>
  <si>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</si>
  <si>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</si>
  <si>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</si>
  <si>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</si>
  <si>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</si>
  <si>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</si>
  <si>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</si>
  <si>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</si>
  <si>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</si>
  <si>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</si>
  <si>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</si>
  <si>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</si>
  <si>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</si>
  <si>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</si>
  <si>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</si>
  <si>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</si>
  <si>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</si>
  <si>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</si>
  <si>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</si>
  <si>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</si>
  <si>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</si>
  <si>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</si>
  <si>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</si>
  <si>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</si>
  <si>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</si>
  <si>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</si>
  <si>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</si>
  <si>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</si>
  <si>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</si>
  <si>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</si>
  <si>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</si>
  <si>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</si>
  <si>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</si>
  <si>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</si>
  <si>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</si>
  <si>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</si>
  <si>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</si>
  <si>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</si>
  <si>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</si>
  <si>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</si>
  <si>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</si>
  <si>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</si>
  <si>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</si>
  <si>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</si>
  <si>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</si>
  <si>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</si>
  <si>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</si>
  <si>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</si>
  <si>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</si>
  <si>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</si>
  <si>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</si>
  <si>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</si>
  <si>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</si>
  <si>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</si>
  <si>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</si>
  <si>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</si>
  <si>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</si>
  <si>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</si>
  <si>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</si>
  <si>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</si>
  <si>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</si>
  <si>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</si>
  <si>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</si>
  <si>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</si>
  <si>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</si>
  <si>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</si>
  <si>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</si>
  <si>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</si>
  <si>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</si>
  <si>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</si>
  <si>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</si>
  <si>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</si>
  <si>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</si>
  <si>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</si>
  <si>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</si>
  <si>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</si>
  <si>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</si>
  <si>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</si>
  <si>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</si>
  <si>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</si>
  <si>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</si>
  <si>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</si>
  <si>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</si>
  <si>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</si>
  <si>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</si>
  <si>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</si>
  <si>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</si>
  <si>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</si>
  <si>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</si>
  <si>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</si>
  <si>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</si>
  <si>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</si>
  <si>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</si>
  <si>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</si>
  <si>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</si>
  <si>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</si>
  <si>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</si>
  <si>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</si>
  <si>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</si>
  <si>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</si>
  <si>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</si>
  <si>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</si>
  <si>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</si>
  <si>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</si>
  <si>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</si>
  <si>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</si>
  <si>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</si>
  <si>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</si>
  <si>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</si>
  <si>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</si>
  <si>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</si>
  <si>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</si>
  <si>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</si>
  <si>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</si>
  <si>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</si>
  <si>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</si>
  <si>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</si>
  <si>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</si>
  <si>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</si>
  <si>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</si>
  <si>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</si>
  <si>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</si>
  <si>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</si>
  <si>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</si>
  <si>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</si>
  <si>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</si>
  <si>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</si>
  <si>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</si>
  <si>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</si>
  <si>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</si>
  <si>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</si>
  <si>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</si>
  <si>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</si>
  <si>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</si>
  <si>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</si>
  <si>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</si>
  <si>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</si>
  <si>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</si>
  <si>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</si>
  <si>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</si>
  <si>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</si>
  <si>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</si>
  <si>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</si>
  <si>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</si>
  <si>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</si>
  <si>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</si>
  <si>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</si>
  <si>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</si>
  <si>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</si>
  <si>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</si>
  <si>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</si>
  <si>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</si>
  <si>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</si>
  <si>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</si>
  <si>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</si>
  <si>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</si>
  <si>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</si>
  <si>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</si>
  <si>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</si>
  <si>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</si>
  <si>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</si>
  <si>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</si>
  <si>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</si>
  <si>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</si>
  <si>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</si>
  <si>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</si>
  <si>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</si>
  <si>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</si>
  <si>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</si>
  <si>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</si>
  <si>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</si>
  <si>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</si>
  <si>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</si>
  <si>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</si>
  <si>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</si>
  <si>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</si>
  <si>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</si>
  <si>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</si>
  <si>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</si>
  <si>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</si>
  <si>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</si>
  <si>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</si>
  <si>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</si>
  <si>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</si>
  <si>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</si>
  <si>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</si>
  <si>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</si>
  <si>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</si>
  <si>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</si>
  <si>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</si>
  <si>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</si>
  <si>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</si>
  <si>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</si>
  <si>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</si>
  <si>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</si>
  <si>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</si>
  <si>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</si>
  <si>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</si>
  <si>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</si>
  <si>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</si>
  <si>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</si>
  <si>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</si>
  <si>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</si>
  <si>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</si>
  <si>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</si>
  <si>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</si>
  <si>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</si>
  <si>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</si>
  <si>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</si>
  <si>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</si>
  <si>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</si>
  <si>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</si>
  <si>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</si>
  <si>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</si>
  <si>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</si>
  <si>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</si>
  <si>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</si>
  <si>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</si>
  <si>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</si>
  <si>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</si>
  <si>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</si>
  <si>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</si>
  <si>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</si>
  <si>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</si>
  <si>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</si>
  <si>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</si>
  <si>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</si>
  <si>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</si>
  <si>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</si>
  <si>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</si>
  <si>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</si>
  <si>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</si>
  <si>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</si>
  <si>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</si>
  <si>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</si>
  <si>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</si>
  <si>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</si>
  <si>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</si>
  <si>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</si>
  <si>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</si>
  <si>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</si>
  <si>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</si>
  <si>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</si>
  <si>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</si>
  <si>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</si>
  <si>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</si>
  <si>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</si>
  <si>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</si>
  <si>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</si>
  <si>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</si>
  <si>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</si>
  <si>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</si>
  <si>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</si>
  <si>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</si>
  <si>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</si>
  <si>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</si>
  <si>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</si>
  <si>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</si>
  <si>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</si>
  <si>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</si>
  <si>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</si>
  <si>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</si>
  <si>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</si>
  <si>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</si>
  <si>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</si>
  <si>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</si>
  <si>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</si>
  <si>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</si>
  <si>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</si>
  <si>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</si>
  <si>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</si>
  <si>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</si>
  <si>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</si>
  <si>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</si>
  <si>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</si>
  <si>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</si>
  <si>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</si>
  <si>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</si>
  <si>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</si>
  <si>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</si>
  <si>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</si>
  <si>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</si>
  <si>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</si>
  <si>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</si>
  <si>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</si>
  <si>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</si>
  <si>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</si>
  <si>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</si>
  <si>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</si>
  <si>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</si>
  <si>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</si>
  <si>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</si>
  <si>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</si>
  <si>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</si>
  <si>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</si>
  <si>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</si>
  <si>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</si>
  <si>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</si>
  <si>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</si>
  <si>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</si>
  <si>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</si>
  <si>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</si>
  <si>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</si>
  <si>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</si>
  <si>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</si>
  <si>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</si>
  <si>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</si>
  <si>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</si>
  <si>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</si>
  <si>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</si>
  <si>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</si>
  <si>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</si>
  <si>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</si>
  <si>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</si>
  <si>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</si>
  <si>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</si>
  <si>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</si>
  <si>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</si>
  <si>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</si>
  <si>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</si>
  <si>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</si>
  <si>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</si>
  <si>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</si>
  <si>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</si>
  <si>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</si>
  <si>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</si>
  <si>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</si>
  <si>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</si>
  <si>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</si>
  <si>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</si>
  <si>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</si>
  <si>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</si>
  <si>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</si>
  <si>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</si>
  <si>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</si>
  <si>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</si>
  <si>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</si>
  <si>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</si>
  <si>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</si>
  <si>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</si>
  <si>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</si>
  <si>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</si>
  <si>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</si>
  <si>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</si>
  <si>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</si>
  <si>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</si>
  <si>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</si>
  <si>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</si>
  <si>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</si>
  <si>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</si>
  <si>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</si>
  <si>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</si>
  <si>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</si>
  <si>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</si>
  <si>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</si>
  <si>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</si>
  <si>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</si>
  <si>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</si>
  <si>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</si>
  <si>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</si>
  <si>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</si>
  <si>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</si>
  <si>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</si>
  <si>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</si>
  <si>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</si>
  <si>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</si>
  <si>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</si>
  <si>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</si>
  <si>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</si>
  <si>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</si>
  <si>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</si>
  <si>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</si>
  <si>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</si>
  <si>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</si>
  <si>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</si>
  <si>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</si>
  <si>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</si>
  <si>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</si>
  <si>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</si>
  <si>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</si>
  <si>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</si>
  <si>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</si>
  <si>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</si>
  <si>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</si>
  <si>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</si>
  <si>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</si>
  <si>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</si>
  <si>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</si>
  <si>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</si>
  <si>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</si>
  <si>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</si>
  <si>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</si>
  <si>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</si>
  <si>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</si>
  <si>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</si>
  <si>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</si>
  <si>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</si>
  <si>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</si>
  <si>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</si>
  <si>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</si>
  <si>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</si>
  <si>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</si>
  <si>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</si>
  <si>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</si>
  <si>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</si>
  <si>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</si>
  <si>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</si>
  <si>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</si>
  <si>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</si>
  <si>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</si>
  <si>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</si>
  <si>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</si>
  <si>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</si>
  <si>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</si>
  <si>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</si>
  <si>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</si>
  <si>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</si>
  <si>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</si>
  <si>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</si>
  <si>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</si>
  <si>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</si>
  <si>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</si>
  <si>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</si>
  <si>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</si>
  <si>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</si>
  <si>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</si>
  <si>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</si>
  <si>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</si>
  <si>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</si>
  <si>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</si>
  <si>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</si>
  <si>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</si>
  <si>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</si>
  <si>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</si>
  <si>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</si>
  <si>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</si>
  <si>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</si>
  <si>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</si>
  <si>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</si>
  <si>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</si>
  <si>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</si>
  <si>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</si>
  <si>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</si>
  <si>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</si>
  <si>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</si>
  <si>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</si>
  <si>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</si>
  <si>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</si>
  <si>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</si>
  <si>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</si>
  <si>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</si>
  <si>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</si>
  <si>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</si>
  <si>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</si>
  <si>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</si>
  <si>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</si>
  <si>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</si>
  <si>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</si>
  <si>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</si>
  <si>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</si>
  <si>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</si>
  <si>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</si>
  <si>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</si>
  <si>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</si>
  <si>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</si>
  <si>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</si>
  <si>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</si>
  <si>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</si>
  <si>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</si>
  <si>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</si>
  <si>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</si>
  <si>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</si>
  <si>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</si>
  <si>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</si>
  <si>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</si>
  <si>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</si>
  <si>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</si>
  <si>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</si>
  <si>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</si>
  <si>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</si>
  <si>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</si>
  <si>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</si>
  <si>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</si>
  <si>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</si>
  <si>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</si>
  <si>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</si>
  <si>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</si>
  <si>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</si>
  <si>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</si>
  <si>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</si>
  <si>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</si>
  <si>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</si>
  <si>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</si>
  <si>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</si>
  <si>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</si>
  <si>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</si>
  <si>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</si>
  <si>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</si>
  <si>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</si>
  <si>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</si>
  <si>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</si>
  <si>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</si>
  <si>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</si>
  <si>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</si>
  <si>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</si>
  <si>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</si>
  <si>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</si>
  <si>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</si>
  <si>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</si>
  <si>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</si>
  <si>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</si>
  <si>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</si>
  <si>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</si>
  <si>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</si>
  <si>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</si>
  <si>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</si>
  <si>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</si>
  <si>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</si>
  <si>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</si>
  <si>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</si>
  <si>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</si>
  <si>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</si>
  <si>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</si>
  <si>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</si>
  <si>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</si>
  <si>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</si>
  <si>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</si>
  <si>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</si>
  <si>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</si>
  <si>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</si>
  <si>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</si>
  <si>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</si>
  <si>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</si>
  <si>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</si>
  <si>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</si>
  <si>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</si>
  <si>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</si>
  <si>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</si>
  <si>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</si>
  <si>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</si>
  <si>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</si>
  <si>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</si>
  <si>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</si>
  <si>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</si>
  <si>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</si>
  <si>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</si>
  <si>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</si>
  <si>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</si>
  <si>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</si>
  <si>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</si>
  <si>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</si>
  <si>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</si>
  <si>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</si>
  <si>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</si>
  <si>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</si>
  <si>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</si>
  <si>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</si>
  <si>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</si>
  <si>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</si>
  <si>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</si>
  <si>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</si>
  <si>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</si>
  <si>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</si>
  <si>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</si>
  <si>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</si>
  <si>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</si>
  <si>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</si>
  <si>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</si>
  <si>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</si>
  <si>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</si>
  <si>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</si>
  <si>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</si>
  <si>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</si>
  <si>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</si>
  <si>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</si>
  <si>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</si>
  <si>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</si>
  <si>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</si>
  <si>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</si>
  <si>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</si>
  <si>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</si>
  <si>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</si>
  <si>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</si>
  <si>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</si>
  <si>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</si>
  <si>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</si>
  <si>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</si>
  <si>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</si>
  <si>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</si>
  <si>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</si>
  <si>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</si>
  <si>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</si>
  <si>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</si>
  <si>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</si>
  <si>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</si>
  <si>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</si>
  <si>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</si>
  <si>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</si>
  <si>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</si>
  <si>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</si>
  <si>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</si>
  <si>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</si>
  <si>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</si>
  <si>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</si>
  <si>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</si>
  <si>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</si>
  <si>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</si>
  <si>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</si>
  <si>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</si>
  <si>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</si>
  <si>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</si>
  <si>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</si>
  <si>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</si>
  <si>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</si>
  <si>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</si>
  <si>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</si>
  <si>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</si>
  <si>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</si>
  <si>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</si>
  <si>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</si>
  <si>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</si>
  <si>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</si>
  <si>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</si>
  <si>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</si>
  <si>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</si>
  <si>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</si>
  <si>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</si>
  <si>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</si>
  <si>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</si>
  <si>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</si>
  <si>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</si>
  <si>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</si>
  <si>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</si>
  <si>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</si>
  <si>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</si>
  <si>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</si>
  <si>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</si>
  <si>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</si>
  <si>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</si>
  <si>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</si>
  <si>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</si>
  <si>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</si>
  <si>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</si>
  <si>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</si>
  <si>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</si>
  <si>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</si>
  <si>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</si>
  <si>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</si>
  <si>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</si>
  <si>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</si>
  <si>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</si>
  <si>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</si>
  <si>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</si>
  <si>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</si>
  <si>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</si>
  <si>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</si>
  <si>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</si>
  <si>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</si>
  <si>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</si>
  <si>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</si>
  <si>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</si>
  <si>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</si>
  <si>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</si>
  <si>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</si>
  <si>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</si>
  <si>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</si>
  <si>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</si>
  <si>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</si>
  <si>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</si>
  <si>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</si>
  <si>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</si>
  <si>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</si>
  <si>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</si>
  <si>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</si>
  <si>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</si>
  <si>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</si>
  <si>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</si>
  <si>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</si>
  <si>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</si>
  <si>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</si>
  <si>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</si>
  <si>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</si>
  <si>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</si>
  <si>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</si>
  <si>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</si>
  <si>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</si>
  <si>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</si>
  <si>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</si>
  <si>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</si>
  <si>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</si>
  <si>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</si>
  <si>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</si>
  <si>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</si>
  <si>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</si>
  <si>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</si>
  <si>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</si>
  <si>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</si>
  <si>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</si>
  <si>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</si>
  <si>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</si>
  <si>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</si>
  <si>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</si>
  <si>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</si>
  <si>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</si>
  <si>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</si>
  <si>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</si>
  <si>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</si>
  <si>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</si>
  <si>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</si>
  <si>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</si>
  <si>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</si>
  <si>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</si>
  <si>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</si>
  <si>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</si>
  <si>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</si>
  <si>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</si>
  <si>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</si>
  <si>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</si>
  <si>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</si>
  <si>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</si>
  <si>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</si>
  <si>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</si>
  <si>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</si>
  <si>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</si>
  <si>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</si>
  <si>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</si>
  <si>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</si>
  <si>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</si>
  <si>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</si>
  <si>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</si>
  <si>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</si>
  <si>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</si>
  <si>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</si>
  <si>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</si>
  <si>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</si>
  <si>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</si>
  <si>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</si>
  <si>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</si>
  <si>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</si>
  <si>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</si>
  <si>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</si>
  <si>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</si>
  <si>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</si>
  <si>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</si>
  <si>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</si>
  <si>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</si>
  <si>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</si>
  <si>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</si>
  <si>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</si>
  <si>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</si>
  <si>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</si>
  <si>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</si>
  <si>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</si>
  <si>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</si>
  <si>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</si>
  <si>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</si>
  <si>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</si>
  <si>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</si>
  <si>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</si>
  <si>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</si>
  <si>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</si>
  <si>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</si>
  <si>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</si>
  <si>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</si>
  <si>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</si>
  <si>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</si>
  <si>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</si>
  <si>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</si>
  <si>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</si>
  <si>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</si>
  <si>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</si>
  <si>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</si>
  <si>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</si>
  <si>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</si>
  <si>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</si>
  <si>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</si>
  <si>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</si>
  <si>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</si>
  <si>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</si>
  <si>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</si>
  <si>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</si>
  <si>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</si>
  <si>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</si>
  <si>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</si>
  <si>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</si>
  <si>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</si>
  <si>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</si>
  <si>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</si>
  <si>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</si>
  <si>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</si>
  <si>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</si>
  <si>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</si>
  <si>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</si>
  <si>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</si>
  <si>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</si>
  <si>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</si>
  <si>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</si>
  <si>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</si>
  <si>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</si>
  <si>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</si>
  <si>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</si>
  <si>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</si>
  <si>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</si>
  <si>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</si>
  <si>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</si>
  <si>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</si>
  <si>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</si>
  <si>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</si>
  <si>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</si>
  <si>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</si>
  <si>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</si>
  <si>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</si>
  <si>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</si>
  <si>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</si>
  <si>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</si>
  <si>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</si>
  <si>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</si>
  <si>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</si>
  <si>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</si>
  <si>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</si>
  <si>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</si>
  <si>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</si>
  <si>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</si>
  <si>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</si>
  <si>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</si>
  <si>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</si>
  <si>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</si>
  <si>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</si>
  <si>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</si>
  <si>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</si>
  <si>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</si>
  <si>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</si>
  <si>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</si>
  <si>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</si>
  <si>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</si>
  <si>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</si>
  <si>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</si>
  <si>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</si>
  <si>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</si>
  <si>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</si>
  <si>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</si>
  <si>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</si>
  <si>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</si>
  <si>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</si>
  <si>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</si>
  <si>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</si>
  <si>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</si>
  <si>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</si>
  <si>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</si>
  <si>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</si>
  <si>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</si>
  <si>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</si>
  <si>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</si>
  <si>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</si>
  <si>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</si>
  <si>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</si>
  <si>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</si>
  <si>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</si>
  <si>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</si>
  <si>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</si>
  <si>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</si>
  <si>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</si>
  <si>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</si>
  <si>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</si>
  <si>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</si>
  <si>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</si>
  <si>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</si>
  <si>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</si>
  <si>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</si>
  <si>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</si>
  <si>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</si>
  <si>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</si>
  <si>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</si>
  <si>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</si>
  <si>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</si>
  <si>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</si>
  <si>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</si>
  <si>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</si>
  <si>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</si>
  <si>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</si>
  <si>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</si>
  <si>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</si>
  <si>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</si>
  <si>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</si>
  <si>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</si>
  <si>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</si>
  <si>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</si>
  <si>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</si>
  <si>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</si>
  <si>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</si>
  <si>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</si>
  <si>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</si>
  <si>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</si>
  <si>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</si>
  <si>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</si>
  <si>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</si>
  <si>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</si>
  <si>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</si>
  <si>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</si>
  <si>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</si>
  <si>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</si>
  <si>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</si>
  <si>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</si>
  <si>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</si>
  <si>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</si>
  <si>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</si>
  <si>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</si>
  <si>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</si>
  <si>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</si>
  <si>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</si>
  <si>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</si>
  <si>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</si>
  <si>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</si>
  <si>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</si>
  <si>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</si>
  <si>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</si>
  <si>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</si>
  <si>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</si>
  <si>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</si>
  <si>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</si>
  <si>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</si>
  <si>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</si>
  <si>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</si>
  <si>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</si>
  <si>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</si>
  <si>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</si>
  <si>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</si>
  <si>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</si>
  <si>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</si>
  <si>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</si>
  <si>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</si>
  <si>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</si>
  <si>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</si>
  <si>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</si>
  <si>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</si>
  <si>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</si>
  <si>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</si>
  <si>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</si>
  <si>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</si>
  <si>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</si>
  <si>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</si>
  <si>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</si>
  <si>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</si>
  <si>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</si>
  <si>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</si>
  <si>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</si>
  <si>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</si>
  <si>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</si>
  <si>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</si>
  <si>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</si>
  <si>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</si>
  <si>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</si>
  <si>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</si>
  <si>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</si>
  <si>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</si>
  <si>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</si>
  <si>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</si>
  <si>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</si>
  <si>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</si>
  <si>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</si>
  <si>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</si>
  <si>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</si>
  <si>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</si>
  <si>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</si>
  <si>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</si>
  <si>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</si>
  <si>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</si>
  <si>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</si>
  <si>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</si>
  <si>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</si>
  <si>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</si>
  <si>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</si>
  <si>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</si>
  <si>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</si>
  <si>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</si>
  <si>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</si>
  <si>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</si>
  <si>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</si>
  <si>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</si>
  <si>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</si>
  <si>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</si>
  <si>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</si>
  <si>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</si>
  <si>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</si>
  <si>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</si>
  <si>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</si>
  <si>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</si>
  <si>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</si>
  <si>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</si>
  <si>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</si>
  <si>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</si>
  <si>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</si>
  <si>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</si>
  <si>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</si>
  <si>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</si>
  <si>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</si>
  <si>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</si>
  <si>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</si>
  <si>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</si>
  <si>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</si>
  <si>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</si>
  <si>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</si>
  <si>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</si>
  <si>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</si>
  <si>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</si>
  <si>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</si>
  <si>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</si>
  <si>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</si>
  <si>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</si>
  <si>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</si>
  <si>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</si>
  <si>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</si>
  <si>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</si>
  <si>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</si>
  <si>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</si>
  <si>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</si>
  <si>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</si>
  <si>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</si>
  <si>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</si>
  <si>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</si>
  <si>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</si>
  <si>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</si>
  <si>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</si>
  <si>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</si>
  <si>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</si>
  <si>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</si>
  <si>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</si>
  <si>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</si>
  <si>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</si>
  <si>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</si>
  <si>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</si>
  <si>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</si>
  <si>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</si>
  <si>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</si>
  <si>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</si>
  <si>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</si>
  <si>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</si>
  <si>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</si>
  <si>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</si>
  <si>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</si>
  <si>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</si>
  <si>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</si>
  <si>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</si>
  <si>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</si>
  <si>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</si>
  <si>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</si>
  <si>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</si>
  <si>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</si>
  <si>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</si>
  <si>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</si>
  <si>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</si>
  <si>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</si>
  <si>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</si>
  <si>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</si>
  <si>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</si>
  <si>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</si>
  <si>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</si>
  <si>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</si>
  <si>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</si>
  <si>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</si>
  <si>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</si>
  <si>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</si>
  <si>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</si>
  <si>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</si>
  <si>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</si>
  <si>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</si>
  <si>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</si>
  <si>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</si>
  <si>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</si>
  <si>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</si>
  <si>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</si>
  <si>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</si>
  <si>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</si>
  <si>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</si>
  <si>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</si>
  <si>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</si>
  <si>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</si>
  <si>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</si>
  <si>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</si>
  <si>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</si>
  <si>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</si>
  <si>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</si>
  <si>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</si>
  <si>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</si>
  <si>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</si>
  <si>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</si>
  <si>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</si>
  <si>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</si>
  <si>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</si>
  <si>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</si>
  <si>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</si>
  <si>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</si>
  <si>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</si>
  <si>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</si>
  <si>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</si>
  <si>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</si>
  <si>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</si>
  <si>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</si>
  <si>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</si>
  <si>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</si>
  <si>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</si>
  <si>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</si>
  <si>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</si>
  <si>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</si>
  <si>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</si>
  <si>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</si>
  <si>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</si>
  <si>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</si>
  <si>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</si>
  <si>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</si>
  <si>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</si>
  <si>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</si>
  <si>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</si>
  <si>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</si>
  <si>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</si>
  <si>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</si>
  <si>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</si>
  <si>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</si>
  <si>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</si>
  <si>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</si>
  <si>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</si>
  <si>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</si>
  <si>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</si>
  <si>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</si>
  <si>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</si>
  <si>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</si>
  <si>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</si>
  <si>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</si>
  <si>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</si>
  <si>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</si>
  <si>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</si>
  <si>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</si>
  <si>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</si>
  <si>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</si>
  <si>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</si>
  <si>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</si>
  <si>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</si>
  <si>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</si>
  <si>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</si>
  <si>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</si>
  <si>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</si>
  <si>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</si>
  <si>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</si>
  <si>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</si>
  <si>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</si>
  <si>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</si>
  <si>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</si>
  <si>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</si>
  <si>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</si>
  <si>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</si>
  <si>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</si>
  <si>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</si>
  <si>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</si>
  <si>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</si>
  <si>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</si>
  <si>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</si>
  <si>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</si>
  <si>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</si>
  <si>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</si>
  <si>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</si>
  <si>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</si>
  <si>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</si>
  <si>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</si>
  <si>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</si>
  <si>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</si>
  <si>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</si>
  <si>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</si>
  <si>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</si>
  <si>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</si>
  <si>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</si>
  <si>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</si>
  <si>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</si>
  <si>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</si>
  <si>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</si>
  <si>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</si>
  <si>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</si>
  <si>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</si>
  <si>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</si>
  <si>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</si>
  <si>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</si>
  <si>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</si>
  <si>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</si>
  <si>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</si>
  <si>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</si>
  <si>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</si>
  <si>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</si>
  <si>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</si>
  <si>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</si>
  <si>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</si>
  <si>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</si>
  <si>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</si>
  <si>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</si>
  <si>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</si>
  <si>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</si>
  <si>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</si>
  <si>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</si>
  <si>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</si>
  <si>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</si>
  <si>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</si>
  <si>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</si>
  <si>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</si>
  <si>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</si>
  <si>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</si>
  <si>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</si>
  <si>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</si>
  <si>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</si>
  <si>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</si>
  <si>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</si>
  <si>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</si>
  <si>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</si>
  <si>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</si>
  <si>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</si>
  <si>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</si>
  <si>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</si>
  <si>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</si>
  <si>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</si>
  <si>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</si>
  <si>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</si>
  <si>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</si>
  <si>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</si>
  <si>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</si>
  <si>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</si>
  <si>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</si>
  <si>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</si>
  <si>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</si>
  <si>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</si>
  <si>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</si>
  <si>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</si>
  <si>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</si>
  <si>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</si>
  <si>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</si>
  <si>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</si>
  <si>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</si>
  <si>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</si>
  <si>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</si>
  <si>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</si>
  <si>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</si>
  <si>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</si>
  <si>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</si>
  <si>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</si>
  <si>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</si>
  <si>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</si>
  <si>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</si>
  <si>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</si>
  <si>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</si>
  <si>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</si>
  <si>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</si>
  <si>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</si>
  <si>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</si>
  <si>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</si>
  <si>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</si>
  <si>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</si>
  <si>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</si>
  <si>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</si>
  <si>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</si>
  <si>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</si>
  <si>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</si>
  <si>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</si>
  <si>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</si>
  <si>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</si>
  <si>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</si>
  <si>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</si>
  <si>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</si>
  <si>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</si>
  <si>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</si>
  <si>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</si>
  <si>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</si>
  <si>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</si>
  <si>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</si>
  <si>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</si>
  <si>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</si>
  <si>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</si>
  <si>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</si>
  <si>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</si>
  <si>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</si>
  <si>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</si>
  <si>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</si>
  <si>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</si>
  <si>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</si>
  <si>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</si>
  <si>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</si>
  <si>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</si>
  <si>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</si>
  <si>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</si>
  <si>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</si>
  <si>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</si>
  <si>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</si>
  <si>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</si>
  <si>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</si>
  <si>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</si>
  <si>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</si>
  <si>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</si>
  <si>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</si>
  <si>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</si>
  <si>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</si>
  <si>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</si>
  <si>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</si>
  <si>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</si>
  <si>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</si>
  <si>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</si>
  <si>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</si>
  <si>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</si>
  <si>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</si>
  <si>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</si>
  <si>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</si>
  <si>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</si>
  <si>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</si>
  <si>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</si>
  <si>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</si>
  <si>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</si>
  <si>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</si>
  <si>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</si>
  <si>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</si>
  <si>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</si>
  <si>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</si>
  <si>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</si>
  <si>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</si>
  <si>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</si>
  <si>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</si>
  <si>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</si>
  <si>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</si>
  <si>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</si>
  <si>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</si>
  <si>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</si>
  <si>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</si>
  <si>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</si>
  <si>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</si>
  <si>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</si>
  <si>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</si>
  <si>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</si>
  <si>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</si>
  <si>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</si>
  <si>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</si>
  <si>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</si>
  <si>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</si>
  <si>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</si>
  <si>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</si>
  <si>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</si>
  <si>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</si>
  <si>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</si>
  <si>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</si>
  <si>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</si>
  <si>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</si>
  <si>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</si>
  <si>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</si>
  <si>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</si>
  <si>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</si>
  <si>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</si>
  <si>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</si>
  <si>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</si>
  <si>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</si>
  <si>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</si>
  <si>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</si>
  <si>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</si>
  <si>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</si>
  <si>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</si>
  <si>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</si>
  <si>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</si>
  <si>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</si>
  <si>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</si>
  <si>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</si>
  <si>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</si>
  <si>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</si>
  <si>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</si>
  <si>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</si>
  <si>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</si>
  <si>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</si>
  <si>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</si>
  <si>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</si>
  <si>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</si>
  <si>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</si>
  <si>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</si>
  <si>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</si>
  <si>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</si>
  <si>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</si>
  <si>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</si>
  <si>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</si>
  <si>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</si>
  <si>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</si>
  <si>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</si>
  <si>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</si>
  <si>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</si>
  <si>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</si>
  <si>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</si>
  <si>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</si>
  <si>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</si>
  <si>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</si>
  <si>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</si>
  <si>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</si>
  <si>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</si>
  <si>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</si>
  <si>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</si>
  <si>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</si>
  <si>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</si>
  <si>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</si>
  <si>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</si>
  <si>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</si>
  <si>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</si>
  <si>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</si>
  <si>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</si>
  <si>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</si>
  <si>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</si>
  <si>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</si>
  <si>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</si>
  <si>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</si>
  <si>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</si>
  <si>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</si>
  <si>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</si>
  <si>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</si>
  <si>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</si>
  <si>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</si>
  <si>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</si>
  <si>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</si>
  <si>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</si>
  <si>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</si>
  <si>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</si>
  <si>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</si>
  <si>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</si>
  <si>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</si>
  <si>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</si>
  <si>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</si>
  <si>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</si>
  <si>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</si>
  <si>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</si>
  <si>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</si>
  <si>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</si>
  <si>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</si>
  <si>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</si>
  <si>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</si>
  <si>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</si>
  <si>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</si>
  <si>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</si>
  <si>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</si>
  <si>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</si>
  <si>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</si>
  <si>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</si>
  <si>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</si>
  <si>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</si>
  <si>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</si>
  <si>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</si>
  <si>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</si>
  <si>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</si>
  <si>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</si>
  <si>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</si>
  <si>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</si>
  <si>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</si>
  <si>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</si>
  <si>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</si>
  <si>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</si>
  <si>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</si>
  <si>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</si>
  <si>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</si>
  <si>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</si>
  <si>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</si>
  <si>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</si>
  <si>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</si>
  <si>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</si>
  <si>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</si>
  <si>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</si>
  <si>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</si>
  <si>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</si>
  <si>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</si>
  <si>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</si>
  <si>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</si>
  <si>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</si>
  <si>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</si>
  <si>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</si>
  <si>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</si>
  <si>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</si>
  <si>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</si>
  <si>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</si>
  <si>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</si>
  <si>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</si>
  <si>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</si>
  <si>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</si>
  <si>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</si>
  <si>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</si>
  <si>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</si>
  <si>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</si>
  <si>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</si>
  <si>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</si>
  <si>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</si>
  <si>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</si>
  <si>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</si>
  <si>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</si>
  <si>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</si>
  <si>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</si>
  <si>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</si>
  <si>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</si>
  <si>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</si>
  <si>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</si>
  <si>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</si>
  <si>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</si>
  <si>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</si>
  <si>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</si>
  <si>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</si>
  <si>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</si>
  <si>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</si>
  <si>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</si>
  <si>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</si>
  <si>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</si>
  <si>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</si>
  <si>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</si>
  <si>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</si>
  <si>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</si>
  <si>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</si>
  <si>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</si>
  <si>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</si>
  <si>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</si>
  <si>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</si>
  <si>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</si>
  <si>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</si>
  <si>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</si>
  <si>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</si>
  <si>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</si>
  <si>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</si>
  <si>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</si>
  <si>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</si>
  <si>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</si>
  <si>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</si>
  <si>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</si>
  <si>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</si>
  <si>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</si>
  <si>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</si>
  <si>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</si>
  <si>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</si>
  <si>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</si>
  <si>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</si>
  <si>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</si>
  <si>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</si>
  <si>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</si>
  <si>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</si>
  <si>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</si>
  <si>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</si>
  <si>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</si>
  <si>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</si>
  <si>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</si>
  <si>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</si>
  <si>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</si>
  <si>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</si>
  <si>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</si>
  <si>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</si>
  <si>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</si>
  <si>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</si>
  <si>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</si>
  <si>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</si>
  <si>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</si>
  <si>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</si>
  <si>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</si>
  <si>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</si>
  <si>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</si>
  <si>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</si>
  <si>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</si>
  <si>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</si>
  <si>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</si>
  <si>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</si>
  <si>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</si>
  <si>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</si>
  <si>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</si>
  <si>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</si>
  <si>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</si>
  <si>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</si>
  <si>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</si>
  <si>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</si>
  <si>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</si>
  <si>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</si>
  <si>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</si>
  <si>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</si>
  <si>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</si>
  <si>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</si>
  <si>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</si>
  <si>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</si>
  <si>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</si>
  <si>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</si>
  <si>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</si>
  <si>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</si>
  <si>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</si>
  <si>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</si>
  <si>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</si>
  <si>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</si>
  <si>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</si>
  <si>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</si>
  <si>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</si>
  <si>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</si>
  <si>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</si>
  <si>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</si>
  <si>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</si>
  <si>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</si>
  <si>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</si>
  <si>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</si>
  <si>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</si>
  <si>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</si>
  <si>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</si>
  <si>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</si>
  <si>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</si>
  <si>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</si>
  <si>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</si>
  <si>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</si>
  <si>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</si>
  <si>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</si>
  <si>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</si>
  <si>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</si>
  <si>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</si>
  <si>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</si>
  <si>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</si>
  <si>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</si>
  <si>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</si>
  <si>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</si>
  <si>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</si>
  <si>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</si>
  <si>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</si>
  <si>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</si>
  <si>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</si>
  <si>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</si>
  <si>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</si>
  <si>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</si>
  <si>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</si>
  <si>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</si>
  <si>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</si>
  <si>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</si>
  <si>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</si>
  <si>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</si>
  <si>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</si>
  <si>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</si>
  <si>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</si>
  <si>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</si>
  <si>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</si>
  <si>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</si>
  <si>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</si>
  <si>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</si>
  <si>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</si>
  <si>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</si>
  <si>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</si>
  <si>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</si>
  <si>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</si>
  <si>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</si>
  <si>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</si>
  <si>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</si>
  <si>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</si>
  <si>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</si>
  <si>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</si>
  <si>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</si>
  <si>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</si>
  <si>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</si>
  <si>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</si>
  <si>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</si>
  <si>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</si>
  <si>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</si>
  <si>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</si>
  <si>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</si>
  <si>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</si>
  <si>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</si>
  <si>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</si>
  <si>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</si>
  <si>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</si>
  <si>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</si>
  <si>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</si>
  <si>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</si>
  <si>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</si>
  <si>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</si>
  <si>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</si>
  <si>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</si>
  <si>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</si>
  <si>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</si>
  <si>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</si>
  <si>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</si>
  <si>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</si>
  <si>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</si>
  <si>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</si>
  <si>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</si>
  <si>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</si>
  <si>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</si>
  <si>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</si>
  <si>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</si>
  <si>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</si>
  <si>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</si>
  <si>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</si>
  <si>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</si>
  <si>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</si>
  <si>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</si>
  <si>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</si>
  <si>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</si>
  <si>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</si>
  <si>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</si>
  <si>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</si>
  <si>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</si>
  <si>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</si>
  <si>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</si>
  <si>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</si>
  <si>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</si>
  <si>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</si>
  <si>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</si>
  <si>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</si>
  <si>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</si>
  <si>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</si>
  <si>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</si>
  <si>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</si>
  <si>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</si>
  <si>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</si>
  <si>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</si>
  <si>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</si>
  <si>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</si>
  <si>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</si>
  <si>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</si>
  <si>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</si>
  <si>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</si>
  <si>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</si>
  <si>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</si>
  <si>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</si>
  <si>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</si>
  <si>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</si>
  <si>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</si>
  <si>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</si>
  <si>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</si>
  <si>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</si>
  <si>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</si>
  <si>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</si>
  <si>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</si>
  <si>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</si>
  <si>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</si>
  <si>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</si>
  <si>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</si>
  <si>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</si>
  <si>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</si>
  <si>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</si>
  <si>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</si>
  <si>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</si>
  <si>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</si>
  <si>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</si>
  <si>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</si>
  <si>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</si>
  <si>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</si>
  <si>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</si>
  <si>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</si>
  <si>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</si>
  <si>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</si>
  <si>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</si>
  <si>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</si>
  <si>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</si>
  <si>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</si>
  <si>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</si>
  <si>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</si>
  <si>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</si>
  <si>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</si>
  <si>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</si>
  <si>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</si>
  <si>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</si>
  <si>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</si>
  <si>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</si>
  <si>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</si>
  <si>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</si>
  <si>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</si>
  <si>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</si>
  <si>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</si>
  <si>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</si>
  <si>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</si>
  <si>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</si>
  <si>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</si>
  <si>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</si>
  <si>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</si>
  <si>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</si>
  <si>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</si>
  <si>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</si>
  <si>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</si>
  <si>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</si>
  <si>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</si>
  <si>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</si>
  <si>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</si>
  <si>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</si>
  <si>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</si>
  <si>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</si>
  <si>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</si>
  <si>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</si>
  <si>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</si>
  <si>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</si>
  <si>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</si>
  <si>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</si>
  <si>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</si>
  <si>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</si>
  <si>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</si>
  <si>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</si>
  <si>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</si>
  <si>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</si>
  <si>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</si>
  <si>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</si>
  <si>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</si>
  <si>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</si>
  <si>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</si>
  <si>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</si>
  <si>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</si>
  <si>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</si>
  <si>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</si>
  <si>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</si>
  <si>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</si>
  <si>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</si>
  <si>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</si>
  <si>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</si>
  <si>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</si>
  <si>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</si>
  <si>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</si>
  <si>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</si>
  <si>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</si>
  <si>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</si>
  <si>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</si>
  <si>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</si>
  <si>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</si>
  <si>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</si>
  <si>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</si>
  <si>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</si>
  <si>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</si>
  <si>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</si>
  <si>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</si>
  <si>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</si>
  <si>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</si>
  <si>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</si>
  <si>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</si>
  <si>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</si>
  <si>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</si>
  <si>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</si>
  <si>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</si>
  <si>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</si>
  <si>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</si>
  <si>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</si>
  <si>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</si>
  <si>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</si>
  <si>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</si>
  <si>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</si>
  <si>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</si>
  <si>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</si>
  <si>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</si>
  <si>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</si>
  <si>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</si>
  <si>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</si>
  <si>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</si>
  <si>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</si>
  <si>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</si>
  <si>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</si>
  <si>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</si>
  <si>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</si>
  <si>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</si>
  <si>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</si>
  <si>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</si>
  <si>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</si>
  <si>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</si>
  <si>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</si>
  <si>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</si>
  <si>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</si>
  <si>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</si>
  <si>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</si>
  <si>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</si>
  <si>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</si>
  <si>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</si>
  <si>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</si>
  <si>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</si>
  <si>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</si>
  <si>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</si>
  <si>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</si>
  <si>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</si>
  <si>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</si>
  <si>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</si>
  <si>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</si>
  <si>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</si>
  <si>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</si>
  <si>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</si>
  <si>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</si>
  <si>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</si>
  <si>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</si>
  <si>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</si>
  <si>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</si>
  <si>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</si>
  <si>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</si>
  <si>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</si>
  <si>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</si>
  <si>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</si>
  <si>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</si>
  <si>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</si>
  <si>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</si>
  <si>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</si>
  <si>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</si>
  <si>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</si>
  <si>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</si>
  <si>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</si>
  <si>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</si>
  <si>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</si>
  <si>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</si>
  <si>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</si>
  <si>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</si>
  <si>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</si>
  <si>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</si>
  <si>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</si>
  <si>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</si>
  <si>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</si>
  <si>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</si>
  <si>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</si>
  <si>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</si>
  <si>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</si>
  <si>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</si>
  <si>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</si>
  <si>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</si>
  <si>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</si>
  <si>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</si>
  <si>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</si>
  <si>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</si>
  <si>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</si>
  <si>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</si>
  <si>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</si>
  <si>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</si>
  <si>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</si>
  <si>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</si>
  <si>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</si>
  <si>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</si>
  <si>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</si>
  <si>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</si>
  <si>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</si>
  <si>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</si>
  <si>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</si>
  <si>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</si>
  <si>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</si>
  <si>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</si>
  <si>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</si>
  <si>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</si>
  <si>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</si>
  <si>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</si>
  <si>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</si>
  <si>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</si>
  <si>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</si>
  <si>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</si>
  <si>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</si>
  <si>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</si>
  <si>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</si>
  <si>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</si>
  <si>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</si>
  <si>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</si>
  <si>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</si>
  <si>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</si>
  <si>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</si>
  <si>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</si>
  <si>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</si>
  <si>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</si>
  <si>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</si>
  <si>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</si>
  <si>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</si>
  <si>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</si>
  <si>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</si>
  <si>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</si>
  <si>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</si>
  <si>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</si>
  <si>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</si>
  <si>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</si>
  <si>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</si>
  <si>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</si>
  <si>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</si>
  <si>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</si>
  <si>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</si>
  <si>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</si>
  <si>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</si>
  <si>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</si>
  <si>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</si>
  <si>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</si>
  <si>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</si>
  <si>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</si>
  <si>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</si>
  <si>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</si>
  <si>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</si>
  <si>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</si>
  <si>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</si>
  <si>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</si>
  <si>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</si>
  <si>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</si>
  <si>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</si>
  <si>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</si>
  <si>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</si>
  <si>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</si>
  <si>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</si>
  <si>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</si>
  <si>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</si>
  <si>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</si>
  <si>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</si>
  <si>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</si>
  <si>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</si>
  <si>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</si>
  <si>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</si>
  <si>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</si>
  <si>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</si>
  <si>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</si>
  <si>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</si>
  <si>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</si>
  <si>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</si>
  <si>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</si>
  <si>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</si>
  <si>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</si>
  <si>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</si>
  <si>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</si>
  <si>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</si>
  <si>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</si>
  <si>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</si>
  <si>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</si>
  <si>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</si>
  <si>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</si>
  <si>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</si>
  <si>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</si>
  <si>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</si>
  <si>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</si>
  <si>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</si>
  <si>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</si>
  <si>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</si>
  <si>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</si>
  <si>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</si>
  <si>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</si>
  <si>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</si>
  <si>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</si>
  <si>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</si>
  <si>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</si>
  <si>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</si>
  <si>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</si>
  <si>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</si>
  <si>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</si>
  <si>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</si>
  <si>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</si>
  <si>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</si>
  <si>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</si>
  <si>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</si>
  <si>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</si>
  <si>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</si>
  <si>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</si>
  <si>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</si>
  <si>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</si>
  <si>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</si>
  <si>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</si>
  <si>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</si>
  <si>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</si>
  <si>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</si>
  <si>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</si>
  <si>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</si>
  <si>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</si>
  <si>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</si>
  <si>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</si>
  <si>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</si>
  <si>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</si>
  <si>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</si>
  <si>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</si>
  <si>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</si>
  <si>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</si>
  <si>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</si>
  <si>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</si>
  <si>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</si>
  <si>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</si>
  <si>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</si>
  <si>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</si>
  <si>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</si>
  <si>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</si>
  <si>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</si>
  <si>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</si>
  <si>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</si>
  <si>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</si>
  <si>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</si>
  <si>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</si>
  <si>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</si>
  <si>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</si>
  <si>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</si>
  <si>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</si>
  <si>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</si>
  <si>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</si>
  <si>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</si>
  <si>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</si>
  <si>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</si>
  <si>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</si>
  <si>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</si>
  <si>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</si>
  <si>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</si>
  <si>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</si>
  <si>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</si>
  <si>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</si>
  <si>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</si>
  <si>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</si>
  <si>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</si>
  <si>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</si>
  <si>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</si>
  <si>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</si>
  <si>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</si>
  <si>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</si>
  <si>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</si>
  <si>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</si>
  <si>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</si>
  <si>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</si>
  <si>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</si>
  <si>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</si>
  <si>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</si>
  <si>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</si>
  <si>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</si>
  <si>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</si>
  <si>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</si>
  <si>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</si>
  <si>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</si>
  <si>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</si>
  <si>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</si>
  <si>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</si>
  <si>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</si>
  <si>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</si>
  <si>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</si>
  <si>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</si>
  <si>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</si>
  <si>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</si>
  <si>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</si>
  <si>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</si>
  <si>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</si>
  <si>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</si>
  <si>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</si>
  <si>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</si>
  <si>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</si>
  <si>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</si>
  <si>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</si>
  <si>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</si>
  <si>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</si>
  <si>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</si>
  <si>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</si>
  <si>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</si>
  <si>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</si>
  <si>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</si>
  <si>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</si>
  <si>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</si>
  <si>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</si>
  <si>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</si>
  <si>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</si>
  <si>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</si>
  <si>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</si>
  <si>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</si>
  <si>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</si>
  <si>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</si>
  <si>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</si>
  <si>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</si>
  <si>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</si>
  <si>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</si>
  <si>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</si>
  <si>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</si>
  <si>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</si>
  <si>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</si>
  <si>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</si>
  <si>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</si>
  <si>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</si>
  <si>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</si>
  <si>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</si>
  <si>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</si>
  <si>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</si>
  <si>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</si>
  <si>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</si>
  <si>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</si>
  <si>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</si>
  <si>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</si>
  <si>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</si>
  <si>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</si>
  <si>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</si>
  <si>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</si>
  <si>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</si>
  <si>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</si>
  <si>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</si>
  <si>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</si>
  <si>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</si>
  <si>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</si>
  <si>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</si>
  <si>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</si>
  <si>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</si>
  <si>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</si>
  <si>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</si>
  <si>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</si>
  <si>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</si>
  <si>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</si>
  <si>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</si>
  <si>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</si>
  <si>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</si>
  <si>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</si>
  <si>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</si>
  <si>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</si>
  <si>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</si>
  <si>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</si>
  <si>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</si>
  <si>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</si>
  <si>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</si>
  <si>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</si>
  <si>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</si>
  <si>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</si>
  <si>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</si>
  <si>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</si>
  <si>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</si>
  <si>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</si>
  <si>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</si>
  <si>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</si>
  <si>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</si>
  <si>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</si>
  <si>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</si>
  <si>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</si>
  <si>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</si>
  <si>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</si>
  <si>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</si>
  <si>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</si>
  <si>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</si>
  <si>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</si>
  <si>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</si>
  <si>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</si>
  <si>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</si>
  <si>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</si>
  <si>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</si>
  <si>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</si>
  <si>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</si>
  <si>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</si>
  <si>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</si>
  <si>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</si>
  <si>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</si>
  <si>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</si>
  <si>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</si>
  <si>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</si>
  <si>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</si>
  <si>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</si>
  <si>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</si>
  <si>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</si>
  <si>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</si>
  <si>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</si>
  <si>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</si>
  <si>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</si>
  <si>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</si>
  <si>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</si>
  <si>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</si>
  <si>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</si>
  <si>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</si>
  <si>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</si>
  <si>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</si>
  <si>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</si>
  <si>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</si>
  <si>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</si>
  <si>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</si>
  <si>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</si>
  <si>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</si>
  <si>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</si>
  <si>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</si>
  <si>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</si>
  <si>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</si>
  <si>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</si>
  <si>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</si>
  <si>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</si>
  <si>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</si>
  <si>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</si>
  <si>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</si>
  <si>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</si>
  <si>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</si>
  <si>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</si>
  <si>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</si>
  <si>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</si>
  <si>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</si>
  <si>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</si>
  <si>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</si>
  <si>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</si>
  <si>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</si>
  <si>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</si>
  <si>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</si>
  <si>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</si>
  <si>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</si>
  <si>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</si>
  <si>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</si>
  <si>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</si>
  <si>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</si>
  <si>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</si>
  <si>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</si>
  <si>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</si>
  <si>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</si>
  <si>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</si>
  <si>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</si>
  <si>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</si>
  <si>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</si>
  <si>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</si>
  <si>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</si>
  <si>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</si>
  <si>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</si>
  <si>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</si>
  <si>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</si>
  <si>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</si>
  <si>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</si>
  <si>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</si>
  <si>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</si>
  <si>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</si>
  <si>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</si>
  <si>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</si>
  <si>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</si>
  <si>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</si>
  <si>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</si>
  <si>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</si>
  <si>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</si>
  <si>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</si>
  <si>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</si>
  <si>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</si>
  <si>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</si>
  <si>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</si>
  <si>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</si>
  <si>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</si>
  <si>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</si>
  <si>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</si>
  <si>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</si>
  <si>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</si>
  <si>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</si>
  <si>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</si>
  <si>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</si>
  <si>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</si>
  <si>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</si>
  <si>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</si>
  <si>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</si>
  <si>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</si>
  <si>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</si>
  <si>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</si>
  <si>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</si>
  <si>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</si>
  <si>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</si>
  <si>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</si>
  <si>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</si>
  <si>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</si>
  <si>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</si>
  <si>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</si>
  <si>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</si>
  <si>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</si>
  <si>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</si>
  <si>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</si>
  <si>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</si>
  <si>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</si>
  <si>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</si>
  <si>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</si>
  <si>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</si>
  <si>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</si>
  <si>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</si>
  <si>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</si>
  <si>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</si>
  <si>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</si>
  <si>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</si>
  <si>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</si>
  <si>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</si>
  <si>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</si>
  <si>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</si>
  <si>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</si>
  <si>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</si>
  <si>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</si>
  <si>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</si>
  <si>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</si>
  <si>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</si>
  <si>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</si>
  <si>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</si>
  <si>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</si>
  <si>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</si>
  <si>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</si>
  <si>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</si>
  <si>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</si>
  <si>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</si>
  <si>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</si>
  <si>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</si>
  <si>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</si>
  <si>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</si>
  <si>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</si>
  <si>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</si>
  <si>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</si>
  <si>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</si>
  <si>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</si>
  <si>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</si>
  <si>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</si>
  <si>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</si>
  <si>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</si>
  <si>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</si>
  <si>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</si>
  <si>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</si>
  <si>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</si>
  <si>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</si>
  <si>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</si>
  <si>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</si>
  <si>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</si>
  <si>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</si>
  <si>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</si>
  <si>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</si>
  <si>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</si>
  <si>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</si>
  <si>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</si>
  <si>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</si>
  <si>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</si>
  <si>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</si>
  <si>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</si>
  <si>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</si>
  <si>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</si>
  <si>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</si>
  <si>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</si>
  <si>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</si>
  <si>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</si>
  <si>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</si>
  <si>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</si>
  <si>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</si>
  <si>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</si>
  <si>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</si>
  <si>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</si>
  <si>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</si>
  <si>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</si>
  <si>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</si>
  <si>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</si>
  <si>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</si>
  <si>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</si>
  <si>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</si>
  <si>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</si>
  <si>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</si>
  <si>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</si>
  <si>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</si>
  <si>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</si>
  <si>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</si>
  <si>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</si>
  <si>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</si>
  <si>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</si>
  <si>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</si>
  <si>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</si>
  <si>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</si>
  <si>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</si>
  <si>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</si>
  <si>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</si>
  <si>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</si>
  <si>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</si>
  <si>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</si>
  <si>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</si>
  <si>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</si>
  <si>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</si>
  <si>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</si>
  <si>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</si>
  <si>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</si>
  <si>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</si>
  <si>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</si>
  <si>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</si>
  <si>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</si>
  <si>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</si>
  <si>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</si>
  <si>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</si>
  <si>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</si>
  <si>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</si>
  <si>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</si>
  <si>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</si>
  <si>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</si>
  <si>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</si>
  <si>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</si>
  <si>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</si>
  <si>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</si>
  <si>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</si>
  <si>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</si>
  <si>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</si>
  <si>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</si>
  <si>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</si>
  <si>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</si>
  <si>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</si>
  <si>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</si>
  <si>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</si>
  <si>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</si>
  <si>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</si>
  <si>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</si>
  <si>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</si>
  <si>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</si>
  <si>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</si>
  <si>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</si>
  <si>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</si>
  <si>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</si>
  <si>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</si>
  <si>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</si>
  <si>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</si>
  <si>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</si>
  <si>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</si>
  <si>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</si>
  <si>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</si>
  <si>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</si>
  <si>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</si>
  <si>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</si>
  <si>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</si>
  <si>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</si>
  <si>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</si>
  <si>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</si>
  <si>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</si>
  <si>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</si>
  <si>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</si>
  <si>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</si>
  <si>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</si>
  <si>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</si>
  <si>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</si>
  <si>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</si>
  <si>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</si>
  <si>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</si>
  <si>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</si>
  <si>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</si>
  <si>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</si>
  <si>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</si>
  <si>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</si>
  <si>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</si>
  <si>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</si>
  <si>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</si>
  <si>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</si>
  <si>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</si>
  <si>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</si>
  <si>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</si>
  <si>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</si>
  <si>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</si>
  <si>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</si>
  <si>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</si>
  <si>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</si>
  <si>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</si>
  <si>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</si>
  <si>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</si>
  <si>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</si>
  <si>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</si>
  <si>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</si>
  <si>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</si>
  <si>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</si>
  <si>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</si>
  <si>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</si>
  <si>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</si>
  <si>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</si>
  <si>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</si>
  <si>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</si>
  <si>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</si>
  <si>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</si>
  <si>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</si>
  <si>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</si>
  <si>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</si>
  <si>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</si>
  <si>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</si>
  <si>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</si>
  <si>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</si>
  <si>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</si>
  <si>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</si>
  <si>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</si>
  <si>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</si>
  <si>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</si>
  <si>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</si>
  <si>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</si>
  <si>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</si>
  <si>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</si>
  <si>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</si>
  <si>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</si>
  <si>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</si>
  <si>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</si>
  <si>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</si>
  <si>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</si>
  <si>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</si>
  <si>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</si>
  <si>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</si>
  <si>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</si>
  <si>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</si>
  <si>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</si>
  <si>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</si>
  <si>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</si>
  <si>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</si>
  <si>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</si>
  <si>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</si>
  <si>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</si>
  <si>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</si>
  <si>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</si>
  <si>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</si>
  <si>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</si>
  <si>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</si>
  <si>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</si>
  <si>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</si>
  <si>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</si>
  <si>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</si>
  <si>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</si>
  <si>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</si>
  <si>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</si>
  <si>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</si>
  <si>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</si>
  <si>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</si>
  <si>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</si>
  <si>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</si>
  <si>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</si>
  <si>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</si>
  <si>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</si>
  <si>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</si>
  <si>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</si>
  <si>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</si>
  <si>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</si>
  <si>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</si>
  <si>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</si>
  <si>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</si>
  <si>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</si>
  <si>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</si>
  <si>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</si>
  <si>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</si>
  <si>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</si>
  <si>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</si>
  <si>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</si>
  <si>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</si>
  <si>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</si>
  <si>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</si>
  <si>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</si>
  <si>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</si>
  <si>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</si>
  <si>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</si>
  <si>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</si>
  <si>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</si>
  <si>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</si>
  <si>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</si>
  <si>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</si>
  <si>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</si>
  <si>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</si>
  <si>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</si>
  <si>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</si>
  <si>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</si>
  <si>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</si>
  <si>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</si>
  <si>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</si>
  <si>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</si>
  <si>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</si>
  <si>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</si>
  <si>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</si>
  <si>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</si>
  <si>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</si>
  <si>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</si>
  <si>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</si>
  <si>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</si>
  <si>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</si>
  <si>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</si>
  <si>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</si>
  <si>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</si>
  <si>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</si>
  <si>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</si>
  <si>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</si>
  <si>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</si>
  <si>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</si>
  <si>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</si>
  <si>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</si>
  <si>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</si>
  <si>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</si>
  <si>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</si>
  <si>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</si>
  <si>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</si>
  <si>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</si>
  <si>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</si>
  <si>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</si>
  <si>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</si>
  <si>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</si>
  <si>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</si>
  <si>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</si>
  <si>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</si>
  <si>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</si>
  <si>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</si>
  <si>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</si>
  <si>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</si>
  <si>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</si>
  <si>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</si>
  <si>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</si>
  <si>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</si>
  <si>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</si>
  <si>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</si>
  <si>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</si>
  <si>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</si>
  <si>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</si>
  <si>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</si>
  <si>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</si>
  <si>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</si>
  <si>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</si>
  <si>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</si>
  <si>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</si>
  <si>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</si>
  <si>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</si>
  <si>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</si>
  <si>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</si>
  <si>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</si>
  <si>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</si>
  <si>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</si>
  <si>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</si>
  <si>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</si>
  <si>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</si>
  <si>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</si>
  <si>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</si>
  <si>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</si>
  <si>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</si>
  <si>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</si>
  <si>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</si>
  <si>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</si>
  <si>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</si>
  <si>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</si>
  <si>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</si>
  <si>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</si>
  <si>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</si>
  <si>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</si>
  <si>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</si>
  <si>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</si>
  <si>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</si>
  <si>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</si>
  <si>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</si>
  <si>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</si>
  <si>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</si>
  <si>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</si>
  <si>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</si>
  <si>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</si>
  <si>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</si>
  <si>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</si>
  <si>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</si>
  <si>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</si>
  <si>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</si>
  <si>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</si>
  <si>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</si>
  <si>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</si>
  <si>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</si>
  <si>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</si>
  <si>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</si>
  <si>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</si>
  <si>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</si>
  <si>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</si>
  <si>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</si>
  <si>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</si>
  <si>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</si>
  <si>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</si>
  <si>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</si>
  <si>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</si>
  <si>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</si>
  <si>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</si>
  <si>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</si>
  <si>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</si>
  <si>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</si>
  <si>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</si>
  <si>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</si>
  <si>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</si>
  <si>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</si>
  <si>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</si>
  <si>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</si>
  <si>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</si>
  <si>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</si>
  <si>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</si>
  <si>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</si>
  <si>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</si>
  <si>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</si>
  <si>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</si>
  <si>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</si>
  <si>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</si>
  <si>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</si>
  <si>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</si>
  <si>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</si>
  <si>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</si>
  <si>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</si>
  <si>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</si>
  <si>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</si>
  <si>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</si>
  <si>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</si>
  <si>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</si>
  <si>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</si>
  <si>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</si>
  <si>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</si>
  <si>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</si>
  <si>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</si>
  <si>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</si>
  <si>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</si>
  <si>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</si>
  <si>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</si>
  <si>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</si>
  <si>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</si>
  <si>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</si>
  <si>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</si>
  <si>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</si>
  <si>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</si>
  <si>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</si>
  <si>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</si>
  <si>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</si>
  <si>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</si>
  <si>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</si>
  <si>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</si>
  <si>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</si>
  <si>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</si>
  <si>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</si>
  <si>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</si>
  <si>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</si>
  <si>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</si>
  <si>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</si>
  <si>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</si>
  <si>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</si>
  <si>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</si>
  <si>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</si>
  <si>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</si>
  <si>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</si>
  <si>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</si>
  <si>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</si>
  <si>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</si>
  <si>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</si>
  <si>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</si>
  <si>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</si>
  <si>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</si>
  <si>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</si>
  <si>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</si>
  <si>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</si>
  <si>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</si>
  <si>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</si>
  <si>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</si>
  <si>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</si>
  <si>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</si>
  <si>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</si>
  <si>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</si>
  <si>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</si>
  <si>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</si>
  <si>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</si>
  <si>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</si>
  <si>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</si>
  <si>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</si>
  <si>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</si>
  <si>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</si>
  <si>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</si>
  <si>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</si>
  <si>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</si>
  <si>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</si>
  <si>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</si>
  <si>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</si>
  <si>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</si>
  <si>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</si>
  <si>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</si>
  <si>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</si>
  <si>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</si>
  <si>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</si>
  <si>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</si>
  <si>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</si>
  <si>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</si>
  <si>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</si>
  <si>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</si>
  <si>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</si>
  <si>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</si>
  <si>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</si>
  <si>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</si>
  <si>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</si>
  <si>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</si>
  <si>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</si>
  <si>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</si>
  <si>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</si>
  <si>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</si>
  <si>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</si>
  <si>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</si>
  <si>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</si>
  <si>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</si>
  <si>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</si>
  <si>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</si>
  <si>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</si>
  <si>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</si>
  <si>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</si>
  <si>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</si>
  <si>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</si>
  <si>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</si>
  <si>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</si>
  <si>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</si>
  <si>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</si>
  <si>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</si>
  <si>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</si>
  <si>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</si>
  <si>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</si>
  <si>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</si>
  <si>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</si>
  <si>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</si>
  <si>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</si>
  <si>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</si>
  <si>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</si>
  <si>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</si>
  <si>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</si>
  <si>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</si>
  <si>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</si>
  <si>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</si>
  <si>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</si>
  <si>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</si>
  <si>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</si>
  <si>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</si>
  <si>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</si>
  <si>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</si>
  <si>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</si>
  <si>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</si>
  <si>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</si>
  <si>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</si>
  <si>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</si>
  <si>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</si>
  <si>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</si>
  <si>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</si>
  <si>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</si>
  <si>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</si>
  <si>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</si>
  <si>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</si>
  <si>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</si>
  <si>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</si>
  <si>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</si>
  <si>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</si>
  <si>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</si>
  <si>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</si>
  <si>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</si>
  <si>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</si>
  <si>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</si>
  <si>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</si>
  <si>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</si>
  <si>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</si>
  <si>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</si>
  <si>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</si>
  <si>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</si>
  <si>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</si>
  <si>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</si>
  <si>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</si>
  <si>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</si>
  <si>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</si>
  <si>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</si>
  <si>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</si>
  <si>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</si>
  <si>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</si>
  <si>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</si>
  <si>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</si>
  <si>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</si>
  <si>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</si>
  <si>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</si>
  <si>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</si>
  <si>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</si>
  <si>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</si>
  <si>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</si>
  <si>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</si>
  <si>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</si>
  <si>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</si>
  <si>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</si>
  <si>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</si>
  <si>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</si>
  <si>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</si>
  <si>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</si>
  <si>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</si>
  <si>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</si>
  <si>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</si>
  <si>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</si>
  <si>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</si>
  <si>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</si>
  <si>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</si>
  <si>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</si>
  <si>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</si>
  <si>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</si>
  <si>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</si>
  <si>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</si>
  <si>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</si>
  <si>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</si>
  <si>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</si>
  <si>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</si>
  <si>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</si>
  <si>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</si>
  <si>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</si>
  <si>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</si>
  <si>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</si>
  <si>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</si>
  <si>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</si>
  <si>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</si>
  <si>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</si>
  <si>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</si>
  <si>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</si>
  <si>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</si>
  <si>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</si>
  <si>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</si>
  <si>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</si>
  <si>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</si>
  <si>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</si>
  <si>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</si>
  <si>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</si>
  <si>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</si>
  <si>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</si>
  <si>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</si>
  <si>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</si>
  <si>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</si>
  <si>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</si>
  <si>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</si>
  <si>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</si>
  <si>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</si>
  <si>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</si>
  <si>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</si>
  <si>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</si>
  <si>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</si>
  <si>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</si>
  <si>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</si>
  <si>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</si>
  <si>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</si>
  <si>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</si>
  <si>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</si>
  <si>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</si>
  <si>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</si>
  <si>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</si>
  <si>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</si>
  <si>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</si>
  <si>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</si>
  <si>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</si>
  <si>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</si>
  <si>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</si>
  <si>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</si>
  <si>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</si>
  <si>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</si>
  <si>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</si>
  <si>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</si>
  <si>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</si>
  <si>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</si>
  <si>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</si>
  <si>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</si>
  <si>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</si>
  <si>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</si>
  <si>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</si>
  <si>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</si>
  <si>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</si>
  <si>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</si>
  <si>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</si>
  <si>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</si>
  <si>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</si>
  <si>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</si>
  <si>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</si>
  <si>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</si>
  <si>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</si>
  <si>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</si>
  <si>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</si>
  <si>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</si>
  <si>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</si>
  <si>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</si>
  <si>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</si>
  <si>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</si>
  <si>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</si>
  <si>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</si>
  <si>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</si>
  <si>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</si>
  <si>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</si>
  <si>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</si>
  <si>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</si>
  <si>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</si>
  <si>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</si>
  <si>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</si>
  <si>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</si>
  <si>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</si>
  <si>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</si>
  <si>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</si>
  <si>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</si>
  <si>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</si>
  <si>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</si>
  <si>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</si>
  <si>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</si>
  <si>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</si>
  <si>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</si>
  <si>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</si>
  <si>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</si>
  <si>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</si>
  <si>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</si>
  <si>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</si>
  <si>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</si>
  <si>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</si>
  <si>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</si>
  <si>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</si>
  <si>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</si>
  <si>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</si>
  <si>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</si>
  <si>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</si>
  <si>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</si>
  <si>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</si>
  <si>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</si>
  <si>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</si>
  <si>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</si>
  <si>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</si>
  <si>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</si>
  <si>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</si>
  <si>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</si>
  <si>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</si>
  <si>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</si>
  <si>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</si>
  <si>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</si>
  <si>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</si>
  <si>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</si>
  <si>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</si>
  <si>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</si>
  <si>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</si>
  <si>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</si>
  <si>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</si>
  <si>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</si>
  <si>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</si>
  <si>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</si>
  <si>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</si>
  <si>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</si>
  <si>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</si>
  <si>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</si>
  <si>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</si>
  <si>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</si>
  <si>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</si>
  <si>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</si>
  <si>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</si>
  <si>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</si>
  <si>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</si>
  <si>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</si>
  <si>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</si>
  <si>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</si>
  <si>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</si>
  <si>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</si>
  <si>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</si>
  <si>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</si>
  <si>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</si>
  <si>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</si>
  <si>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</si>
  <si>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</si>
  <si>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</si>
  <si>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</si>
  <si>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</si>
  <si>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</si>
  <si>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</si>
  <si>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</si>
  <si>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</si>
  <si>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</si>
  <si>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</si>
  <si>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</si>
  <si>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</si>
  <si>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</si>
  <si>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</si>
  <si>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</si>
  <si>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</si>
  <si>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</si>
  <si>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</si>
  <si>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</si>
  <si>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</si>
  <si>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</si>
  <si>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</si>
  <si>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</si>
  <si>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</si>
  <si>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</si>
  <si>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</si>
  <si>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</si>
  <si>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</si>
  <si>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</si>
  <si>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</si>
  <si>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</si>
  <si>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</si>
  <si>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</si>
  <si>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</si>
  <si>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</si>
  <si>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</si>
  <si>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</si>
  <si>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</si>
  <si>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</si>
  <si>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</si>
  <si>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</si>
  <si>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</si>
  <si>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</si>
  <si>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</si>
  <si>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</si>
  <si>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</si>
  <si>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</si>
  <si>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</si>
  <si>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</si>
  <si>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</si>
  <si>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</si>
  <si>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</si>
  <si>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</si>
  <si>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</si>
  <si>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</si>
  <si>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</si>
  <si>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</si>
  <si>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</si>
  <si>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</si>
  <si>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</si>
  <si>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</si>
  <si>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</si>
  <si>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</si>
  <si>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</si>
  <si>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</si>
  <si>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</si>
  <si>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</si>
  <si>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</si>
  <si>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</si>
  <si>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</si>
  <si>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</si>
  <si>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</si>
  <si>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</si>
  <si>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</si>
  <si>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</si>
  <si>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</si>
  <si>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</si>
  <si>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</si>
  <si>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</si>
  <si>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</si>
  <si>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</si>
  <si>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</si>
  <si>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</si>
  <si>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</si>
  <si>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</si>
  <si>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</si>
  <si>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</si>
  <si>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</si>
  <si>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</si>
  <si>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</si>
  <si>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</si>
  <si>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</si>
  <si>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</si>
  <si>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</si>
  <si>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</si>
  <si>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</si>
  <si>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</si>
  <si>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</si>
  <si>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</si>
  <si>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</si>
  <si>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</si>
  <si>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</si>
  <si>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</si>
  <si>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</si>
  <si>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</si>
  <si>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</si>
  <si>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</si>
  <si>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</si>
  <si>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</si>
  <si>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</si>
  <si>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</si>
  <si>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</si>
  <si>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</si>
  <si>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</si>
  <si>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</si>
  <si>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</si>
  <si>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</si>
  <si>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</si>
  <si>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</si>
  <si>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</si>
  <si>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</si>
  <si>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</si>
  <si>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</si>
  <si>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</si>
  <si>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</si>
  <si>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</si>
  <si>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</si>
  <si>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</si>
  <si>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</si>
  <si>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</si>
  <si>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</si>
  <si>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</si>
  <si>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</si>
  <si>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</si>
  <si>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</si>
  <si>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</si>
  <si>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</si>
  <si>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</si>
  <si>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</si>
  <si>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</si>
  <si>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</si>
  <si>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</si>
  <si>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</si>
  <si>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</si>
  <si>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</si>
  <si>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</si>
  <si>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</si>
  <si>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</si>
  <si>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</si>
  <si>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</si>
  <si>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</si>
  <si>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</si>
  <si>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</si>
  <si>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</si>
  <si>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</si>
  <si>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</si>
  <si>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</si>
  <si>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</si>
  <si>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</si>
  <si>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</si>
  <si>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</si>
  <si>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</si>
  <si>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</si>
  <si>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</si>
  <si>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</si>
  <si>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</si>
  <si>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</si>
  <si>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</si>
  <si>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</si>
  <si>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</si>
  <si>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</si>
  <si>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</si>
  <si>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</si>
  <si>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</si>
  <si>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</si>
  <si>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</si>
  <si>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</si>
  <si>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</si>
  <si>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</si>
  <si>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</si>
  <si>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</si>
  <si>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</si>
  <si>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</si>
  <si>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</si>
  <si>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</si>
  <si>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</si>
  <si>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</si>
  <si>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</si>
  <si>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</si>
  <si>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</si>
  <si>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</si>
  <si>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</si>
  <si>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</si>
  <si>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</si>
  <si>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</si>
  <si>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</si>
  <si>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</si>
  <si>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</si>
  <si>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</si>
  <si>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</si>
  <si>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</si>
  <si>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</si>
  <si>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</si>
  <si>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</si>
  <si>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</si>
  <si>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</si>
  <si>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</si>
  <si>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</si>
  <si>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</si>
  <si>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</si>
  <si>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</si>
  <si>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</si>
  <si>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</si>
  <si>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</si>
  <si>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</si>
  <si>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</si>
  <si>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</si>
  <si>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</si>
  <si>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</si>
  <si>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</si>
  <si>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</si>
  <si>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</si>
  <si>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</si>
  <si>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</si>
  <si>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</si>
  <si>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</si>
  <si>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</si>
  <si>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</si>
  <si>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</si>
  <si>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</si>
  <si>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</si>
  <si>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</si>
  <si>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</si>
  <si>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</si>
  <si>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</si>
  <si>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</si>
  <si>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</si>
  <si>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</si>
  <si>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</si>
  <si>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</si>
  <si>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</si>
  <si>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</si>
  <si>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</si>
  <si>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</si>
  <si>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</si>
  <si>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</si>
  <si>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</si>
  <si>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</si>
  <si>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</si>
  <si>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</si>
  <si>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</si>
  <si>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</si>
  <si>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</si>
  <si>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</si>
  <si>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</si>
  <si>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</si>
  <si>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</si>
  <si>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</si>
  <si>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</si>
  <si>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</si>
  <si>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</si>
  <si>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</si>
  <si>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</si>
  <si>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</si>
  <si>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</si>
  <si>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</si>
  <si>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</si>
  <si>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</si>
  <si>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</si>
  <si>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</si>
  <si>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</si>
  <si>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</si>
  <si>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</si>
  <si>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</si>
  <si>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</si>
  <si>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</si>
  <si>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</si>
  <si>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</si>
  <si>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</si>
  <si>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</si>
  <si>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</si>
  <si>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</si>
  <si>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</si>
  <si>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</si>
  <si>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</si>
  <si>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</si>
  <si>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</si>
  <si>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</si>
  <si>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</si>
  <si>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</si>
  <si>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</si>
  <si>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</si>
  <si>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</si>
  <si>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</si>
  <si>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</si>
  <si>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</si>
  <si>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</si>
  <si>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</si>
  <si>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</si>
  <si>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</si>
  <si>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</si>
  <si>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</si>
  <si>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</si>
  <si>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</si>
  <si>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</si>
  <si>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</si>
  <si>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</si>
  <si>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</si>
  <si>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</si>
  <si>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</si>
  <si>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</si>
  <si>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</si>
  <si>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</si>
  <si>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</si>
  <si>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</si>
  <si>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</si>
  <si>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</si>
  <si>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</si>
  <si>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</si>
  <si>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</si>
  <si>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</si>
  <si>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</si>
  <si>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</si>
  <si>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</si>
  <si>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</si>
  <si>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</si>
  <si>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</si>
  <si>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</si>
  <si>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</si>
  <si>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</si>
  <si>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</si>
  <si>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</si>
  <si>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</si>
  <si>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</si>
  <si>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</si>
  <si>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</si>
  <si>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</si>
  <si>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</si>
  <si>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</si>
  <si>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</si>
  <si>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</si>
  <si>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</si>
  <si>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</si>
  <si>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</si>
  <si>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</si>
  <si>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</si>
  <si>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</si>
  <si>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</si>
  <si>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</si>
  <si>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</si>
  <si>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</si>
  <si>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</si>
  <si>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</si>
  <si>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</si>
  <si>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</si>
  <si>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</si>
  <si>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</si>
  <si>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</si>
  <si>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</si>
  <si>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</si>
  <si>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</si>
  <si>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</si>
  <si>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</si>
  <si>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</si>
  <si>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</si>
  <si>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</si>
  <si>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</si>
  <si>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</si>
  <si>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</si>
  <si>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</si>
  <si>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</si>
  <si>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</si>
  <si>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</si>
  <si>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</si>
  <si>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</si>
  <si>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</si>
  <si>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</si>
  <si>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</si>
  <si>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</si>
  <si>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</si>
  <si>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</si>
  <si>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</si>
  <si>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</si>
  <si>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</si>
  <si>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</si>
  <si>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</si>
  <si>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</si>
  <si>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</si>
  <si>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</si>
  <si>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</si>
  <si>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</si>
  <si>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</si>
  <si>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</si>
  <si>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</si>
  <si>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</si>
  <si>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</si>
  <si>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</si>
  <si>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</si>
  <si>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</si>
  <si>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</si>
  <si>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</si>
  <si>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</si>
  <si>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</si>
  <si>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</si>
  <si>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</si>
  <si>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</si>
  <si>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</si>
  <si>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</si>
  <si>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</si>
  <si>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</si>
  <si>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</si>
  <si>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</si>
  <si>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</si>
  <si>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</si>
  <si>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</si>
  <si>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</si>
  <si>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</si>
  <si>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</si>
  <si>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</si>
  <si>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</si>
  <si>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</si>
  <si>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</si>
  <si>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</si>
  <si>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</si>
  <si>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</si>
  <si>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</si>
  <si>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</si>
  <si>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</si>
  <si>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</si>
  <si>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</si>
  <si>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</si>
  <si>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</si>
  <si>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</si>
  <si>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</si>
  <si>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</si>
  <si>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</si>
  <si>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</si>
  <si>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</si>
  <si>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</si>
  <si>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</si>
  <si>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</si>
  <si>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</si>
  <si>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</si>
  <si>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</si>
  <si>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</si>
  <si>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</si>
  <si>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</si>
  <si>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</si>
  <si>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</si>
  <si>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</si>
  <si>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</si>
  <si>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</si>
  <si>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</si>
  <si>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</si>
  <si>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</si>
  <si>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</si>
  <si>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</si>
  <si>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</si>
  <si>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</si>
  <si>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</si>
  <si>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</si>
  <si>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</si>
  <si>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</si>
  <si>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</si>
  <si>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</si>
  <si>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</si>
  <si>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</si>
  <si>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</si>
  <si>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</si>
  <si>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</si>
  <si>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</si>
  <si>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</si>
  <si>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</si>
  <si>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</si>
  <si>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</si>
  <si>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</si>
  <si>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</si>
  <si>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</si>
  <si>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</si>
  <si>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</si>
  <si>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</si>
  <si>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</si>
  <si>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</si>
  <si>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</si>
  <si>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</si>
  <si>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</si>
  <si>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</si>
  <si>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</si>
  <si>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</si>
  <si>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</si>
  <si>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</si>
  <si>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</si>
  <si>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</si>
  <si>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</si>
  <si>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</si>
  <si>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</si>
  <si>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</si>
  <si>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</si>
  <si>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</si>
  <si>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</si>
  <si>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</si>
  <si>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</si>
  <si>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</si>
  <si>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</si>
  <si>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</si>
  <si>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</si>
  <si>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</si>
  <si>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</si>
  <si>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</si>
  <si>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</si>
  <si>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</si>
  <si>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</si>
  <si>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</si>
  <si>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</si>
  <si>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</si>
  <si>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</si>
  <si>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</si>
  <si>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</si>
  <si>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</si>
  <si>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</si>
  <si>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</si>
  <si>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</si>
  <si>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</si>
  <si>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</si>
  <si>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</si>
  <si>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</si>
  <si>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</si>
  <si>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</si>
  <si>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</si>
  <si>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</si>
  <si>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</si>
  <si>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</si>
  <si>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</si>
  <si>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</si>
  <si>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</si>
  <si>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</si>
  <si>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</si>
  <si>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</si>
  <si>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</si>
  <si>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</si>
  <si>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</si>
  <si>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</si>
  <si>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</si>
  <si>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</si>
  <si>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</si>
  <si>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</si>
  <si>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</si>
  <si>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</si>
  <si>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</si>
  <si>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</si>
  <si>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</si>
  <si>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</si>
  <si>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</si>
  <si>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</si>
  <si>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</si>
  <si>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</si>
  <si>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</si>
  <si>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</si>
  <si>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</si>
  <si>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</si>
  <si>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</si>
  <si>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</si>
  <si>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</si>
  <si>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</si>
  <si>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</si>
  <si>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</si>
  <si>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</si>
  <si>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</si>
  <si>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</si>
  <si>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</si>
  <si>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</si>
  <si>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</si>
  <si>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</si>
  <si>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</si>
  <si>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</si>
  <si>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</si>
  <si>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</si>
  <si>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</si>
  <si>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</si>
  <si>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</si>
  <si>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</si>
  <si>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</si>
  <si>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</si>
  <si>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</si>
  <si>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</si>
  <si>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</si>
  <si>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</si>
  <si>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</si>
  <si>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</si>
  <si>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</si>
  <si>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</si>
  <si>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</si>
  <si>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</si>
  <si>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</si>
  <si>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</si>
  <si>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</si>
  <si>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</si>
  <si>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</si>
  <si>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</si>
  <si>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</si>
  <si>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</si>
  <si>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</si>
  <si>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</si>
  <si>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</si>
  <si>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</si>
  <si>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</si>
  <si>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</si>
  <si>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</si>
  <si>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</si>
  <si>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</si>
  <si>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</si>
  <si>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</si>
  <si>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</si>
  <si>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</si>
  <si>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</si>
  <si>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</si>
  <si>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</si>
  <si>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</si>
  <si>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</si>
  <si>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</si>
  <si>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</si>
  <si>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</si>
  <si>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</si>
  <si>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</si>
  <si>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</si>
  <si>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</si>
  <si>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</si>
  <si>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</si>
  <si>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</si>
  <si>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</si>
  <si>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</si>
  <si>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</si>
  <si>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</si>
  <si>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</si>
  <si>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</si>
  <si>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</si>
  <si>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</si>
  <si>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</si>
  <si>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</si>
  <si>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</si>
  <si>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</si>
  <si>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</si>
  <si>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</si>
  <si>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</si>
  <si>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</si>
  <si>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</si>
  <si>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</si>
  <si>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</si>
  <si>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</si>
  <si>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</si>
  <si>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</si>
  <si>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</si>
  <si>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</si>
  <si>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</si>
  <si>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</si>
  <si>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</si>
  <si>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</si>
  <si>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</si>
  <si>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</si>
  <si>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</si>
  <si>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</si>
  <si>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</si>
  <si>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</si>
  <si>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</si>
  <si>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</si>
  <si>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</si>
  <si>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</si>
  <si>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</si>
  <si>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</si>
  <si>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</si>
  <si>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</si>
  <si>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</si>
  <si>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</si>
  <si>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</si>
  <si>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</si>
  <si>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</si>
  <si>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</si>
  <si>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</si>
  <si>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</si>
  <si>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</si>
  <si>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</si>
  <si>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</si>
  <si>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</si>
  <si>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</si>
  <si>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</si>
  <si>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</si>
  <si>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</si>
  <si>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</si>
  <si>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</si>
  <si>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</si>
  <si>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</si>
  <si>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</si>
  <si>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</si>
  <si>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</si>
  <si>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</si>
  <si>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</si>
  <si>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</si>
  <si>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</si>
  <si>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</si>
  <si>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</si>
  <si>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</si>
  <si>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</si>
  <si>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</si>
  <si>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</si>
  <si>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</si>
  <si>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</si>
  <si>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</si>
  <si>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</si>
  <si>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</si>
  <si>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</si>
  <si>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</si>
  <si>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</si>
  <si>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</si>
  <si>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</si>
  <si>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</si>
  <si>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</si>
  <si>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</si>
  <si>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</si>
  <si>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</si>
  <si>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</si>
  <si>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</si>
  <si>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</si>
  <si>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</si>
  <si>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</si>
  <si>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</si>
  <si>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</si>
  <si>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</si>
  <si>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</si>
  <si>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</si>
  <si>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</si>
  <si>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</si>
  <si>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</si>
  <si>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</si>
  <si>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</si>
  <si>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</si>
  <si>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</si>
  <si>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</si>
  <si>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</si>
  <si>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</si>
  <si>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</si>
  <si>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</si>
  <si>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</si>
  <si>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</si>
  <si>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</si>
  <si>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</si>
  <si>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</si>
  <si>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</si>
  <si>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</si>
  <si>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</si>
  <si>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</si>
  <si>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</si>
  <si>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</si>
  <si>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</si>
  <si>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</si>
  <si>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</si>
  <si>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</si>
  <si>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</si>
  <si>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</si>
  <si>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</si>
  <si>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</si>
  <si>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</si>
  <si>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</si>
  <si>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</si>
  <si>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</si>
  <si>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</si>
  <si>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</si>
  <si>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</si>
  <si>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</si>
  <si>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</si>
  <si>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</si>
  <si>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</si>
  <si>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</si>
  <si>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</si>
  <si>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</si>
  <si>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</si>
  <si>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</si>
  <si>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</si>
  <si>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</si>
  <si>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</si>
  <si>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</si>
  <si>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</si>
  <si>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</si>
  <si>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</si>
  <si>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</si>
  <si>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</si>
  <si>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</si>
  <si>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</si>
  <si>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</si>
  <si>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</si>
  <si>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</si>
  <si>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</si>
  <si>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</si>
  <si>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</si>
  <si>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</si>
  <si>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</si>
  <si>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</si>
  <si>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</si>
  <si>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</si>
  <si>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</si>
  <si>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</si>
  <si>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</si>
  <si>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</si>
  <si>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</si>
  <si>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</si>
  <si>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</si>
  <si>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</si>
  <si>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</si>
  <si>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</si>
  <si>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</si>
  <si>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</si>
  <si>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</si>
  <si>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</si>
  <si>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</si>
  <si>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</si>
  <si>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</si>
  <si>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</si>
  <si>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</si>
  <si>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</si>
  <si>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</si>
  <si>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</si>
  <si>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</si>
  <si>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</si>
  <si>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</si>
  <si>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</si>
  <si>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</si>
  <si>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</si>
  <si>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</si>
  <si>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</si>
  <si>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</si>
  <si>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</si>
  <si>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</si>
  <si>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</si>
  <si>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</si>
  <si>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</si>
  <si>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</si>
  <si>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</si>
  <si>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</si>
  <si>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</si>
  <si>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</si>
  <si>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</si>
  <si>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</si>
  <si>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</si>
  <si>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</si>
  <si>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</si>
  <si>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</si>
  <si>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</si>
  <si>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</si>
  <si>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</si>
  <si>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</si>
  <si>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</si>
  <si>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</si>
  <si>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</si>
  <si>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</si>
  <si>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</si>
  <si>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</si>
  <si>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</si>
  <si>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</si>
  <si>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</si>
  <si>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</si>
  <si>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</si>
  <si>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</si>
  <si>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</si>
  <si>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</si>
  <si>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</si>
  <si>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</si>
  <si>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</si>
  <si>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</si>
  <si>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</si>
  <si>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</si>
  <si>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</si>
  <si>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</si>
  <si>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</si>
  <si>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</si>
  <si>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</si>
  <si>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</si>
  <si>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</si>
  <si>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</si>
  <si>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</si>
  <si>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</si>
  <si>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</si>
  <si>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</si>
  <si>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</si>
  <si>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</si>
  <si>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</si>
  <si>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</si>
  <si>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</si>
  <si>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</si>
  <si>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</si>
  <si>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</si>
  <si>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</si>
  <si>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</si>
  <si>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</si>
  <si>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</si>
  <si>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</si>
  <si>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</si>
  <si>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</si>
  <si>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</si>
  <si>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</si>
  <si>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</si>
  <si>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</si>
  <si>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</si>
  <si>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</si>
  <si>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</si>
  <si>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</si>
  <si>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</si>
  <si>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</si>
  <si>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</si>
  <si>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</si>
  <si>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</si>
  <si>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</si>
  <si>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</si>
  <si>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</si>
  <si>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</si>
  <si>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</si>
  <si>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</si>
  <si>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</si>
  <si>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</si>
  <si>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</si>
  <si>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</si>
  <si>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</si>
  <si>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</si>
  <si>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</si>
  <si>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</si>
  <si>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</si>
  <si>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</si>
  <si>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</si>
  <si>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</si>
  <si>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</si>
  <si>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</si>
  <si>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</si>
  <si>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</si>
  <si>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</si>
  <si>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</si>
  <si>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</si>
  <si>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</si>
  <si>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</si>
  <si>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</si>
  <si>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</si>
  <si>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</si>
  <si>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</si>
  <si>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</si>
  <si>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</si>
  <si>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</si>
  <si>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</si>
  <si>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</si>
  <si>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</si>
  <si>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</si>
  <si>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</si>
  <si>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</si>
  <si>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</si>
  <si>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</si>
  <si>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</si>
  <si>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</si>
  <si>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</si>
  <si>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</si>
  <si>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</si>
  <si>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</si>
  <si>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</si>
  <si>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</si>
  <si>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</si>
  <si>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</si>
  <si>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</si>
  <si>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</si>
  <si>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</si>
  <si>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</si>
  <si>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</si>
  <si>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</si>
  <si>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</si>
  <si>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</si>
  <si>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</si>
  <si>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</si>
  <si>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</si>
  <si>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</si>
  <si>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</si>
  <si>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</si>
  <si>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</si>
  <si>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</si>
  <si>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</si>
  <si>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</si>
  <si>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</si>
  <si>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</si>
  <si>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</si>
  <si>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</si>
  <si>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</si>
  <si>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</si>
  <si>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</si>
  <si>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</si>
  <si>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</si>
  <si>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</si>
  <si>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</si>
  <si>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</si>
  <si>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</si>
  <si>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</si>
  <si>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</si>
  <si>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</si>
  <si>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</si>
  <si>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</si>
  <si>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</si>
  <si>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</si>
  <si>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</si>
  <si>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</si>
  <si>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</si>
  <si>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</si>
  <si>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</si>
  <si>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</si>
  <si>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</si>
  <si>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</si>
  <si>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</si>
  <si>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</si>
  <si>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</si>
  <si>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</si>
  <si>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</si>
  <si>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</si>
  <si>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</si>
  <si>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</si>
  <si>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</si>
  <si>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</si>
  <si>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</si>
  <si>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</si>
  <si>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</si>
  <si>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</si>
  <si>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</si>
  <si>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</si>
  <si>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</si>
  <si>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</si>
  <si>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</si>
  <si>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</si>
  <si>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</si>
  <si>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</si>
  <si>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</si>
  <si>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</si>
  <si>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</si>
  <si>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</si>
  <si>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</si>
  <si>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</si>
  <si>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</si>
  <si>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</si>
  <si>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</si>
  <si>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</si>
  <si>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</si>
  <si>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</si>
  <si>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</si>
  <si>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</si>
  <si>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</si>
  <si>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</si>
  <si>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</si>
  <si>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</si>
  <si>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</si>
  <si>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</si>
  <si>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</si>
  <si>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</si>
  <si>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</si>
  <si>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</si>
  <si>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</si>
  <si>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</si>
  <si>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</si>
  <si>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</si>
  <si>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</si>
  <si>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</si>
  <si>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</si>
  <si>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</si>
  <si>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</si>
  <si>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</si>
  <si>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</si>
  <si>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</si>
  <si>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</si>
  <si>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</si>
  <si>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</si>
  <si>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</si>
  <si>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</si>
  <si>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</si>
  <si>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</si>
  <si>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</si>
  <si>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</si>
  <si>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</si>
  <si>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</si>
  <si>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</si>
  <si>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</si>
  <si>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</si>
  <si>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</si>
  <si>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</si>
  <si>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</si>
  <si>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</si>
  <si>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</si>
  <si>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</si>
  <si>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</si>
  <si>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</si>
  <si>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</si>
  <si>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</si>
  <si>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</si>
  <si>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</si>
  <si>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</si>
  <si>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</si>
  <si>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</si>
  <si>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</si>
  <si>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</si>
  <si>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</si>
  <si>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</si>
  <si>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</si>
  <si>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</si>
  <si>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</si>
  <si>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</si>
  <si>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</si>
  <si>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</si>
  <si>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</si>
  <si>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</si>
  <si>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</si>
  <si>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</si>
  <si>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</si>
  <si>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</si>
  <si>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</si>
  <si>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</si>
  <si>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</si>
  <si>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</si>
  <si>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</si>
  <si>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</si>
  <si>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</si>
  <si>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</si>
  <si>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</si>
  <si>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</si>
  <si>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</si>
  <si>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</si>
  <si>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</si>
  <si>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</si>
  <si>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</si>
  <si>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</si>
  <si>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</si>
  <si>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</si>
  <si>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</si>
  <si>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</si>
  <si>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</si>
  <si>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</si>
  <si>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</si>
  <si>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</si>
  <si>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</si>
  <si>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</si>
  <si>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</si>
  <si>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</si>
  <si>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</si>
  <si>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</si>
  <si>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</si>
  <si>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</si>
  <si>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</si>
  <si>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</si>
  <si>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</si>
  <si>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</si>
  <si>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</si>
  <si>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</si>
  <si>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</si>
  <si>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</si>
  <si>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</si>
  <si>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</si>
  <si>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</si>
  <si>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</si>
  <si>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</si>
  <si>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</si>
  <si>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</si>
  <si>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</si>
  <si>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</si>
  <si>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</si>
  <si>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</si>
  <si>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</si>
  <si>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</si>
  <si>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</si>
  <si>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</si>
  <si>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</si>
  <si>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</si>
  <si>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</si>
  <si>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</si>
  <si>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</si>
  <si>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</si>
  <si>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</si>
  <si>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</si>
  <si>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</si>
  <si>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</si>
  <si>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</si>
  <si>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</si>
  <si>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</si>
  <si>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</si>
  <si>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</si>
  <si>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</si>
  <si>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</si>
  <si>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</si>
  <si>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</si>
  <si>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</si>
  <si>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</si>
  <si>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</si>
  <si>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</si>
  <si>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</si>
  <si>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</si>
  <si>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</si>
  <si>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</si>
  <si>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</si>
  <si>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</si>
  <si>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</si>
  <si>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</si>
  <si>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</si>
  <si>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</si>
  <si>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</si>
  <si>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</si>
  <si>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</si>
  <si>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</si>
  <si>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</si>
  <si>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</si>
  <si>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</si>
  <si>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</si>
  <si>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</si>
  <si>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</si>
  <si>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</si>
  <si>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</si>
  <si>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</si>
  <si>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</si>
  <si>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</si>
  <si>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</si>
  <si>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</si>
  <si>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</si>
  <si>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</si>
  <si>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</si>
  <si>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</si>
  <si>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</si>
  <si>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</si>
  <si>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</si>
  <si>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</si>
  <si>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</si>
  <si>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</si>
  <si>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</si>
  <si>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</si>
  <si>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</si>
  <si>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</si>
  <si>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</si>
  <si>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</si>
  <si>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</si>
  <si>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</si>
  <si>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</si>
  <si>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</si>
  <si>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</si>
  <si>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</si>
  <si>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</si>
  <si>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</si>
  <si>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</si>
  <si>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</si>
  <si>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</si>
  <si>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</si>
  <si>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</si>
  <si>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</si>
  <si>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</si>
  <si>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</si>
  <si>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</si>
  <si>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</si>
  <si>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</si>
  <si>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</si>
  <si>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</si>
  <si>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</si>
  <si>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</si>
  <si>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</si>
  <si>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</si>
  <si>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</si>
  <si>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</si>
  <si>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</si>
  <si>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</si>
  <si>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</si>
  <si>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</si>
  <si>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</si>
  <si>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</si>
  <si>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</si>
  <si>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</si>
  <si>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</si>
  <si>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</si>
  <si>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</si>
  <si>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</si>
  <si>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</si>
  <si>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</si>
  <si>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</si>
  <si>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</si>
  <si>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</si>
  <si>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</si>
  <si>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</si>
  <si>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</si>
  <si>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</si>
  <si>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</si>
  <si>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</si>
  <si>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</si>
  <si>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</si>
  <si>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</si>
  <si>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</si>
  <si>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</si>
  <si>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</si>
  <si>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</si>
  <si>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</si>
  <si>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</si>
  <si>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</si>
  <si>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</si>
  <si>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</si>
  <si>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</si>
  <si>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</si>
  <si>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</si>
  <si>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</si>
  <si>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</si>
  <si>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</si>
  <si>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</si>
  <si>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</si>
  <si>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</si>
  <si>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</si>
  <si>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</si>
  <si>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</si>
  <si>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</si>
  <si>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</si>
  <si>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</si>
  <si>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</si>
  <si>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</si>
  <si>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</si>
  <si>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</si>
  <si>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</si>
  <si>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</si>
  <si>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</si>
  <si>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</si>
  <si>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</si>
  <si>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</si>
  <si>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</si>
  <si>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</si>
  <si>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</si>
  <si>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</si>
  <si>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</si>
  <si>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</si>
  <si>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</si>
  <si>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</si>
  <si>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</si>
  <si>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</si>
  <si>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</si>
  <si>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</si>
  <si>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</si>
  <si>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</si>
  <si>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</si>
  <si>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</si>
  <si>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</si>
  <si>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</si>
  <si>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</si>
  <si>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</si>
  <si>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</si>
  <si>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</si>
  <si>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</si>
  <si>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</si>
  <si>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</si>
  <si>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</si>
  <si>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</si>
  <si>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</si>
  <si>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</si>
  <si>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</si>
  <si>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</si>
  <si>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</si>
  <si>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</si>
  <si>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</si>
  <si>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</si>
  <si>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</si>
  <si>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</si>
  <si>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</si>
  <si>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</si>
  <si>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</si>
  <si>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</si>
  <si>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</si>
  <si>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</si>
  <si>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</si>
  <si>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</si>
  <si>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</si>
  <si>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</si>
  <si>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</si>
  <si>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</si>
  <si>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</si>
  <si>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</si>
  <si>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</si>
  <si>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</si>
  <si>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</si>
  <si>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</si>
  <si>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</si>
  <si>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</si>
  <si>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</si>
  <si>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</si>
  <si>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</si>
  <si>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</si>
  <si>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</si>
  <si>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</si>
  <si>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</si>
  <si>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</si>
  <si>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</si>
  <si>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</si>
  <si>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</si>
  <si>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</si>
  <si>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 xml:space="preserve">Patient: , 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</si>
  <si>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</si>
  <si>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</si>
  <si>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</si>
  <si>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</si>
  <si>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</si>
  <si>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</si>
  <si>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</si>
  <si>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</si>
  <si>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</si>
  <si>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</si>
  <si>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</si>
  <si>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</si>
  <si>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</si>
  <si>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</si>
  <si>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</si>
  <si>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</si>
  <si>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</si>
  <si>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</si>
  <si>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</si>
  <si>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Bunny</t>
  </si>
  <si>
    <t>Bucks</t>
  </si>
  <si>
    <t>onbepaald</t>
  </si>
  <si>
    <t>Unit 3-2</t>
  </si>
  <si>
    <t>0.42.05-beta</t>
  </si>
  <si>
    <t>Applicatie geeft betere waarschuwing bij versie conflicten bij het opslaan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</si>
</sst>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89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6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30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3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4" fillId="0" borderId="0" xfId="42" applyFont="1" applyBorder="1"/>
    <xf numFmtId="0" fontId="13" fillId="0" borderId="0" xfId="42" applyBorder="1"/>
    <xf numFmtId="0" fontId="54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3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3" fillId="0" borderId="29" xfId="42" applyFont="1" applyFill="1" applyBorder="1"/>
    <xf numFmtId="0" fontId="13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8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5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9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70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9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7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5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9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6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3" fillId="0" borderId="0" xfId="42" applyNumberFormat="1" applyFont="1" applyFill="1" applyBorder="1"/>
    <xf numFmtId="0" fontId="66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4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2" fillId="28" borderId="0" xfId="0" applyFont="1" applyFill="1" applyBorder="1" applyProtection="1"/>
    <xf numFmtId="0" fontId="21" fillId="28" borderId="0" xfId="0" applyFont="1" applyFill="1" applyBorder="1" applyProtection="1"/>
    <xf numFmtId="0" fontId="83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3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5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4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7" fillId="0" borderId="0" xfId="42" applyFont="1" applyFill="1"/>
    <xf numFmtId="0" fontId="67" fillId="0" borderId="0" xfId="42" applyFont="1" applyFill="1" applyBorder="1"/>
    <xf numFmtId="0" fontId="77" fillId="28" borderId="0" xfId="0" applyFont="1" applyFill="1" applyBorder="1" applyAlignment="1">
      <alignment horizontal="center" vertical="center"/>
    </xf>
    <xf numFmtId="0" fontId="85" fillId="28" borderId="0" xfId="42" applyFont="1" applyFill="1" applyBorder="1" applyAlignment="1">
      <alignment horizontal="right" vertical="center"/>
    </xf>
    <xf numFmtId="0" fontId="73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7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50" fillId="0" borderId="68" xfId="519" applyFont="1" applyFill="1" applyBorder="1" applyProtection="1">
      <protection locked="0"/>
    </xf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0" borderId="22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Alignment="1">
      <alignment horizontal="left"/>
    </xf>
    <xf numFmtId="172" fontId="15" fillId="0" borderId="0" xfId="42" applyNumberFormat="1" applyFont="1" applyAlignment="1">
      <alignment horizontal="left"/>
    </xf>
    <xf numFmtId="0" fontId="13" fillId="0" borderId="0" xfId="42"/>
    <xf numFmtId="0" fontId="15" fillId="0" borderId="0" xfId="42" applyFont="1"/>
    <xf numFmtId="174" fontId="13" fillId="0" borderId="0" xfId="42" applyNumberFormat="1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0" fontId="13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3" fillId="0" borderId="0" xfId="42" applyNumberFormat="1" applyFont="1" applyAlignment="1">
      <alignment horizontal="left"/>
    </xf>
    <xf numFmtId="0" fontId="13" fillId="0" borderId="0" xfId="42" applyFont="1" applyAlignment="1">
      <alignment horizontal="left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5" fillId="0" borderId="0" xfId="42" applyFont="1" applyAlignment="1">
      <alignment horizontal="left" shrinkToFit="1"/>
    </xf>
    <xf numFmtId="0" fontId="13" fillId="0" borderId="0" xfId="42" applyFont="1" applyAlignment="1">
      <alignment shrinkToFit="1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4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2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7"/>
              <a:ext cx="1362075" cy="695325"/>
              <a:chOff x="266700" y="428733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3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206"/>
  <sheetViews>
    <sheetView tabSelected="1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6" customWidth="1"/>
    <col min="6" max="16384" width="9.140625" style="287"/>
  </cols>
  <sheetData>
    <row r="7" spans="4:18" s="758" customFormat="1" x14ac:dyDescent="0.2">
      <c r="E7" s="761"/>
    </row>
    <row r="8" spans="4:18" s="758" customFormat="1" x14ac:dyDescent="0.2">
      <c r="D8" s="759"/>
      <c r="E8" s="762"/>
      <c r="F8" s="759"/>
      <c r="G8" s="759"/>
      <c r="H8" s="759"/>
      <c r="I8" s="759"/>
      <c r="J8" s="759"/>
      <c r="K8" s="759"/>
      <c r="L8" s="759"/>
      <c r="M8" s="759"/>
      <c r="N8" s="759"/>
      <c r="O8" s="759"/>
      <c r="P8" s="759"/>
      <c r="Q8" s="759"/>
      <c r="R8" s="759"/>
    </row>
    <row r="9" spans="4:18" s="758" customFormat="1" ht="59.25" x14ac:dyDescent="0.75">
      <c r="D9" s="759"/>
      <c r="E9" s="763" t="s">
        <v>4466</v>
      </c>
      <c r="F9" s="759"/>
      <c r="G9" s="759"/>
      <c r="H9" s="759"/>
      <c r="I9" s="759"/>
      <c r="J9" s="759"/>
      <c r="K9" s="759"/>
      <c r="L9" s="759"/>
      <c r="M9" s="759"/>
      <c r="N9" s="759"/>
      <c r="O9" s="759"/>
      <c r="P9" s="759"/>
      <c r="Q9" s="759"/>
      <c r="R9" s="759"/>
    </row>
    <row r="10" spans="4:18" s="758" customFormat="1" ht="19.5" customHeight="1" x14ac:dyDescent="0.75">
      <c r="D10" s="759"/>
      <c r="E10" s="763"/>
      <c r="F10" s="759"/>
      <c r="G10" s="759"/>
      <c r="H10" s="759"/>
      <c r="I10" s="759"/>
      <c r="J10" s="759"/>
      <c r="K10" s="759"/>
      <c r="L10" s="759"/>
      <c r="M10" s="759"/>
      <c r="N10" s="759"/>
      <c r="O10" s="759"/>
      <c r="P10" s="759"/>
      <c r="Q10" s="759"/>
      <c r="R10" s="759"/>
    </row>
    <row r="11" spans="4:18" s="758" customFormat="1" ht="59.25" x14ac:dyDescent="0.75">
      <c r="D11" s="759"/>
      <c r="E11" s="763" t="s">
        <v>4465</v>
      </c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759"/>
      <c r="Q11" s="759"/>
      <c r="R11" s="759"/>
    </row>
    <row r="12" spans="4:18" s="758" customFormat="1" ht="59.25" x14ac:dyDescent="0.75">
      <c r="D12" s="759"/>
      <c r="E12" s="763"/>
      <c r="F12" s="759"/>
      <c r="G12" s="759"/>
      <c r="H12" s="759"/>
      <c r="I12" s="759"/>
      <c r="J12" s="759"/>
      <c r="K12" s="759"/>
      <c r="L12" s="759"/>
      <c r="M12" s="759"/>
      <c r="N12" s="759"/>
      <c r="O12" s="759"/>
      <c r="P12" s="759"/>
      <c r="Q12" s="759"/>
      <c r="R12" s="759"/>
    </row>
    <row r="13" spans="4:18" s="758" customFormat="1" ht="33" x14ac:dyDescent="0.45">
      <c r="D13" s="759"/>
      <c r="E13" s="764" t="s">
        <v>3709</v>
      </c>
      <c r="F13" s="759"/>
      <c r="G13" s="760" t="str">
        <f>$G$20</f>
        <v>0.42.05-beta</v>
      </c>
      <c r="H13" s="759"/>
      <c r="I13" s="759"/>
      <c r="J13" s="759"/>
      <c r="K13" s="759"/>
      <c r="L13" s="759"/>
      <c r="M13" s="759"/>
      <c r="N13" s="759"/>
      <c r="O13" s="759"/>
      <c r="P13" s="759"/>
      <c r="Q13" s="759"/>
      <c r="R13" s="759"/>
    </row>
    <row r="14" spans="4:18" s="758" customFormat="1" x14ac:dyDescent="0.2">
      <c r="D14" s="759"/>
      <c r="E14" s="762"/>
      <c r="F14" s="759"/>
      <c r="G14" s="759"/>
      <c r="H14" s="759"/>
      <c r="I14" s="759"/>
      <c r="J14" s="759"/>
      <c r="K14" s="759"/>
      <c r="L14" s="759"/>
      <c r="M14" s="759"/>
      <c r="N14" s="759"/>
      <c r="O14" s="759"/>
      <c r="P14" s="759"/>
      <c r="Q14" s="759"/>
      <c r="R14" s="759"/>
    </row>
    <row r="15" spans="4:18" s="758" customFormat="1" x14ac:dyDescent="0.2">
      <c r="D15" s="759"/>
      <c r="E15" s="762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</row>
    <row r="18" spans="5:10" x14ac:dyDescent="0.2">
      <c r="E18" s="765" t="s">
        <v>350</v>
      </c>
      <c r="G18" s="383" t="s">
        <v>3709</v>
      </c>
      <c r="J18" s="383" t="s">
        <v>6959</v>
      </c>
    </row>
    <row r="20" spans="5:10" x14ac:dyDescent="0.2">
      <c r="E20" s="809">
        <v>43418</v>
      </c>
      <c r="G20" s="288" t="s">
        <v>7925</v>
      </c>
      <c r="J20" s="288" t="s">
        <v>7926</v>
      </c>
    </row>
    <row r="21" spans="5:10" x14ac:dyDescent="0.2">
      <c r="E21" s="809">
        <v>43418</v>
      </c>
      <c r="G21" s="288" t="s">
        <v>7919</v>
      </c>
      <c r="J21" s="288" t="s">
        <v>7920</v>
      </c>
    </row>
    <row r="22" spans="5:10" x14ac:dyDescent="0.2">
      <c r="E22" s="809">
        <v>43418</v>
      </c>
      <c r="G22" s="288" t="s">
        <v>7917</v>
      </c>
      <c r="J22" s="288" t="s">
        <v>7918</v>
      </c>
    </row>
    <row r="23" spans="5:10" x14ac:dyDescent="0.2">
      <c r="E23" s="809">
        <v>43418</v>
      </c>
      <c r="G23" s="288" t="s">
        <v>7915</v>
      </c>
      <c r="J23" s="288" t="s">
        <v>7916</v>
      </c>
    </row>
    <row r="24" spans="5:10" x14ac:dyDescent="0.2">
      <c r="E24" s="809">
        <v>43418</v>
      </c>
      <c r="G24" s="288" t="s">
        <v>7891</v>
      </c>
      <c r="J24" s="288" t="s">
        <v>7892</v>
      </c>
    </row>
    <row r="25" spans="5:10" x14ac:dyDescent="0.2">
      <c r="E25" s="809">
        <v>43418</v>
      </c>
      <c r="G25" s="288" t="s">
        <v>7889</v>
      </c>
      <c r="J25" s="288" t="s">
        <v>7890</v>
      </c>
    </row>
    <row r="26" spans="5:10" x14ac:dyDescent="0.2">
      <c r="E26" s="809">
        <v>43417</v>
      </c>
      <c r="G26" s="288" t="s">
        <v>7887</v>
      </c>
      <c r="J26" s="288" t="s">
        <v>7888</v>
      </c>
    </row>
    <row r="27" spans="5:10" x14ac:dyDescent="0.2">
      <c r="E27" s="809">
        <v>43417</v>
      </c>
      <c r="G27" s="288" t="s">
        <v>7885</v>
      </c>
      <c r="J27" s="288" t="s">
        <v>7886</v>
      </c>
    </row>
    <row r="28" spans="5:10" x14ac:dyDescent="0.2">
      <c r="E28" s="809">
        <v>43417</v>
      </c>
      <c r="G28" s="288" t="s">
        <v>7883</v>
      </c>
      <c r="J28" s="288" t="s">
        <v>7884</v>
      </c>
    </row>
    <row r="29" spans="5:10" x14ac:dyDescent="0.2">
      <c r="E29" s="809">
        <v>43417</v>
      </c>
      <c r="G29" s="288" t="s">
        <v>7881</v>
      </c>
      <c r="J29" s="288" t="s">
        <v>7882</v>
      </c>
    </row>
    <row r="30" spans="5:10" x14ac:dyDescent="0.2">
      <c r="E30" s="809">
        <v>43404</v>
      </c>
      <c r="G30" s="288" t="s">
        <v>7878</v>
      </c>
      <c r="J30" s="288" t="s">
        <v>7879</v>
      </c>
    </row>
    <row r="31" spans="5:10" x14ac:dyDescent="0.2">
      <c r="E31" s="809">
        <v>43404</v>
      </c>
      <c r="G31" s="288" t="s">
        <v>7877</v>
      </c>
      <c r="J31" s="288" t="s">
        <v>7226</v>
      </c>
    </row>
    <row r="32" spans="5:10" x14ac:dyDescent="0.2">
      <c r="E32" s="809">
        <v>43274</v>
      </c>
      <c r="G32" s="288" t="s">
        <v>7869</v>
      </c>
      <c r="J32" s="288" t="s">
        <v>7870</v>
      </c>
    </row>
    <row r="33" spans="5:10" x14ac:dyDescent="0.2">
      <c r="E33" s="809">
        <v>43244</v>
      </c>
      <c r="G33" s="288" t="s">
        <v>7863</v>
      </c>
      <c r="J33" s="288" t="s">
        <v>7864</v>
      </c>
    </row>
    <row r="34" spans="5:10" x14ac:dyDescent="0.2">
      <c r="E34" s="809">
        <v>43238</v>
      </c>
      <c r="G34" s="288" t="s">
        <v>7860</v>
      </c>
      <c r="J34" s="288" t="s">
        <v>7861</v>
      </c>
    </row>
    <row r="35" spans="5:10" x14ac:dyDescent="0.2">
      <c r="E35" s="809">
        <v>43196</v>
      </c>
      <c r="G35" s="288" t="s">
        <v>7859</v>
      </c>
      <c r="J35" s="288" t="s">
        <v>7858</v>
      </c>
    </row>
    <row r="36" spans="5:10" x14ac:dyDescent="0.2">
      <c r="E36" s="809" t="s">
        <v>7852</v>
      </c>
      <c r="G36" s="288" t="s">
        <v>7857</v>
      </c>
      <c r="J36" s="288" t="s">
        <v>7856</v>
      </c>
    </row>
    <row r="37" spans="5:10" x14ac:dyDescent="0.2">
      <c r="E37" s="809" t="s">
        <v>7852</v>
      </c>
      <c r="G37" s="288" t="s">
        <v>7854</v>
      </c>
      <c r="J37" s="288" t="s">
        <v>7855</v>
      </c>
    </row>
    <row r="38" spans="5:10" x14ac:dyDescent="0.2">
      <c r="E38" s="809" t="s">
        <v>7852</v>
      </c>
      <c r="G38" s="288" t="s">
        <v>7851</v>
      </c>
      <c r="J38" s="288" t="s">
        <v>7853</v>
      </c>
    </row>
    <row r="39" spans="5:10" x14ac:dyDescent="0.2">
      <c r="E39" s="809" t="s">
        <v>7787</v>
      </c>
      <c r="G39" s="288" t="s">
        <v>7788</v>
      </c>
      <c r="J39" s="288" t="s">
        <v>7789</v>
      </c>
    </row>
    <row r="40" spans="5:10" x14ac:dyDescent="0.2">
      <c r="E40" s="809" t="s">
        <v>7784</v>
      </c>
      <c r="G40" s="288" t="s">
        <v>7785</v>
      </c>
      <c r="J40" s="288" t="s">
        <v>7786</v>
      </c>
    </row>
    <row r="41" spans="5:10" x14ac:dyDescent="0.2">
      <c r="E41" s="809" t="s">
        <v>7657</v>
      </c>
      <c r="G41" s="288" t="s">
        <v>7782</v>
      </c>
      <c r="J41" s="288" t="s">
        <v>7783</v>
      </c>
    </row>
    <row r="42" spans="5:10" x14ac:dyDescent="0.2">
      <c r="E42" s="809" t="s">
        <v>7657</v>
      </c>
      <c r="G42" s="288" t="s">
        <v>7658</v>
      </c>
      <c r="J42" s="288" t="s">
        <v>7659</v>
      </c>
    </row>
    <row r="43" spans="5:10" x14ac:dyDescent="0.2">
      <c r="E43" s="809" t="s">
        <v>7654</v>
      </c>
      <c r="G43" s="288" t="s">
        <v>7655</v>
      </c>
      <c r="J43" s="288" t="s">
        <v>7656</v>
      </c>
    </row>
    <row r="44" spans="5:10" x14ac:dyDescent="0.2">
      <c r="E44" s="809" t="s">
        <v>7644</v>
      </c>
      <c r="G44" s="288" t="s">
        <v>7647</v>
      </c>
      <c r="J44" s="288" t="s">
        <v>7648</v>
      </c>
    </row>
    <row r="45" spans="5:10" x14ac:dyDescent="0.2">
      <c r="E45" s="809" t="s">
        <v>7644</v>
      </c>
      <c r="G45" s="288" t="s">
        <v>7645</v>
      </c>
      <c r="J45" s="288" t="s">
        <v>7646</v>
      </c>
    </row>
    <row r="46" spans="5:10" x14ac:dyDescent="0.2">
      <c r="E46" s="809" t="s">
        <v>7641</v>
      </c>
      <c r="G46" s="288" t="s">
        <v>7642</v>
      </c>
      <c r="J46" s="288" t="s">
        <v>7643</v>
      </c>
    </row>
    <row r="47" spans="5:10" x14ac:dyDescent="0.2">
      <c r="E47" s="809" t="s">
        <v>7630</v>
      </c>
      <c r="G47" s="288" t="s">
        <v>7631</v>
      </c>
      <c r="J47" s="288" t="s">
        <v>7632</v>
      </c>
    </row>
    <row r="48" spans="5:10" x14ac:dyDescent="0.2">
      <c r="E48" s="809" t="s">
        <v>7628</v>
      </c>
      <c r="G48" s="288" t="s">
        <v>7627</v>
      </c>
      <c r="J48" s="288" t="s">
        <v>7629</v>
      </c>
    </row>
    <row r="49" spans="5:10" x14ac:dyDescent="0.2">
      <c r="E49" s="809" t="s">
        <v>7621</v>
      </c>
      <c r="G49" s="288" t="s">
        <v>7620</v>
      </c>
      <c r="J49" s="288" t="s">
        <v>7619</v>
      </c>
    </row>
    <row r="50" spans="5:10" x14ac:dyDescent="0.2">
      <c r="E50" s="809" t="s">
        <v>7621</v>
      </c>
      <c r="G50" s="288" t="s">
        <v>7617</v>
      </c>
      <c r="J50" s="288" t="s">
        <v>7618</v>
      </c>
    </row>
    <row r="51" spans="5:10" x14ac:dyDescent="0.2">
      <c r="E51" s="809" t="s">
        <v>7508</v>
      </c>
      <c r="G51" s="288" t="s">
        <v>7615</v>
      </c>
      <c r="J51" s="288" t="s">
        <v>7616</v>
      </c>
    </row>
    <row r="52" spans="5:10" x14ac:dyDescent="0.2">
      <c r="E52" s="809" t="s">
        <v>7508</v>
      </c>
      <c r="G52" s="288" t="s">
        <v>7521</v>
      </c>
      <c r="J52" s="288" t="s">
        <v>7522</v>
      </c>
    </row>
    <row r="53" spans="5:10" x14ac:dyDescent="0.2">
      <c r="E53" s="809" t="s">
        <v>7508</v>
      </c>
      <c r="G53" s="288" t="s">
        <v>7519</v>
      </c>
      <c r="J53" s="288" t="s">
        <v>7520</v>
      </c>
    </row>
    <row r="54" spans="5:10" x14ac:dyDescent="0.2">
      <c r="E54" s="809" t="s">
        <v>7508</v>
      </c>
      <c r="G54" s="288" t="s">
        <v>7517</v>
      </c>
      <c r="J54" s="288" t="s">
        <v>7518</v>
      </c>
    </row>
    <row r="55" spans="5:10" x14ac:dyDescent="0.2">
      <c r="E55" s="809" t="s">
        <v>7508</v>
      </c>
      <c r="G55" s="288" t="s">
        <v>7515</v>
      </c>
      <c r="J55" s="288" t="s">
        <v>7516</v>
      </c>
    </row>
    <row r="56" spans="5:10" x14ac:dyDescent="0.2">
      <c r="E56" s="809" t="s">
        <v>7508</v>
      </c>
      <c r="G56" s="288" t="s">
        <v>7513</v>
      </c>
      <c r="J56" s="288" t="s">
        <v>7514</v>
      </c>
    </row>
    <row r="57" spans="5:10" x14ac:dyDescent="0.2">
      <c r="E57" s="809" t="s">
        <v>7508</v>
      </c>
      <c r="G57" s="288" t="s">
        <v>7511</v>
      </c>
      <c r="J57" s="288" t="s">
        <v>7512</v>
      </c>
    </row>
    <row r="58" spans="5:10" x14ac:dyDescent="0.2">
      <c r="E58" s="809" t="s">
        <v>7508</v>
      </c>
      <c r="G58" s="288" t="s">
        <v>7509</v>
      </c>
      <c r="J58" s="288" t="s">
        <v>7510</v>
      </c>
    </row>
    <row r="59" spans="5:10" x14ac:dyDescent="0.2">
      <c r="E59" s="809" t="s">
        <v>7501</v>
      </c>
      <c r="G59" s="288" t="s">
        <v>7506</v>
      </c>
      <c r="J59" s="288" t="s">
        <v>7507</v>
      </c>
    </row>
    <row r="60" spans="5:10" x14ac:dyDescent="0.2">
      <c r="E60" s="809" t="s">
        <v>7501</v>
      </c>
      <c r="G60" s="288" t="s">
        <v>7504</v>
      </c>
      <c r="J60" s="288" t="s">
        <v>7505</v>
      </c>
    </row>
    <row r="61" spans="5:10" x14ac:dyDescent="0.2">
      <c r="E61" s="809" t="s">
        <v>7501</v>
      </c>
      <c r="G61" s="288" t="s">
        <v>7502</v>
      </c>
      <c r="J61" s="288" t="s">
        <v>7503</v>
      </c>
    </row>
    <row r="62" spans="5:10" x14ac:dyDescent="0.2">
      <c r="E62" s="809" t="s">
        <v>7500</v>
      </c>
      <c r="G62" s="288" t="s">
        <v>7498</v>
      </c>
      <c r="J62" s="288" t="s">
        <v>7499</v>
      </c>
    </row>
    <row r="63" spans="5:10" x14ac:dyDescent="0.2">
      <c r="E63" s="809" t="s">
        <v>7500</v>
      </c>
      <c r="G63" s="288" t="s">
        <v>7496</v>
      </c>
      <c r="J63" s="288" t="s">
        <v>7497</v>
      </c>
    </row>
    <row r="64" spans="5:10" x14ac:dyDescent="0.2">
      <c r="E64" s="809" t="s">
        <v>7477</v>
      </c>
      <c r="G64" s="288" t="s">
        <v>7494</v>
      </c>
      <c r="J64" s="288" t="s">
        <v>7495</v>
      </c>
    </row>
    <row r="65" spans="5:10" x14ac:dyDescent="0.2">
      <c r="E65" s="809" t="s">
        <v>7477</v>
      </c>
      <c r="G65" s="288" t="s">
        <v>7492</v>
      </c>
      <c r="J65" s="288" t="s">
        <v>7491</v>
      </c>
    </row>
    <row r="66" spans="5:10" x14ac:dyDescent="0.2">
      <c r="E66" s="809" t="s">
        <v>7477</v>
      </c>
      <c r="G66" s="288" t="s">
        <v>7490</v>
      </c>
      <c r="J66" s="288" t="s">
        <v>7493</v>
      </c>
    </row>
    <row r="67" spans="5:10" x14ac:dyDescent="0.2">
      <c r="E67" s="809" t="s">
        <v>7477</v>
      </c>
      <c r="G67" s="288" t="s">
        <v>7488</v>
      </c>
      <c r="J67" s="288" t="s">
        <v>7489</v>
      </c>
    </row>
    <row r="68" spans="5:10" x14ac:dyDescent="0.2">
      <c r="E68" s="809" t="s">
        <v>7477</v>
      </c>
      <c r="G68" s="288" t="s">
        <v>7486</v>
      </c>
      <c r="J68" s="288" t="s">
        <v>7487</v>
      </c>
    </row>
    <row r="69" spans="5:10" x14ac:dyDescent="0.2">
      <c r="E69" s="809" t="s">
        <v>7477</v>
      </c>
      <c r="G69" s="288" t="s">
        <v>7484</v>
      </c>
      <c r="J69" s="288" t="s">
        <v>7485</v>
      </c>
    </row>
    <row r="70" spans="5:10" x14ac:dyDescent="0.2">
      <c r="E70" s="809" t="s">
        <v>7477</v>
      </c>
      <c r="G70" s="288" t="s">
        <v>7482</v>
      </c>
      <c r="J70" s="288" t="s">
        <v>7483</v>
      </c>
    </row>
    <row r="71" spans="5:10" x14ac:dyDescent="0.2">
      <c r="E71" s="809" t="s">
        <v>7477</v>
      </c>
      <c r="G71" s="288" t="s">
        <v>7480</v>
      </c>
      <c r="J71" s="288" t="s">
        <v>7481</v>
      </c>
    </row>
    <row r="72" spans="5:10" x14ac:dyDescent="0.2">
      <c r="E72" s="809" t="s">
        <v>7477</v>
      </c>
      <c r="G72" s="288" t="s">
        <v>7478</v>
      </c>
      <c r="J72" s="288" t="s">
        <v>7479</v>
      </c>
    </row>
    <row r="73" spans="5:10" x14ac:dyDescent="0.2">
      <c r="E73" s="809" t="s">
        <v>7477</v>
      </c>
      <c r="G73" s="288" t="s">
        <v>7475</v>
      </c>
      <c r="J73" s="288" t="s">
        <v>7476</v>
      </c>
    </row>
    <row r="74" spans="5:10" x14ac:dyDescent="0.2">
      <c r="E74" s="809" t="s">
        <v>7469</v>
      </c>
      <c r="G74" s="288" t="s">
        <v>7472</v>
      </c>
      <c r="J74" s="288" t="s">
        <v>7473</v>
      </c>
    </row>
    <row r="75" spans="5:10" x14ac:dyDescent="0.2">
      <c r="E75" s="809" t="s">
        <v>7469</v>
      </c>
      <c r="G75" s="288" t="s">
        <v>7471</v>
      </c>
      <c r="J75" s="288" t="s">
        <v>7474</v>
      </c>
    </row>
    <row r="76" spans="5:10" x14ac:dyDescent="0.2">
      <c r="E76" s="809" t="s">
        <v>7469</v>
      </c>
      <c r="G76" s="288" t="s">
        <v>7467</v>
      </c>
      <c r="J76" s="288" t="s">
        <v>7468</v>
      </c>
    </row>
    <row r="77" spans="5:10" x14ac:dyDescent="0.2">
      <c r="E77" s="809" t="s">
        <v>7455</v>
      </c>
      <c r="G77" s="288" t="s">
        <v>7458</v>
      </c>
      <c r="J77" s="288" t="s">
        <v>7459</v>
      </c>
    </row>
    <row r="78" spans="5:10" x14ac:dyDescent="0.2">
      <c r="E78" s="809" t="s">
        <v>7455</v>
      </c>
      <c r="G78" s="288" t="s">
        <v>7456</v>
      </c>
      <c r="J78" s="288" t="s">
        <v>7457</v>
      </c>
    </row>
    <row r="79" spans="5:10" x14ac:dyDescent="0.2">
      <c r="E79" s="809" t="s">
        <v>7443</v>
      </c>
      <c r="G79" s="288" t="s">
        <v>7453</v>
      </c>
      <c r="J79" s="288" t="s">
        <v>7454</v>
      </c>
    </row>
    <row r="80" spans="5:10" x14ac:dyDescent="0.2">
      <c r="E80" s="809" t="s">
        <v>7443</v>
      </c>
      <c r="G80" s="288" t="s">
        <v>7452</v>
      </c>
      <c r="J80" s="288" t="s">
        <v>7462</v>
      </c>
    </row>
    <row r="81" spans="5:10" x14ac:dyDescent="0.2">
      <c r="E81" s="809" t="s">
        <v>7443</v>
      </c>
      <c r="G81" s="288" t="s">
        <v>7449</v>
      </c>
      <c r="J81" s="288" t="s">
        <v>7450</v>
      </c>
    </row>
    <row r="82" spans="5:10" x14ac:dyDescent="0.2">
      <c r="E82" s="809" t="s">
        <v>7443</v>
      </c>
      <c r="G82" s="288" t="s">
        <v>7448</v>
      </c>
      <c r="J82" s="288" t="s">
        <v>7447</v>
      </c>
    </row>
    <row r="83" spans="5:10" x14ac:dyDescent="0.2">
      <c r="E83" s="809" t="s">
        <v>7443</v>
      </c>
      <c r="G83" s="288" t="s">
        <v>7444</v>
      </c>
      <c r="J83" s="288" t="s">
        <v>7445</v>
      </c>
    </row>
    <row r="84" spans="5:10" x14ac:dyDescent="0.2">
      <c r="E84" s="809" t="s">
        <v>7442</v>
      </c>
      <c r="G84" s="288" t="s">
        <v>7440</v>
      </c>
      <c r="J84" s="288" t="s">
        <v>7441</v>
      </c>
    </row>
    <row r="85" spans="5:10" x14ac:dyDescent="0.2">
      <c r="E85" s="809" t="s">
        <v>7431</v>
      </c>
      <c r="G85" s="288" t="s">
        <v>7438</v>
      </c>
      <c r="J85" s="288" t="s">
        <v>7439</v>
      </c>
    </row>
    <row r="86" spans="5:10" x14ac:dyDescent="0.2">
      <c r="E86" s="809" t="s">
        <v>7431</v>
      </c>
      <c r="G86" s="288" t="s">
        <v>7435</v>
      </c>
      <c r="J86" s="288" t="s">
        <v>7436</v>
      </c>
    </row>
    <row r="87" spans="5:10" x14ac:dyDescent="0.2">
      <c r="E87" s="809" t="s">
        <v>7431</v>
      </c>
      <c r="G87" s="288" t="s">
        <v>7432</v>
      </c>
      <c r="J87" s="288" t="s">
        <v>7433</v>
      </c>
    </row>
    <row r="88" spans="5:10" x14ac:dyDescent="0.2">
      <c r="E88" s="809" t="s">
        <v>7431</v>
      </c>
      <c r="G88" s="288" t="s">
        <v>7430</v>
      </c>
      <c r="J88" s="288" t="s">
        <v>7429</v>
      </c>
    </row>
    <row r="89" spans="5:10" x14ac:dyDescent="0.2">
      <c r="E89" s="809" t="s">
        <v>7431</v>
      </c>
      <c r="G89" s="288" t="s">
        <v>7425</v>
      </c>
      <c r="J89" s="288" t="s">
        <v>7461</v>
      </c>
    </row>
    <row r="90" spans="5:10" x14ac:dyDescent="0.2">
      <c r="E90" s="809" t="s">
        <v>7410</v>
      </c>
      <c r="G90" s="288" t="s">
        <v>7423</v>
      </c>
      <c r="J90" s="288" t="s">
        <v>7424</v>
      </c>
    </row>
    <row r="91" spans="5:10" x14ac:dyDescent="0.2">
      <c r="E91" s="809" t="s">
        <v>7410</v>
      </c>
      <c r="G91" s="288" t="s">
        <v>7420</v>
      </c>
      <c r="J91" s="288" t="s">
        <v>7421</v>
      </c>
    </row>
    <row r="92" spans="5:10" x14ac:dyDescent="0.2">
      <c r="E92" s="809" t="s">
        <v>7410</v>
      </c>
      <c r="G92" s="288" t="s">
        <v>7418</v>
      </c>
      <c r="J92" s="288" t="s">
        <v>7419</v>
      </c>
    </row>
    <row r="93" spans="5:10" x14ac:dyDescent="0.2">
      <c r="E93" s="809" t="s">
        <v>7410</v>
      </c>
      <c r="G93" s="288" t="s">
        <v>7413</v>
      </c>
      <c r="J93" s="288" t="s">
        <v>7414</v>
      </c>
    </row>
    <row r="94" spans="5:10" x14ac:dyDescent="0.2">
      <c r="E94" s="809" t="s">
        <v>7410</v>
      </c>
      <c r="G94" s="288" t="s">
        <v>7411</v>
      </c>
      <c r="J94" s="288" t="s">
        <v>7422</v>
      </c>
    </row>
    <row r="95" spans="5:10" x14ac:dyDescent="0.2">
      <c r="E95" s="809" t="s">
        <v>7405</v>
      </c>
      <c r="G95" s="288" t="s">
        <v>7408</v>
      </c>
      <c r="J95" s="288" t="s">
        <v>7409</v>
      </c>
    </row>
    <row r="96" spans="5:10" x14ac:dyDescent="0.2">
      <c r="E96" s="809" t="s">
        <v>7405</v>
      </c>
      <c r="G96" s="288" t="s">
        <v>7406</v>
      </c>
      <c r="J96" s="288" t="s">
        <v>7407</v>
      </c>
    </row>
    <row r="97" spans="5:10" x14ac:dyDescent="0.2">
      <c r="E97" s="809" t="s">
        <v>7376</v>
      </c>
      <c r="G97" s="288" t="s">
        <v>7384</v>
      </c>
      <c r="J97" s="288" t="s">
        <v>7386</v>
      </c>
    </row>
    <row r="98" spans="5:10" x14ac:dyDescent="0.2">
      <c r="E98" s="809" t="s">
        <v>7376</v>
      </c>
      <c r="G98" s="288" t="s">
        <v>7383</v>
      </c>
      <c r="J98" s="288" t="s">
        <v>7385</v>
      </c>
    </row>
    <row r="99" spans="5:10" x14ac:dyDescent="0.2">
      <c r="E99" s="809" t="s">
        <v>7376</v>
      </c>
      <c r="G99" s="288" t="s">
        <v>7381</v>
      </c>
      <c r="J99" s="288" t="s">
        <v>7382</v>
      </c>
    </row>
    <row r="100" spans="5:10" x14ac:dyDescent="0.2">
      <c r="E100" s="809" t="s">
        <v>7376</v>
      </c>
      <c r="G100" s="288" t="s">
        <v>7379</v>
      </c>
      <c r="J100" s="288" t="s">
        <v>7380</v>
      </c>
    </row>
    <row r="101" spans="5:10" x14ac:dyDescent="0.2">
      <c r="E101" s="809" t="s">
        <v>7376</v>
      </c>
      <c r="G101" s="288" t="s">
        <v>7377</v>
      </c>
      <c r="J101" s="288" t="s">
        <v>7378</v>
      </c>
    </row>
    <row r="102" spans="5:10" x14ac:dyDescent="0.2">
      <c r="E102" s="809" t="s">
        <v>7354</v>
      </c>
      <c r="G102" s="288" t="s">
        <v>7374</v>
      </c>
      <c r="J102" s="288" t="s">
        <v>7375</v>
      </c>
    </row>
    <row r="103" spans="5:10" x14ac:dyDescent="0.2">
      <c r="E103" s="809" t="s">
        <v>7354</v>
      </c>
      <c r="G103" s="288" t="s">
        <v>7369</v>
      </c>
      <c r="J103" s="288" t="s">
        <v>7370</v>
      </c>
    </row>
    <row r="104" spans="5:10" x14ac:dyDescent="0.2">
      <c r="E104" s="809" t="s">
        <v>7354</v>
      </c>
      <c r="G104" s="288" t="s">
        <v>7367</v>
      </c>
      <c r="J104" s="288" t="s">
        <v>7368</v>
      </c>
    </row>
    <row r="105" spans="5:10" x14ac:dyDescent="0.2">
      <c r="E105" s="809" t="s">
        <v>7354</v>
      </c>
      <c r="G105" s="288" t="s">
        <v>7364</v>
      </c>
      <c r="J105" s="288" t="s">
        <v>7365</v>
      </c>
    </row>
    <row r="106" spans="5:10" x14ac:dyDescent="0.2">
      <c r="E106" s="809" t="s">
        <v>7354</v>
      </c>
      <c r="G106" s="288" t="s">
        <v>7363</v>
      </c>
      <c r="J106" s="288" t="s">
        <v>7366</v>
      </c>
    </row>
    <row r="107" spans="5:10" x14ac:dyDescent="0.2">
      <c r="E107" s="809" t="s">
        <v>7354</v>
      </c>
      <c r="G107" s="288" t="s">
        <v>7361</v>
      </c>
      <c r="J107" s="288" t="s">
        <v>7362</v>
      </c>
    </row>
    <row r="108" spans="5:10" x14ac:dyDescent="0.2">
      <c r="E108" s="809" t="s">
        <v>7354</v>
      </c>
      <c r="G108" s="288" t="s">
        <v>7359</v>
      </c>
      <c r="J108" s="288" t="s">
        <v>7360</v>
      </c>
    </row>
    <row r="109" spans="5:10" x14ac:dyDescent="0.2">
      <c r="E109" s="809" t="s">
        <v>7354</v>
      </c>
      <c r="G109" s="288" t="s">
        <v>7357</v>
      </c>
      <c r="J109" s="288" t="s">
        <v>7358</v>
      </c>
    </row>
    <row r="110" spans="5:10" x14ac:dyDescent="0.2">
      <c r="E110" s="809" t="s">
        <v>7354</v>
      </c>
      <c r="G110" s="288" t="s">
        <v>7355</v>
      </c>
      <c r="J110" s="288" t="s">
        <v>7356</v>
      </c>
    </row>
    <row r="111" spans="5:10" x14ac:dyDescent="0.2">
      <c r="E111" s="809" t="s">
        <v>7347</v>
      </c>
      <c r="G111" s="288" t="s">
        <v>7352</v>
      </c>
      <c r="J111" s="288" t="s">
        <v>7353</v>
      </c>
    </row>
    <row r="112" spans="5:10" x14ac:dyDescent="0.2">
      <c r="E112" s="809" t="s">
        <v>7347</v>
      </c>
      <c r="G112" s="288" t="s">
        <v>7350</v>
      </c>
      <c r="J112" s="288" t="s">
        <v>7351</v>
      </c>
    </row>
    <row r="113" spans="5:10" x14ac:dyDescent="0.2">
      <c r="E113" s="809" t="s">
        <v>7347</v>
      </c>
      <c r="G113" s="288" t="s">
        <v>7348</v>
      </c>
      <c r="J113" s="288" t="s">
        <v>7349</v>
      </c>
    </row>
    <row r="114" spans="5:10" x14ac:dyDescent="0.2">
      <c r="E114" s="809" t="s">
        <v>7338</v>
      </c>
      <c r="G114" s="288" t="s">
        <v>7339</v>
      </c>
      <c r="J114" s="288" t="s">
        <v>7340</v>
      </c>
    </row>
    <row r="115" spans="5:10" x14ac:dyDescent="0.2">
      <c r="E115" s="809" t="s">
        <v>7331</v>
      </c>
      <c r="G115" s="288" t="s">
        <v>7335</v>
      </c>
      <c r="J115" s="288" t="s">
        <v>7337</v>
      </c>
    </row>
    <row r="116" spans="5:10" x14ac:dyDescent="0.2">
      <c r="E116" s="809" t="s">
        <v>7331</v>
      </c>
      <c r="G116" s="288" t="s">
        <v>7334</v>
      </c>
      <c r="J116" s="288" t="s">
        <v>7336</v>
      </c>
    </row>
    <row r="117" spans="5:10" x14ac:dyDescent="0.2">
      <c r="E117" s="809" t="s">
        <v>7331</v>
      </c>
      <c r="G117" s="288" t="s">
        <v>7332</v>
      </c>
      <c r="J117" s="288" t="s">
        <v>7333</v>
      </c>
    </row>
    <row r="118" spans="5:10" x14ac:dyDescent="0.2">
      <c r="E118" s="809" t="s">
        <v>7311</v>
      </c>
      <c r="G118" s="288" t="s">
        <v>7326</v>
      </c>
      <c r="J118" s="288" t="s">
        <v>7327</v>
      </c>
    </row>
    <row r="119" spans="5:10" x14ac:dyDescent="0.2">
      <c r="E119" s="809" t="s">
        <v>7311</v>
      </c>
      <c r="G119" s="288" t="s">
        <v>7324</v>
      </c>
      <c r="J119" s="288" t="s">
        <v>7325</v>
      </c>
    </row>
    <row r="120" spans="5:10" x14ac:dyDescent="0.2">
      <c r="E120" s="809" t="s">
        <v>7311</v>
      </c>
      <c r="G120" s="288" t="s">
        <v>7322</v>
      </c>
      <c r="J120" s="288" t="s">
        <v>7323</v>
      </c>
    </row>
    <row r="121" spans="5:10" x14ac:dyDescent="0.2">
      <c r="E121" s="809" t="s">
        <v>7311</v>
      </c>
      <c r="G121" s="288" t="s">
        <v>7320</v>
      </c>
      <c r="J121" s="288" t="s">
        <v>7321</v>
      </c>
    </row>
    <row r="122" spans="5:10" x14ac:dyDescent="0.2">
      <c r="E122" s="809" t="s">
        <v>7311</v>
      </c>
      <c r="G122" s="288" t="s">
        <v>7318</v>
      </c>
      <c r="J122" s="288" t="s">
        <v>7319</v>
      </c>
    </row>
    <row r="123" spans="5:10" x14ac:dyDescent="0.2">
      <c r="E123" s="809" t="s">
        <v>7311</v>
      </c>
      <c r="G123" s="288" t="s">
        <v>7316</v>
      </c>
      <c r="J123" s="288" t="s">
        <v>7317</v>
      </c>
    </row>
    <row r="124" spans="5:10" x14ac:dyDescent="0.2">
      <c r="E124" s="809" t="s">
        <v>7311</v>
      </c>
      <c r="G124" s="288" t="s">
        <v>7314</v>
      </c>
      <c r="J124" s="288" t="s">
        <v>7315</v>
      </c>
    </row>
    <row r="125" spans="5:10" x14ac:dyDescent="0.2">
      <c r="E125" s="809" t="s">
        <v>7311</v>
      </c>
      <c r="G125" s="288" t="s">
        <v>7312</v>
      </c>
      <c r="J125" s="288" t="s">
        <v>7313</v>
      </c>
    </row>
    <row r="126" spans="5:10" x14ac:dyDescent="0.2">
      <c r="E126" s="809" t="s">
        <v>7302</v>
      </c>
      <c r="G126" s="288" t="s">
        <v>7309</v>
      </c>
      <c r="J126" s="288" t="s">
        <v>7310</v>
      </c>
    </row>
    <row r="127" spans="5:10" x14ac:dyDescent="0.2">
      <c r="E127" s="809" t="s">
        <v>7302</v>
      </c>
      <c r="G127" s="288" t="s">
        <v>7306</v>
      </c>
      <c r="J127" s="288" t="s">
        <v>7308</v>
      </c>
    </row>
    <row r="128" spans="5:10" x14ac:dyDescent="0.2">
      <c r="E128" s="809" t="s">
        <v>7302</v>
      </c>
      <c r="G128" s="288" t="s">
        <v>7305</v>
      </c>
      <c r="J128" s="288" t="s">
        <v>7307</v>
      </c>
    </row>
    <row r="129" spans="5:10" x14ac:dyDescent="0.2">
      <c r="E129" s="809" t="s">
        <v>7302</v>
      </c>
      <c r="G129" s="288" t="s">
        <v>7303</v>
      </c>
      <c r="J129" s="288" t="s">
        <v>7304</v>
      </c>
    </row>
    <row r="130" spans="5:10" x14ac:dyDescent="0.2">
      <c r="E130" s="809" t="s">
        <v>7291</v>
      </c>
      <c r="G130" s="288" t="s">
        <v>7300</v>
      </c>
      <c r="J130" s="288" t="s">
        <v>7301</v>
      </c>
    </row>
    <row r="131" spans="5:10" x14ac:dyDescent="0.2">
      <c r="E131" s="809" t="s">
        <v>7291</v>
      </c>
      <c r="G131" s="288" t="s">
        <v>7298</v>
      </c>
      <c r="J131" s="288" t="s">
        <v>7299</v>
      </c>
    </row>
    <row r="132" spans="5:10" x14ac:dyDescent="0.2">
      <c r="E132" s="809" t="s">
        <v>7291</v>
      </c>
      <c r="G132" s="288" t="s">
        <v>7296</v>
      </c>
      <c r="J132" s="288" t="s">
        <v>7297</v>
      </c>
    </row>
    <row r="133" spans="5:10" x14ac:dyDescent="0.2">
      <c r="E133" s="809" t="s">
        <v>7291</v>
      </c>
      <c r="G133" s="288" t="s">
        <v>7294</v>
      </c>
      <c r="J133" s="288" t="s">
        <v>7295</v>
      </c>
    </row>
    <row r="134" spans="5:10" x14ac:dyDescent="0.2">
      <c r="E134" s="809" t="s">
        <v>7291</v>
      </c>
      <c r="G134" s="288" t="s">
        <v>7292</v>
      </c>
      <c r="J134" s="288" t="s">
        <v>7293</v>
      </c>
    </row>
    <row r="135" spans="5:10" x14ac:dyDescent="0.2">
      <c r="E135" s="809" t="s">
        <v>7284</v>
      </c>
      <c r="G135" s="288" t="s">
        <v>7289</v>
      </c>
      <c r="J135" s="288" t="s">
        <v>7290</v>
      </c>
    </row>
    <row r="136" spans="5:10" x14ac:dyDescent="0.2">
      <c r="E136" s="809" t="s">
        <v>7284</v>
      </c>
      <c r="G136" s="288" t="s">
        <v>7287</v>
      </c>
      <c r="J136" s="288" t="s">
        <v>7288</v>
      </c>
    </row>
    <row r="137" spans="5:10" x14ac:dyDescent="0.2">
      <c r="E137" s="809" t="s">
        <v>7284</v>
      </c>
      <c r="G137" s="288" t="s">
        <v>7285</v>
      </c>
      <c r="J137" s="288" t="s">
        <v>7286</v>
      </c>
    </row>
    <row r="138" spans="5:10" x14ac:dyDescent="0.2">
      <c r="E138" s="809" t="s">
        <v>7281</v>
      </c>
      <c r="G138" s="288" t="s">
        <v>7282</v>
      </c>
      <c r="J138" s="288" t="s">
        <v>7283</v>
      </c>
    </row>
    <row r="139" spans="5:10" x14ac:dyDescent="0.2">
      <c r="E139" s="809" t="s">
        <v>7258</v>
      </c>
      <c r="G139" s="288" t="s">
        <v>7278</v>
      </c>
      <c r="J139" s="288" t="s">
        <v>7279</v>
      </c>
    </row>
    <row r="140" spans="5:10" x14ac:dyDescent="0.2">
      <c r="E140" s="809" t="s">
        <v>7258</v>
      </c>
      <c r="G140" s="288" t="s">
        <v>7261</v>
      </c>
      <c r="J140" s="288" t="s">
        <v>7280</v>
      </c>
    </row>
    <row r="141" spans="5:10" x14ac:dyDescent="0.2">
      <c r="E141" s="809" t="s">
        <v>7258</v>
      </c>
      <c r="G141" s="288" t="s">
        <v>7259</v>
      </c>
      <c r="J141" s="288" t="s">
        <v>7260</v>
      </c>
    </row>
    <row r="142" spans="5:10" x14ac:dyDescent="0.2">
      <c r="E142" s="809" t="s">
        <v>7258</v>
      </c>
      <c r="G142" s="288" t="s">
        <v>7256</v>
      </c>
      <c r="J142" s="288" t="s">
        <v>7257</v>
      </c>
    </row>
    <row r="143" spans="5:10" x14ac:dyDescent="0.2">
      <c r="E143" s="809" t="s">
        <v>7210</v>
      </c>
      <c r="G143" s="288" t="s">
        <v>7235</v>
      </c>
      <c r="J143" s="288" t="s">
        <v>7236</v>
      </c>
    </row>
    <row r="144" spans="5:10" x14ac:dyDescent="0.2">
      <c r="E144" s="809" t="s">
        <v>7210</v>
      </c>
      <c r="G144" s="288" t="s">
        <v>7233</v>
      </c>
      <c r="J144" s="288" t="s">
        <v>7234</v>
      </c>
    </row>
    <row r="145" spans="5:10" x14ac:dyDescent="0.2">
      <c r="E145" s="809" t="s">
        <v>7210</v>
      </c>
      <c r="G145" s="288" t="s">
        <v>7231</v>
      </c>
      <c r="J145" s="288" t="s">
        <v>7232</v>
      </c>
    </row>
    <row r="146" spans="5:10" x14ac:dyDescent="0.2">
      <c r="E146" s="809" t="s">
        <v>7210</v>
      </c>
      <c r="G146" s="288" t="s">
        <v>7229</v>
      </c>
      <c r="J146" s="288" t="s">
        <v>7230</v>
      </c>
    </row>
    <row r="147" spans="5:10" x14ac:dyDescent="0.2">
      <c r="E147" s="809" t="s">
        <v>7210</v>
      </c>
      <c r="G147" s="288" t="s">
        <v>7228</v>
      </c>
      <c r="J147" s="288" t="s">
        <v>7227</v>
      </c>
    </row>
    <row r="148" spans="5:10" x14ac:dyDescent="0.2">
      <c r="E148" s="809" t="s">
        <v>7210</v>
      </c>
      <c r="G148" s="288" t="s">
        <v>7225</v>
      </c>
      <c r="J148" s="288" t="s">
        <v>7226</v>
      </c>
    </row>
    <row r="149" spans="5:10" x14ac:dyDescent="0.2">
      <c r="E149" s="809" t="s">
        <v>7210</v>
      </c>
      <c r="G149" s="288" t="s">
        <v>7223</v>
      </c>
      <c r="J149" s="288" t="s">
        <v>7224</v>
      </c>
    </row>
    <row r="150" spans="5:10" x14ac:dyDescent="0.2">
      <c r="E150" s="809" t="s">
        <v>7210</v>
      </c>
      <c r="G150" s="288" t="s">
        <v>7221</v>
      </c>
      <c r="J150" s="288" t="s">
        <v>7222</v>
      </c>
    </row>
    <row r="151" spans="5:10" x14ac:dyDescent="0.2">
      <c r="E151" s="809" t="s">
        <v>7210</v>
      </c>
      <c r="G151" s="288" t="s">
        <v>7219</v>
      </c>
      <c r="J151" s="288" t="s">
        <v>7220</v>
      </c>
    </row>
    <row r="152" spans="5:10" x14ac:dyDescent="0.2">
      <c r="E152" s="809" t="s">
        <v>7210</v>
      </c>
      <c r="G152" s="288" t="s">
        <v>7217</v>
      </c>
      <c r="J152" s="288" t="s">
        <v>7218</v>
      </c>
    </row>
    <row r="153" spans="5:10" x14ac:dyDescent="0.2">
      <c r="E153" s="809" t="s">
        <v>7210</v>
      </c>
      <c r="G153" s="288" t="s">
        <v>7216</v>
      </c>
      <c r="J153" s="288" t="s">
        <v>7215</v>
      </c>
    </row>
    <row r="154" spans="5:10" x14ac:dyDescent="0.2">
      <c r="E154" s="809" t="s">
        <v>7210</v>
      </c>
      <c r="G154" s="288" t="s">
        <v>7214</v>
      </c>
      <c r="J154" s="288" t="s">
        <v>7213</v>
      </c>
    </row>
    <row r="155" spans="5:10" x14ac:dyDescent="0.2">
      <c r="E155" s="809" t="s">
        <v>7210</v>
      </c>
      <c r="G155" s="288" t="s">
        <v>7212</v>
      </c>
      <c r="J155" s="288" t="s">
        <v>7209</v>
      </c>
    </row>
    <row r="156" spans="5:10" x14ac:dyDescent="0.2">
      <c r="E156" s="809" t="s">
        <v>7210</v>
      </c>
      <c r="G156" s="288" t="s">
        <v>7211</v>
      </c>
      <c r="J156" s="288" t="s">
        <v>7208</v>
      </c>
    </row>
    <row r="157" spans="5:10" x14ac:dyDescent="0.2">
      <c r="E157" s="809" t="s">
        <v>7140</v>
      </c>
      <c r="G157" s="288" t="s">
        <v>7141</v>
      </c>
      <c r="J157" s="288" t="s">
        <v>7142</v>
      </c>
    </row>
    <row r="158" spans="5:10" x14ac:dyDescent="0.2">
      <c r="E158" s="809" t="s">
        <v>7133</v>
      </c>
      <c r="G158" s="288" t="s">
        <v>7138</v>
      </c>
      <c r="J158" s="288" t="s">
        <v>7139</v>
      </c>
    </row>
    <row r="159" spans="5:10" x14ac:dyDescent="0.2">
      <c r="E159" s="809" t="s">
        <v>7133</v>
      </c>
      <c r="G159" s="288" t="s">
        <v>7134</v>
      </c>
      <c r="J159" s="288" t="s">
        <v>7135</v>
      </c>
    </row>
    <row r="160" spans="5:10" x14ac:dyDescent="0.2">
      <c r="E160" s="809" t="s">
        <v>7133</v>
      </c>
      <c r="G160" s="288" t="s">
        <v>7131</v>
      </c>
      <c r="J160" s="288" t="s">
        <v>7132</v>
      </c>
    </row>
    <row r="161" spans="5:10" x14ac:dyDescent="0.2">
      <c r="E161" s="809" t="s">
        <v>7103</v>
      </c>
      <c r="G161" s="288" t="s">
        <v>7110</v>
      </c>
      <c r="J161" s="288" t="s">
        <v>7111</v>
      </c>
    </row>
    <row r="162" spans="5:10" x14ac:dyDescent="0.2">
      <c r="E162" s="809" t="s">
        <v>7103</v>
      </c>
      <c r="G162" s="288" t="s">
        <v>7108</v>
      </c>
      <c r="J162" s="288" t="s">
        <v>7109</v>
      </c>
    </row>
    <row r="163" spans="5:10" x14ac:dyDescent="0.2">
      <c r="E163" s="809" t="s">
        <v>7103</v>
      </c>
      <c r="G163" s="288" t="s">
        <v>7106</v>
      </c>
      <c r="J163" s="288" t="s">
        <v>7107</v>
      </c>
    </row>
    <row r="164" spans="5:10" x14ac:dyDescent="0.2">
      <c r="E164" s="809" t="s">
        <v>7103</v>
      </c>
      <c r="G164" s="288" t="s">
        <v>7104</v>
      </c>
      <c r="J164" s="288" t="s">
        <v>7105</v>
      </c>
    </row>
    <row r="165" spans="5:10" x14ac:dyDescent="0.2">
      <c r="E165" s="809" t="s">
        <v>7098</v>
      </c>
      <c r="G165" s="288" t="s">
        <v>7101</v>
      </c>
      <c r="J165" s="288" t="s">
        <v>7102</v>
      </c>
    </row>
    <row r="166" spans="5:10" x14ac:dyDescent="0.2">
      <c r="E166" s="809" t="s">
        <v>7098</v>
      </c>
      <c r="G166" s="288" t="s">
        <v>7099</v>
      </c>
      <c r="J166" s="288" t="s">
        <v>7100</v>
      </c>
    </row>
    <row r="167" spans="5:10" x14ac:dyDescent="0.2">
      <c r="E167" s="809" t="s">
        <v>7095</v>
      </c>
      <c r="G167" s="288" t="s">
        <v>7096</v>
      </c>
      <c r="J167" s="288" t="s">
        <v>7097</v>
      </c>
    </row>
    <row r="168" spans="5:10" x14ac:dyDescent="0.2">
      <c r="E168" s="810" t="s">
        <v>7092</v>
      </c>
      <c r="G168" s="288" t="s">
        <v>7093</v>
      </c>
      <c r="J168" s="288" t="s">
        <v>7094</v>
      </c>
    </row>
    <row r="169" spans="5:10" x14ac:dyDescent="0.2">
      <c r="E169" s="810">
        <v>43039</v>
      </c>
      <c r="G169" s="288" t="s">
        <v>7090</v>
      </c>
      <c r="J169" s="288" t="s">
        <v>7091</v>
      </c>
    </row>
    <row r="170" spans="5:10" x14ac:dyDescent="0.2">
      <c r="E170" s="810">
        <v>43039</v>
      </c>
      <c r="G170" s="288" t="s">
        <v>7042</v>
      </c>
      <c r="J170" s="288" t="s">
        <v>7043</v>
      </c>
    </row>
    <row r="171" spans="5:10" x14ac:dyDescent="0.2">
      <c r="E171" s="810">
        <v>43039</v>
      </c>
      <c r="G171" s="288" t="s">
        <v>7040</v>
      </c>
      <c r="J171" s="288" t="s">
        <v>7041</v>
      </c>
    </row>
    <row r="172" spans="5:10" x14ac:dyDescent="0.2">
      <c r="E172" s="810">
        <v>43038</v>
      </c>
      <c r="G172" s="288" t="s">
        <v>7038</v>
      </c>
      <c r="J172" s="288" t="s">
        <v>7039</v>
      </c>
    </row>
    <row r="173" spans="5:10" x14ac:dyDescent="0.2">
      <c r="E173" s="810">
        <v>43038</v>
      </c>
      <c r="G173" s="288" t="s">
        <v>7036</v>
      </c>
      <c r="J173" s="288" t="s">
        <v>7037</v>
      </c>
    </row>
    <row r="174" spans="5:10" x14ac:dyDescent="0.2">
      <c r="E174" s="810">
        <v>43038</v>
      </c>
      <c r="G174" s="288" t="s">
        <v>7031</v>
      </c>
      <c r="J174" s="288" t="s">
        <v>7032</v>
      </c>
    </row>
    <row r="175" spans="5:10" x14ac:dyDescent="0.2">
      <c r="E175" s="810">
        <v>43038</v>
      </c>
      <c r="G175" s="288" t="s">
        <v>7029</v>
      </c>
      <c r="J175" s="288" t="s">
        <v>7030</v>
      </c>
    </row>
    <row r="176" spans="5:10" x14ac:dyDescent="0.2">
      <c r="E176" s="810">
        <v>43038</v>
      </c>
      <c r="G176" s="288" t="s">
        <v>7027</v>
      </c>
      <c r="J176" s="288" t="s">
        <v>7028</v>
      </c>
    </row>
    <row r="177" spans="5:10" x14ac:dyDescent="0.2">
      <c r="E177" s="810">
        <v>43037</v>
      </c>
      <c r="G177" s="288" t="s">
        <v>7025</v>
      </c>
      <c r="J177" s="288" t="s">
        <v>7026</v>
      </c>
    </row>
    <row r="178" spans="5:10" x14ac:dyDescent="0.2">
      <c r="E178" s="810">
        <v>43037</v>
      </c>
      <c r="G178" s="288" t="s">
        <v>7023</v>
      </c>
      <c r="J178" s="288" t="s">
        <v>7024</v>
      </c>
    </row>
    <row r="179" spans="5:10" x14ac:dyDescent="0.2">
      <c r="E179" s="810">
        <v>43037</v>
      </c>
      <c r="G179" s="288" t="s">
        <v>7017</v>
      </c>
      <c r="J179" s="288" t="s">
        <v>7018</v>
      </c>
    </row>
    <row r="180" spans="5:10" x14ac:dyDescent="0.2">
      <c r="E180" s="810">
        <v>43037</v>
      </c>
      <c r="G180" s="288" t="s">
        <v>7015</v>
      </c>
      <c r="J180" s="288" t="s">
        <v>7019</v>
      </c>
    </row>
    <row r="181" spans="5:10" x14ac:dyDescent="0.2">
      <c r="E181" s="810">
        <v>43037</v>
      </c>
      <c r="G181" s="288" t="s">
        <v>7014</v>
      </c>
      <c r="J181" s="288" t="s">
        <v>7016</v>
      </c>
    </row>
    <row r="182" spans="5:10" x14ac:dyDescent="0.2">
      <c r="E182" s="810">
        <v>43033</v>
      </c>
      <c r="G182" s="288" t="s">
        <v>7012</v>
      </c>
      <c r="J182" s="288" t="s">
        <v>7013</v>
      </c>
    </row>
    <row r="183" spans="5:10" x14ac:dyDescent="0.2">
      <c r="E183" s="810">
        <v>43033</v>
      </c>
      <c r="G183" s="288" t="s">
        <v>7010</v>
      </c>
      <c r="J183" s="288" t="s">
        <v>7011</v>
      </c>
    </row>
    <row r="184" spans="5:10" x14ac:dyDescent="0.2">
      <c r="E184" s="810">
        <v>43033</v>
      </c>
      <c r="G184" s="288" t="s">
        <v>7008</v>
      </c>
      <c r="J184" s="288" t="s">
        <v>7009</v>
      </c>
    </row>
    <row r="185" spans="5:10" x14ac:dyDescent="0.2">
      <c r="E185" s="810">
        <v>43033</v>
      </c>
      <c r="G185" s="288" t="s">
        <v>7005</v>
      </c>
      <c r="J185" s="287" t="s">
        <v>7006</v>
      </c>
    </row>
    <row r="186" spans="5:10" x14ac:dyDescent="0.2">
      <c r="E186" s="810">
        <v>43033</v>
      </c>
      <c r="G186" s="288" t="s">
        <v>7003</v>
      </c>
      <c r="J186" s="288" t="s">
        <v>7004</v>
      </c>
    </row>
    <row r="187" spans="5:10" x14ac:dyDescent="0.2">
      <c r="E187" s="810">
        <v>43033</v>
      </c>
      <c r="G187" s="288" t="s">
        <v>7001</v>
      </c>
      <c r="J187" s="288" t="s">
        <v>7002</v>
      </c>
    </row>
    <row r="188" spans="5:10" x14ac:dyDescent="0.2">
      <c r="E188" s="810">
        <v>43032</v>
      </c>
      <c r="G188" s="288" t="s">
        <v>6999</v>
      </c>
      <c r="J188" s="288" t="s">
        <v>7000</v>
      </c>
    </row>
    <row r="189" spans="5:10" x14ac:dyDescent="0.2">
      <c r="E189" s="810">
        <v>43032</v>
      </c>
      <c r="G189" s="288" t="s">
        <v>6997</v>
      </c>
      <c r="J189" s="288" t="s">
        <v>6998</v>
      </c>
    </row>
    <row r="190" spans="5:10" x14ac:dyDescent="0.2">
      <c r="E190" s="810">
        <v>43032</v>
      </c>
      <c r="G190" s="288" t="s">
        <v>6995</v>
      </c>
      <c r="J190" s="288" t="s">
        <v>6996</v>
      </c>
    </row>
    <row r="191" spans="5:10" x14ac:dyDescent="0.2">
      <c r="E191" s="810">
        <v>43032</v>
      </c>
      <c r="G191" s="288" t="s">
        <v>6994</v>
      </c>
      <c r="J191" s="288" t="s">
        <v>6993</v>
      </c>
    </row>
    <row r="192" spans="5:10" x14ac:dyDescent="0.2">
      <c r="E192" s="810">
        <v>43031</v>
      </c>
      <c r="G192" s="288" t="s">
        <v>6991</v>
      </c>
      <c r="J192" s="288" t="s">
        <v>6992</v>
      </c>
    </row>
    <row r="193" spans="5:10" x14ac:dyDescent="0.2">
      <c r="E193" s="810">
        <v>43031</v>
      </c>
      <c r="G193" s="288" t="s">
        <v>6989</v>
      </c>
      <c r="J193" s="288" t="s">
        <v>6990</v>
      </c>
    </row>
    <row r="194" spans="5:10" x14ac:dyDescent="0.2">
      <c r="E194" s="810">
        <v>43031</v>
      </c>
      <c r="G194" s="288" t="s">
        <v>6987</v>
      </c>
      <c r="J194" s="288" t="s">
        <v>6988</v>
      </c>
    </row>
    <row r="195" spans="5:10" x14ac:dyDescent="0.2">
      <c r="E195" s="810">
        <v>43031</v>
      </c>
      <c r="G195" s="288" t="s">
        <v>6985</v>
      </c>
      <c r="J195" s="288" t="s">
        <v>6986</v>
      </c>
    </row>
    <row r="196" spans="5:10" x14ac:dyDescent="0.2">
      <c r="E196" s="810">
        <v>43030</v>
      </c>
      <c r="G196" s="288" t="s">
        <v>6981</v>
      </c>
      <c r="J196" s="288" t="s">
        <v>6982</v>
      </c>
    </row>
    <row r="197" spans="5:10" x14ac:dyDescent="0.2">
      <c r="E197" s="810">
        <v>43030</v>
      </c>
      <c r="G197" s="288" t="s">
        <v>7007</v>
      </c>
      <c r="J197" s="288" t="s">
        <v>6980</v>
      </c>
    </row>
    <row r="198" spans="5:10" x14ac:dyDescent="0.2">
      <c r="E198" s="810">
        <v>43030</v>
      </c>
      <c r="G198" s="288" t="s">
        <v>6975</v>
      </c>
      <c r="J198" s="288" t="s">
        <v>6976</v>
      </c>
    </row>
    <row r="199" spans="5:10" x14ac:dyDescent="0.2">
      <c r="E199" s="810">
        <v>43030</v>
      </c>
      <c r="G199" s="288" t="s">
        <v>6973</v>
      </c>
      <c r="J199" s="288" t="s">
        <v>6974</v>
      </c>
    </row>
    <row r="200" spans="5:10" x14ac:dyDescent="0.2">
      <c r="E200" s="810">
        <v>43017</v>
      </c>
      <c r="G200" s="287" t="s">
        <v>6968</v>
      </c>
      <c r="J200" s="287" t="s">
        <v>6972</v>
      </c>
    </row>
    <row r="201" spans="5:10" x14ac:dyDescent="0.2">
      <c r="E201" s="810">
        <v>43017</v>
      </c>
      <c r="G201" s="287" t="s">
        <v>6967</v>
      </c>
      <c r="J201" s="287" t="s">
        <v>6966</v>
      </c>
    </row>
    <row r="202" spans="5:10" x14ac:dyDescent="0.2">
      <c r="E202" s="810">
        <v>43017</v>
      </c>
      <c r="G202" s="287" t="s">
        <v>6969</v>
      </c>
      <c r="J202" s="287" t="s">
        <v>6965</v>
      </c>
    </row>
    <row r="203" spans="5:10" x14ac:dyDescent="0.2">
      <c r="E203" s="810">
        <v>43017</v>
      </c>
      <c r="G203" s="287" t="s">
        <v>6963</v>
      </c>
      <c r="J203" s="287" t="s">
        <v>6964</v>
      </c>
    </row>
    <row r="204" spans="5:10" x14ac:dyDescent="0.2">
      <c r="E204" s="810">
        <v>43017</v>
      </c>
      <c r="G204" s="288" t="s">
        <v>6961</v>
      </c>
      <c r="J204" s="288" t="s">
        <v>6962</v>
      </c>
    </row>
    <row r="205" spans="5:10" x14ac:dyDescent="0.2">
      <c r="E205" s="810">
        <v>43017</v>
      </c>
      <c r="G205" s="288" t="s">
        <v>6970</v>
      </c>
      <c r="J205" s="288" t="s">
        <v>6960</v>
      </c>
    </row>
    <row r="206" spans="5:10" x14ac:dyDescent="0.2">
      <c r="E206" s="810">
        <v>43015</v>
      </c>
      <c r="G206" s="288" t="s">
        <v>6971</v>
      </c>
      <c r="J206" s="288" t="s">
        <v>6958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14-nov-2018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>16-jul-2018</v>
      </c>
      <c r="O2" s="569"/>
      <c r="P2" s="566"/>
      <c r="Q2" s="566"/>
      <c r="R2" s="569" t="str">
        <f>Txt_Pat_Gewicht</f>
        <v>Gewicht: 10 kg</v>
      </c>
      <c r="S2" s="569"/>
      <c r="T2" s="566" t="str">
        <f>Txt_Pat_Bed</f>
        <v>Bed: Unit 3-2</v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>Bunny, Bucks</v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>0 jaar en 4 maand(-en)</v>
      </c>
      <c r="O3" s="569"/>
      <c r="P3" s="566"/>
      <c r="Q3" s="566"/>
      <c r="R3" s="569" t="str">
        <f>Txt_Pat_Lengte</f>
        <v>Lengte: 90 cm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onbepaald</v>
      </c>
      <c r="O4" s="569"/>
      <c r="P4" s="566"/>
      <c r="Q4" s="569"/>
      <c r="R4" s="569" t="str">
        <f>Txt_Pat_Oppervlak</f>
        <v>Lichamelijk oppervlak: 0,5 m2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9" t="str">
        <f>GlobBerMedDisc!AR2</f>
        <v/>
      </c>
      <c r="G9" s="819"/>
      <c r="H9" s="819"/>
      <c r="I9" s="819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7143</v>
      </c>
      <c r="BO1" s="152" t="s">
        <v>6920</v>
      </c>
      <c r="BP1" s="152" t="s">
        <v>7144</v>
      </c>
      <c r="BQ1" s="152" t="s">
        <v>7531</v>
      </c>
      <c r="BR1" s="152" t="s">
        <v>7660</v>
      </c>
      <c r="BS1" s="152" t="s">
        <v>7661</v>
      </c>
      <c r="BT1" s="152" t="s">
        <v>7790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7523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7524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7525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7526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7527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7528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7529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7530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7387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7388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7389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7390</v>
      </c>
    </row>
    <row r="197" spans="1:1" x14ac:dyDescent="0.2">
      <c r="A197" t="s">
        <v>6170</v>
      </c>
    </row>
    <row r="198" spans="1:1" x14ac:dyDescent="0.2">
      <c r="A198" t="s">
        <v>7391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7392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7393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7394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7395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7463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7396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7397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7328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7398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7329</v>
      </c>
    </row>
    <row r="664" spans="1:1" x14ac:dyDescent="0.2">
      <c r="A664" t="s">
        <v>7399</v>
      </c>
    </row>
    <row r="665" spans="1:1" x14ac:dyDescent="0.2">
      <c r="A665" t="s">
        <v>7400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7401</v>
      </c>
    </row>
    <row r="673" spans="1:1" x14ac:dyDescent="0.2">
      <c r="A673" t="s">
        <v>7402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7403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7464</v>
      </c>
    </row>
    <row r="724" spans="1:1" x14ac:dyDescent="0.2">
      <c r="A724" t="s">
        <v>6680</v>
      </c>
    </row>
    <row r="725" spans="1:1" x14ac:dyDescent="0.2">
      <c r="A725" t="s">
        <v>7404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7465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7466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7330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5" sqref="B15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7880</v>
      </c>
    </row>
    <row r="2" spans="1:20" ht="13.5" thickBot="1" x14ac:dyDescent="0.25">
      <c r="A2" s="152" t="s">
        <v>866</v>
      </c>
      <c r="B2" t="b">
        <v>1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6984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7894</v>
      </c>
      <c r="B11" t="b">
        <v>1</v>
      </c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A12" s="152" t="s">
        <v>7897</v>
      </c>
      <c r="B12" s="152" t="s">
        <v>7899</v>
      </c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A13" s="152" t="s">
        <v>7895</v>
      </c>
      <c r="B13" s="152" t="s">
        <v>7893</v>
      </c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A14" s="152" t="s">
        <v>7898</v>
      </c>
      <c r="B14" s="152" t="s">
        <v>7899</v>
      </c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A15" s="152" t="s">
        <v>7896</v>
      </c>
      <c r="B15" s="152" t="s">
        <v>7893</v>
      </c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85"/>
  <sheetViews>
    <sheetView showZeros="0" showOutlineSymbols="0" workbookViewId="0">
      <pane ySplit="1" topLeftCell="A2015" activePane="bottomLeft" state="frozen"/>
      <selection pane="bottomLeft" activeCell="B2029" sqref="B2029:B204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7532</v>
      </c>
      <c r="B7" t="s">
        <v>1523</v>
      </c>
      <c r="D7" t="b">
        <f>IFERROR(VLOOKUP(B7,PatData!$A$2:$A$2000,1,),"")&lt;&gt;""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7900</v>
      </c>
      <c r="B9" t="s">
        <v>890</v>
      </c>
      <c r="D9" t="b">
        <f>IFERROR(VLOOKUP(B9,PatData!$A$2:$A$2000,1,),"")&lt;&gt;""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7145</v>
      </c>
      <c r="B294" t="s">
        <v>7146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7147</v>
      </c>
      <c r="B295" t="s">
        <v>7148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7149</v>
      </c>
      <c r="B296" t="s">
        <v>7150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7151</v>
      </c>
      <c r="B297" t="s">
        <v>7152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7153</v>
      </c>
      <c r="B298" t="s">
        <v>7154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7155</v>
      </c>
      <c r="B299" t="s">
        <v>7156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7157</v>
      </c>
      <c r="B300" t="s">
        <v>7158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7159</v>
      </c>
      <c r="B301" t="s">
        <v>7160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7161</v>
      </c>
      <c r="B302" t="s">
        <v>7162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7163</v>
      </c>
      <c r="B303" t="s">
        <v>7164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7165</v>
      </c>
      <c r="B304" t="s">
        <v>7166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7167</v>
      </c>
      <c r="B305" t="s">
        <v>7168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7169</v>
      </c>
      <c r="B306" t="s">
        <v>7170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7171</v>
      </c>
      <c r="B307" t="s">
        <v>7172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7173</v>
      </c>
      <c r="B308" t="s">
        <v>7174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7175</v>
      </c>
      <c r="B309" t="s">
        <v>7176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7177</v>
      </c>
      <c r="B310" t="s">
        <v>7178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7179</v>
      </c>
      <c r="B311" t="s">
        <v>7180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7181</v>
      </c>
      <c r="B312" t="s">
        <v>7182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7183</v>
      </c>
      <c r="B313" t="s">
        <v>7184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7185</v>
      </c>
      <c r="B314" t="s">
        <v>7186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7187</v>
      </c>
      <c r="B315" t="s">
        <v>7188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7189</v>
      </c>
      <c r="B316" t="s">
        <v>7190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7191</v>
      </c>
      <c r="B317" t="s">
        <v>7192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7193</v>
      </c>
      <c r="B318" t="s">
        <v>7194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7195</v>
      </c>
      <c r="B319" t="s">
        <v>7196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7197</v>
      </c>
      <c r="B320" t="s">
        <v>7198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7199</v>
      </c>
      <c r="B321" t="s">
        <v>7200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7201</v>
      </c>
      <c r="B322" t="s">
        <v>7202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7203</v>
      </c>
      <c r="B323" t="s">
        <v>7204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7791</v>
      </c>
      <c r="B444" t="s">
        <v>7792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7793</v>
      </c>
      <c r="B445" t="s">
        <v>7794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7795</v>
      </c>
      <c r="B446" t="s">
        <v>7796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7797</v>
      </c>
      <c r="B447" t="s">
        <v>7798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7799</v>
      </c>
      <c r="B448" t="s">
        <v>7800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7801</v>
      </c>
      <c r="B449" t="s">
        <v>7802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7803</v>
      </c>
      <c r="B450" t="s">
        <v>7804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7805</v>
      </c>
      <c r="B451" t="s">
        <v>7806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7807</v>
      </c>
      <c r="B452" t="s">
        <v>7808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7809</v>
      </c>
      <c r="B453" t="s">
        <v>7810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7811</v>
      </c>
      <c r="B454" t="s">
        <v>7812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7813</v>
      </c>
      <c r="B455" t="s">
        <v>7814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7815</v>
      </c>
      <c r="B456" t="s">
        <v>7816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7817</v>
      </c>
      <c r="B457" t="s">
        <v>7818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7819</v>
      </c>
      <c r="B458" t="s">
        <v>7820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7821</v>
      </c>
      <c r="B459" t="s">
        <v>7822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7823</v>
      </c>
      <c r="B460" t="s">
        <v>7824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7825</v>
      </c>
      <c r="B461" t="s">
        <v>7826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7827</v>
      </c>
      <c r="B462" t="s">
        <v>7828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7829</v>
      </c>
      <c r="B463" t="s">
        <v>7830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7831</v>
      </c>
      <c r="B464" t="s">
        <v>7832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7833</v>
      </c>
      <c r="B465" t="s">
        <v>7834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7835</v>
      </c>
      <c r="B466" t="s">
        <v>7836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7837</v>
      </c>
      <c r="B467" t="s">
        <v>7838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7839</v>
      </c>
      <c r="B468" t="s">
        <v>7840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7841</v>
      </c>
      <c r="B469" t="s">
        <v>7842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7843</v>
      </c>
      <c r="B470" t="s">
        <v>7844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7845</v>
      </c>
      <c r="B471" t="s">
        <v>7846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7847</v>
      </c>
      <c r="B472" t="s">
        <v>7848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7849</v>
      </c>
      <c r="B473" t="s">
        <v>7850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IFERROR(VLOOKUP(B564,PatData!$A$2:$A$2000,1,),"")&lt;&gt;""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IFERROR(VLOOKUP(B565,PatData!$A$2:$A$2000,1,),"")&lt;&gt;""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IFERROR(VLOOKUP(B578,PatData!$A$2:$A$2000,1,),"")&lt;&gt;""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IFERROR(VLOOKUP(B590,PatData!$A$2:$A$2000,1,),"")&lt;&gt;""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IFERROR(VLOOKUP(B591,PatData!$A$2:$A$2000,1,),"")&lt;&gt;""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IFERROR(VLOOKUP(B592,PatData!$A$2:$A$2000,1,),"")&lt;&gt;""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IFERROR(VLOOKUP(B627,PatData!$A$2:$A$2000,1,),"")&lt;&gt;""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7533</v>
      </c>
      <c r="B684" t="s">
        <v>7534</v>
      </c>
      <c r="C684"/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7535</v>
      </c>
      <c r="B685" t="s">
        <v>7536</v>
      </c>
      <c r="C685"/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7537</v>
      </c>
      <c r="B686" t="s">
        <v>7538</v>
      </c>
      <c r="C686"/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7539</v>
      </c>
      <c r="B687" t="s">
        <v>7540</v>
      </c>
      <c r="C687"/>
      <c r="D687" t="b">
        <f>IFERROR(VLOOKUP(B687,PatData!$A$2:$A$2000,1,),"")&lt;&gt;""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7541</v>
      </c>
      <c r="B688" t="s">
        <v>7542</v>
      </c>
      <c r="C688"/>
      <c r="D688" t="b">
        <f>IFERROR(VLOOKUP(B688,PatData!$A$2:$A$2000,1,),"")&lt;&gt;""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7543</v>
      </c>
      <c r="B689" t="s">
        <v>7544</v>
      </c>
      <c r="C689"/>
      <c r="D689" t="b">
        <f>IFERROR(VLOOKUP(B689,PatData!$A$2:$A$2000,1,),"")&lt;&gt;""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7545</v>
      </c>
      <c r="B690" t="s">
        <v>7546</v>
      </c>
      <c r="C690"/>
      <c r="D690" t="b">
        <f>IFERROR(VLOOKUP(B690,PatData!$A$2:$A$2000,1,),"")&lt;&gt;""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7547</v>
      </c>
      <c r="B691" t="s">
        <v>7548</v>
      </c>
      <c r="C691"/>
      <c r="D691" t="b">
        <f>IFERROR(VLOOKUP(B691,PatData!$A$2:$A$2000,1,),"")&lt;&gt;""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7549</v>
      </c>
      <c r="B692" t="s">
        <v>7550</v>
      </c>
      <c r="C692"/>
      <c r="D692" t="b">
        <f>IFERROR(VLOOKUP(B692,PatData!$A$2:$A$2000,1,),"")&lt;&gt;""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7551</v>
      </c>
      <c r="B693" t="s">
        <v>7552</v>
      </c>
      <c r="C693"/>
      <c r="D693" t="b">
        <f>IFERROR(VLOOKUP(B693,PatData!$A$2:$A$2000,1,),"")&lt;&gt;""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7553</v>
      </c>
      <c r="B694" t="s">
        <v>7554</v>
      </c>
      <c r="C694"/>
      <c r="D694" t="b">
        <f>IFERROR(VLOOKUP(B694,PatData!$A$2:$A$2000,1,),"")&lt;&gt;""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7555</v>
      </c>
      <c r="B695" t="s">
        <v>7556</v>
      </c>
      <c r="C695"/>
      <c r="D695" t="b">
        <f>IFERROR(VLOOKUP(B695,PatData!$A$2:$A$2000,1,),"")&lt;&gt;""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7557</v>
      </c>
      <c r="B696" t="s">
        <v>7558</v>
      </c>
      <c r="C696"/>
      <c r="D696" t="b">
        <f>IFERROR(VLOOKUP(B696,PatData!$A$2:$A$2000,1,),"")&lt;&gt;""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7559</v>
      </c>
      <c r="B697" t="s">
        <v>7560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7561</v>
      </c>
      <c r="B698" t="s">
        <v>7562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7563</v>
      </c>
      <c r="B699" t="s">
        <v>7564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7565</v>
      </c>
      <c r="B700" t="s">
        <v>7566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7567</v>
      </c>
      <c r="B701" t="s">
        <v>7568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7569</v>
      </c>
      <c r="B702" t="s">
        <v>7570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7571</v>
      </c>
      <c r="B703" t="s">
        <v>7572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7573</v>
      </c>
      <c r="B704" t="s">
        <v>7574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7575</v>
      </c>
      <c r="B705" t="s">
        <v>7576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7577</v>
      </c>
      <c r="B706" t="s">
        <v>7578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7579</v>
      </c>
      <c r="B707" t="s">
        <v>7580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7581</v>
      </c>
      <c r="B708" t="s">
        <v>7582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7583</v>
      </c>
      <c r="B709" t="s">
        <v>7584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7585</v>
      </c>
      <c r="B710" t="s">
        <v>7586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7587</v>
      </c>
      <c r="B711" t="s">
        <v>7588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7589</v>
      </c>
      <c r="B712" t="s">
        <v>7590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7591</v>
      </c>
      <c r="B713" t="s">
        <v>7592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7662</v>
      </c>
      <c r="B714" t="s">
        <v>7663</v>
      </c>
      <c r="D714" t="b">
        <f>IFERROR(VLOOKUP(B714,PatData!$A$2:$A$2000,1,),"")&lt;&gt;""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7664</v>
      </c>
      <c r="B715" t="s">
        <v>7665</v>
      </c>
      <c r="D715" t="b">
        <f>IFERROR(VLOOKUP(B715,PatData!$A$2:$A$2000,1,),"")&lt;&gt;""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7666</v>
      </c>
      <c r="B716" t="s">
        <v>7667</v>
      </c>
      <c r="D716" t="b">
        <f>IFERROR(VLOOKUP(B716,PatData!$A$2:$A$2000,1,),"")&lt;&gt;""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7668</v>
      </c>
      <c r="B717" t="s">
        <v>7669</v>
      </c>
      <c r="D717" t="b">
        <f>IFERROR(VLOOKUP(B717,PatData!$A$2:$A$2000,1,),"")&lt;&gt;""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7670</v>
      </c>
      <c r="B718" t="s">
        <v>7671</v>
      </c>
      <c r="D718" t="b">
        <f>IFERROR(VLOOKUP(B718,PatData!$A$2:$A$2000,1,),"")&lt;&gt;""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7672</v>
      </c>
      <c r="B719" t="s">
        <v>7673</v>
      </c>
      <c r="D719" t="b">
        <f>IFERROR(VLOOKUP(B719,PatData!$A$2:$A$2000,1,),"")&lt;&gt;""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7674</v>
      </c>
      <c r="B720" t="s">
        <v>7675</v>
      </c>
      <c r="D720" t="b">
        <f>IFERROR(VLOOKUP(B720,PatData!$A$2:$A$2000,1,),"")&lt;&gt;""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7676</v>
      </c>
      <c r="B721" t="s">
        <v>7677</v>
      </c>
      <c r="D721" t="b">
        <f>IFERROR(VLOOKUP(B721,PatData!$A$2:$A$2000,1,),"")&lt;&gt;""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7678</v>
      </c>
      <c r="B722" t="s">
        <v>7679</v>
      </c>
      <c r="D722" t="b">
        <f>IFERROR(VLOOKUP(B722,PatData!$A$2:$A$2000,1,),"")&lt;&gt;""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7680</v>
      </c>
      <c r="B723" t="s">
        <v>7681</v>
      </c>
      <c r="D723" t="b">
        <f>IFERROR(VLOOKUP(B723,PatData!$A$2:$A$2000,1,),"")&lt;&gt;""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7682</v>
      </c>
      <c r="B724" t="s">
        <v>7683</v>
      </c>
      <c r="D724" t="b">
        <f>IFERROR(VLOOKUP(B724,PatData!$A$2:$A$2000,1,),"")&lt;&gt;""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7684</v>
      </c>
      <c r="B725" t="s">
        <v>7685</v>
      </c>
      <c r="D725" t="b">
        <f>IFERROR(VLOOKUP(B725,PatData!$A$2:$A$2000,1,),"")&lt;&gt;""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7686</v>
      </c>
      <c r="B726" t="s">
        <v>7687</v>
      </c>
      <c r="D726" t="b">
        <f>IFERROR(VLOOKUP(B726,PatData!$A$2:$A$2000,1,),"")&lt;&gt;""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7688</v>
      </c>
      <c r="B727" t="s">
        <v>7689</v>
      </c>
      <c r="D727" t="b">
        <f>IFERROR(VLOOKUP(B727,PatData!$A$2:$A$2000,1,),"")&lt;&gt;""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7690</v>
      </c>
      <c r="B728" t="s">
        <v>7691</v>
      </c>
      <c r="D728" t="b">
        <f>IFERROR(VLOOKUP(B728,PatData!$A$2:$A$2000,1,),"")&lt;&gt;""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7692</v>
      </c>
      <c r="B729" t="s">
        <v>7693</v>
      </c>
      <c r="D729" t="b">
        <f>IFERROR(VLOOKUP(B729,PatData!$A$2:$A$2000,1,),"")&lt;&gt;""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7694</v>
      </c>
      <c r="B730" t="s">
        <v>7695</v>
      </c>
      <c r="D730" t="b">
        <f>IFERROR(VLOOKUP(B730,PatData!$A$2:$A$2000,1,),"")&lt;&gt;""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7696</v>
      </c>
      <c r="B731" t="s">
        <v>7697</v>
      </c>
      <c r="D731" t="b">
        <f>IFERROR(VLOOKUP(B731,PatData!$A$2:$A$2000,1,),"")&lt;&gt;""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7698</v>
      </c>
      <c r="B732" t="s">
        <v>7699</v>
      </c>
      <c r="D732" t="b">
        <f>IFERROR(VLOOKUP(B732,PatData!$A$2:$A$2000,1,),"")&lt;&gt;""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7700</v>
      </c>
      <c r="B733" t="s">
        <v>7701</v>
      </c>
      <c r="D733" t="b">
        <f>IFERROR(VLOOKUP(B733,PatData!$A$2:$A$2000,1,),"")&lt;&gt;""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7702</v>
      </c>
      <c r="B734" t="s">
        <v>7703</v>
      </c>
      <c r="D734" t="b">
        <f>IFERROR(VLOOKUP(B734,PatData!$A$2:$A$2000,1,),"")&lt;&gt;""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7704</v>
      </c>
      <c r="B735" t="s">
        <v>7705</v>
      </c>
      <c r="D735" t="b">
        <f>IFERROR(VLOOKUP(B735,PatData!$A$2:$A$2000,1,),"")&lt;&gt;""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7706</v>
      </c>
      <c r="B736" t="s">
        <v>7707</v>
      </c>
      <c r="D736" t="b">
        <f>IFERROR(VLOOKUP(B736,PatData!$A$2:$A$2000,1,),"")&lt;&gt;""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7708</v>
      </c>
      <c r="B737" t="s">
        <v>7709</v>
      </c>
      <c r="D737" t="b">
        <f>IFERROR(VLOOKUP(B737,PatData!$A$2:$A$2000,1,),"")&lt;&gt;""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7710</v>
      </c>
      <c r="B738" t="s">
        <v>7711</v>
      </c>
      <c r="D738" t="b">
        <f>IFERROR(VLOOKUP(B738,PatData!$A$2:$A$2000,1,),"")&lt;&gt;""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7712</v>
      </c>
      <c r="B739" t="s">
        <v>7713</v>
      </c>
      <c r="D739" t="b">
        <f>IFERROR(VLOOKUP(B739,PatData!$A$2:$A$2000,1,),"")&lt;&gt;""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7714</v>
      </c>
      <c r="B740" t="s">
        <v>7715</v>
      </c>
      <c r="D740" t="b">
        <f>IFERROR(VLOOKUP(B740,PatData!$A$2:$A$2000,1,),"")&lt;&gt;""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7716</v>
      </c>
      <c r="B741" t="s">
        <v>7717</v>
      </c>
      <c r="D741" t="b">
        <f>IFERROR(VLOOKUP(B741,PatData!$A$2:$A$2000,1,),"")&lt;&gt;""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7718</v>
      </c>
      <c r="B742" t="s">
        <v>7719</v>
      </c>
      <c r="D742" t="b">
        <f>IFERROR(VLOOKUP(B742,PatData!$A$2:$A$2000,1,),"")&lt;&gt;""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7720</v>
      </c>
      <c r="B743" t="s">
        <v>7721</v>
      </c>
      <c r="D743" t="b">
        <f>IFERROR(VLOOKUP(B743,PatData!$A$2:$A$2000,1,),"")&lt;&gt;""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7722</v>
      </c>
      <c r="B744" t="s">
        <v>7723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7724</v>
      </c>
      <c r="B745" t="s">
        <v>7725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7726</v>
      </c>
      <c r="B746" t="s">
        <v>7727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7728</v>
      </c>
      <c r="B747" t="s">
        <v>7729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7730</v>
      </c>
      <c r="B748" t="s">
        <v>7731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7732</v>
      </c>
      <c r="B749" t="s">
        <v>7733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7734</v>
      </c>
      <c r="B750" t="s">
        <v>7735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7736</v>
      </c>
      <c r="B751" t="s">
        <v>7737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7738</v>
      </c>
      <c r="B752" t="s">
        <v>7739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7740</v>
      </c>
      <c r="B753" t="s">
        <v>7741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7742</v>
      </c>
      <c r="B754" t="s">
        <v>7743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7744</v>
      </c>
      <c r="B755" t="s">
        <v>7745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7746</v>
      </c>
      <c r="B756" t="s">
        <v>7747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7748</v>
      </c>
      <c r="B757" t="s">
        <v>7749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7750</v>
      </c>
      <c r="B758" t="s">
        <v>7751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7752</v>
      </c>
      <c r="B759" t="s">
        <v>7753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7754</v>
      </c>
      <c r="B760" t="s">
        <v>7755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7756</v>
      </c>
      <c r="B761" t="s">
        <v>7757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7758</v>
      </c>
      <c r="B762" t="s">
        <v>7759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7760</v>
      </c>
      <c r="B763" t="s">
        <v>7761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7762</v>
      </c>
      <c r="B764" t="s">
        <v>7763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7764</v>
      </c>
      <c r="B765" t="s">
        <v>7765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7766</v>
      </c>
      <c r="B766" t="s">
        <v>7767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7768</v>
      </c>
      <c r="B767" t="s">
        <v>7769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7770</v>
      </c>
      <c r="B768" t="s">
        <v>7771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7772</v>
      </c>
      <c r="B769" t="s">
        <v>7773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7774</v>
      </c>
      <c r="B770" t="s">
        <v>7775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7776</v>
      </c>
      <c r="B771" t="s">
        <v>7777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7778</v>
      </c>
      <c r="B772" t="s">
        <v>7779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7780</v>
      </c>
      <c r="B773" t="s">
        <v>7781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IFERROR(VLOOKUP(B894,PatData!$A$2:$A$2000,1,),"")&lt;&gt;""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IFERROR(VLOOKUP(B895,PatData!$A$2:$A$2000,1,),"")&lt;&gt;""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IFERROR(VLOOKUP(B896,PatData!$A$2:$A$2000,1,),"")&lt;&gt;""</f>
        <v>1</v>
      </c>
      <c r="E896"/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IFERROR(VLOOKUP(B899,PatData!$A$2:$A$2000,1,),"")&lt;&gt;""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IFERROR(VLOOKUP(B900,PatData!$A$2:$A$2000,1,),"")&lt;&gt;""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IFERROR(VLOOKUP(B901,PatData!$A$2:$A$2000,1,),"")&lt;&gt;""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IFERROR(VLOOKUP(B902,PatData!$A$2:$A$2000,1,),"")&lt;&gt;""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IFERROR(VLOOKUP(B903,PatData!$A$2:$A$2000,1,),"")&lt;&gt;""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IFERROR(VLOOKUP(B904,PatData!$A$2:$A$2000,1,),"")&lt;&gt;""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IFERROR(VLOOKUP(B905,PatData!$A$2:$A$2000,1,),"")&lt;&gt;""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IFERROR(VLOOKUP(B906,PatData!$A$2:$A$2000,1,),"")&lt;&gt;""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IFERROR(VLOOKUP(B907,PatData!$A$2:$A$2000,1,),"")&lt;&gt;""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IFERROR(VLOOKUP(B908,PatData!$A$2:$A$2000,1,),"")&lt;&gt;""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IFERROR(VLOOKUP(B909,PatData!$A$2:$A$2000,1,),"")&lt;&gt;""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IFERROR(VLOOKUP(B910,PatData!$A$2:$A$2000,1,),"")&lt;&gt;""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IFERROR(VLOOKUP(B911,PatData!$A$2:$A$2000,1,),"")&lt;&gt;""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IFERROR(VLOOKUP(B912,PatData!$A$2:$A$2000,1,),"")&lt;&gt;""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IFERROR(VLOOKUP(B913,PatData!$A$2:$A$2000,1,),"")&lt;&gt;""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IFERROR(VLOOKUP(B914,PatData!$A$2:$A$2000,1,),"")&lt;&gt;""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IFERROR(VLOOKUP(B915,PatData!$A$2:$A$2000,1,),"")&lt;&gt;""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IFERROR(VLOOKUP(B916,PatData!$A$2:$A$2000,1,),"")&lt;&gt;""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IFERROR(VLOOKUP(B917,PatData!$A$2:$A$2000,1,),"")&lt;&gt;""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IFERROR(VLOOKUP(B918,PatData!$A$2:$A$2000,1,),"")&lt;&gt;""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IFERROR(VLOOKUP(B919,PatData!$A$2:$A$2000,1,),"")&lt;&gt;""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IFERROR(VLOOKUP(B920,PatData!$A$2:$A$2000,1,),"")&lt;&gt;""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IFERROR(VLOOKUP(B921,PatData!$A$2:$A$2000,1,),"")&lt;&gt;""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IFERROR(VLOOKUP(B922,PatData!$A$2:$A$2000,1,),"")&lt;&gt;""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IFERROR(VLOOKUP(B923,PatData!$A$2:$A$2000,1,),"")&lt;&gt;""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IFERROR(VLOOKUP(B924,PatData!$A$2:$A$2000,1,),"")&lt;&gt;""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IFERROR(VLOOKUP(B925,PatData!$A$2:$A$2000,1,),"")&lt;&gt;""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IFERROR(VLOOKUP(B926,PatData!$A$2:$A$2000,1,),"")&lt;&gt;""</f>
        <v>1</v>
      </c>
      <c r="E926"/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IFERROR(VLOOKUP(B927,PatData!$A$2:$A$2000,1,),"")&lt;&gt;""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IFERROR(VLOOKUP(B928,PatData!$A$2:$A$2000,1,),"")&lt;&gt;""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IFERROR(VLOOKUP(B929,PatData!$A$2:$A$2000,1,),"")&lt;&gt;""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IFERROR(VLOOKUP(B930,PatData!$A$2:$A$2000,1,),"")&lt;&gt;""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IFERROR(VLOOKUP(B931,PatData!$A$2:$A$2000,1,),"")&lt;&gt;""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IFERROR(VLOOKUP(B932,PatData!$A$2:$A$2000,1,),"")&lt;&gt;""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IFERROR(VLOOKUP(B933,PatData!$A$2:$A$2000,1,),"")&lt;&gt;""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IFERROR(VLOOKUP(B934,PatData!$A$2:$A$2000,1,),"")&lt;&gt;""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IFERROR(VLOOKUP(B935,PatData!$A$2:$A$2000,1,),"")&lt;&gt;""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IFERROR(VLOOKUP(B936,PatData!$A$2:$A$2000,1,),"")&lt;&gt;""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IFERROR(VLOOKUP(B937,PatData!$A$2:$A$2000,1,),"")&lt;&gt;""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IFERROR(VLOOKUP(B938,PatData!$A$2:$A$2000,1,),"")&lt;&gt;""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IFERROR(VLOOKUP(B939,PatData!$A$2:$A$2000,1,),"")&lt;&gt;""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IFERROR(VLOOKUP(B940,PatData!$A$2:$A$2000,1,),"")&lt;&gt;""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IFERROR(VLOOKUP(B941,PatData!$A$2:$A$2000,1,),"")&lt;&gt;""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IFERROR(VLOOKUP(B942,PatData!$A$2:$A$2000,1,),"")&lt;&gt;""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IFERROR(VLOOKUP(B943,PatData!$A$2:$A$2000,1,),"")&lt;&gt;""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IFERROR(VLOOKUP(B944,PatData!$A$2:$A$2000,1,),"")&lt;&gt;""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IFERROR(VLOOKUP(B945,PatData!$A$2:$A$2000,1,),"")&lt;&gt;""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IFERROR(VLOOKUP(B946,PatData!$A$2:$A$2000,1,),"")&lt;&gt;""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IFERROR(VLOOKUP(B947,PatData!$A$2:$A$2000,1,),"")&lt;&gt;""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IFERROR(VLOOKUP(B948,PatData!$A$2:$A$2000,1,),"")&lt;&gt;""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IFERROR(VLOOKUP(B949,PatData!$A$2:$A$2000,1,),"")&lt;&gt;""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IFERROR(VLOOKUP(B950,PatData!$A$2:$A$2000,1,),"")&lt;&gt;""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IFERROR(VLOOKUP(B951,PatData!$A$2:$A$2000,1,),"")&lt;&gt;""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IFERROR(VLOOKUP(B952,PatData!$A$2:$A$2000,1,),"")&lt;&gt;""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IFERROR(VLOOKUP(B953,PatData!$A$2:$A$2000,1,),"")&lt;&gt;""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IFERROR(VLOOKUP(B954,PatData!$A$2:$A$2000,1,),"")&lt;&gt;""</f>
        <v>1</v>
      </c>
      <c r="E954"/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IFERROR(VLOOKUP(B955,PatData!$A$2:$A$2000,1,),"")&lt;&gt;""</f>
        <v>1</v>
      </c>
      <c r="E955"/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IFERROR(VLOOKUP(B956,PatData!$A$2:$A$2000,1,),"")&lt;&gt;""</f>
        <v>1</v>
      </c>
      <c r="E956"/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IFERROR(VLOOKUP(B957,PatData!$A$2:$A$2000,1,),"")&lt;&gt;""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IFERROR(VLOOKUP(B958,PatData!$A$2:$A$2000,1,),"")&lt;&gt;""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IFERROR(VLOOKUP(B959,PatData!$A$2:$A$2000,1,),"")&lt;&gt;""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IFERROR(VLOOKUP(B960,PatData!$A$2:$A$2000,1,),"")&lt;&gt;""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IFERROR(VLOOKUP(B961,PatData!$A$2:$A$2000,1,),"")&lt;&gt;""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IFERROR(VLOOKUP(B962,PatData!$A$2:$A$2000,1,),"")&lt;&gt;""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IFERROR(VLOOKUP(B963,PatData!$A$2:$A$2000,1,),"")&lt;&gt;""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IFERROR(VLOOKUP(B964,PatData!$A$2:$A$2000,1,),"")&lt;&gt;""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IFERROR(VLOOKUP(B965,PatData!$A$2:$A$2000,1,),"")&lt;&gt;""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IFERROR(VLOOKUP(B966,PatData!$A$2:$A$2000,1,),"")&lt;&gt;""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IFERROR(VLOOKUP(B967,PatData!$A$2:$A$2000,1,),"")&lt;&gt;""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IFERROR(VLOOKUP(B968,PatData!$A$2:$A$2000,1,),"")&lt;&gt;""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IFERROR(VLOOKUP(B969,PatData!$A$2:$A$2000,1,),"")&lt;&gt;""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IFERROR(VLOOKUP(B970,PatData!$A$2:$A$2000,1,),"")&lt;&gt;""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IFERROR(VLOOKUP(B971,PatData!$A$2:$A$2000,1,),"")&lt;&gt;""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IFERROR(VLOOKUP(B972,PatData!$A$2:$A$2000,1,),"")&lt;&gt;""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IFERROR(VLOOKUP(B973,PatData!$A$2:$A$2000,1,),"")&lt;&gt;""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IFERROR(VLOOKUP(B974,PatData!$A$2:$A$2000,1,),"")&lt;&gt;""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IFERROR(VLOOKUP(B975,PatData!$A$2:$A$2000,1,),"")&lt;&gt;""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IFERROR(VLOOKUP(B976,PatData!$A$2:$A$2000,1,),"")&lt;&gt;""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IFERROR(VLOOKUP(B977,PatData!$A$2:$A$2000,1,),"")&lt;&gt;""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IFERROR(VLOOKUP(B978,PatData!$A$2:$A$2000,1,),"")&lt;&gt;""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IFERROR(VLOOKUP(B979,PatData!$A$2:$A$2000,1,),"")&lt;&gt;""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IFERROR(VLOOKUP(B980,PatData!$A$2:$A$2000,1,),"")&lt;&gt;""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IFERROR(VLOOKUP(B981,PatData!$A$2:$A$2000,1,),"")&lt;&gt;""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IFERROR(VLOOKUP(B982,PatData!$A$2:$A$2000,1,),"")&lt;&gt;""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IFERROR(VLOOKUP(B983,PatData!$A$2:$A$2000,1,),"")&lt;&gt;""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IFERROR(VLOOKUP(B997,PatData!$A$2:$A$2000,1,),"")&lt;&gt;""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IFERROR(VLOOKUP(B998,PatData!$A$2:$A$2000,1,),"")&lt;&gt;""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IFERROR(VLOOKUP(B999,PatData!$A$2:$A$2000,1,),"")&lt;&gt;""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IFERROR(VLOOKUP(B1000,PatData!$A$2:$A$2000,1,),"")&lt;&gt;""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IFERROR(VLOOKUP(B1001,PatData!$A$2:$A$2000,1,),"")&lt;&gt;""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IFERROR(VLOOKUP(B1002,PatData!$A$2:$A$2000,1,),"")&lt;&gt;""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IFERROR(VLOOKUP(B1003,PatData!$A$2:$A$2000,1,),"")&lt;&gt;""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IFERROR(VLOOKUP(B1004,PatData!$A$2:$A$2000,1,),"")&lt;&gt;""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IFERROR(VLOOKUP(B1005,PatData!$A$2:$A$2000,1,),"")&lt;&gt;""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IFERROR(VLOOKUP(B1006,PatData!$A$2:$A$2000,1,),"")&lt;&gt;""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IFERROR(VLOOKUP(B1017,PatData!$A$2:$A$2000,1,),"")&lt;&gt;""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IFERROR(VLOOKUP(B1018,PatData!$A$2:$A$2000,1,),"")&lt;&gt;""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IFERROR(VLOOKUP(B1029,PatData!$A$2:$A$2000,1,),"")&lt;&gt;""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IFERROR(VLOOKUP(B1030,PatData!$A$2:$A$2000,1,),"")&lt;&gt;""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IFERROR(VLOOKUP(B1031,PatData!$A$2:$A$2000,1,),"")&lt;&gt;""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IFERROR(VLOOKUP(B1032,PatData!$A$2:$A$2000,1,),"")&lt;&gt;""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IFERROR(VLOOKUP(B1033,PatData!$A$2:$A$2000,1,),"")&lt;&gt;""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IFERROR(VLOOKUP(B1034,PatData!$A$2:$A$2000,1,),"")&lt;&gt;""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IFERROR(VLOOKUP(B1035,PatData!$A$2:$A$2000,1,),"")&lt;&gt;""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IFERROR(VLOOKUP(B1036,PatData!$A$2:$A$2000,1,),"")&lt;&gt;""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IFERROR(VLOOKUP(B1037,PatData!$A$2:$A$2000,1,),"")&lt;&gt;""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IFERROR(VLOOKUP(B1038,PatData!$A$2:$A$2000,1,),"")&lt;&gt;""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IFERROR(VLOOKUP(B1039,PatData!$A$2:$A$2000,1,),"")&lt;&gt;""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IFERROR(VLOOKUP(B1040,PatData!$A$2:$A$2000,1,),"")&lt;&gt;""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IFERROR(VLOOKUP(B1041,PatData!$A$2:$A$2000,1,),"")&lt;&gt;""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IFERROR(VLOOKUP(B1069,PatData!$A$2:$A$2000,1,),"")&lt;&gt;""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IFERROR(VLOOKUP(B1083,PatData!$A$2:$A$2000,1,),"")&lt;&gt;""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IFERROR(VLOOKUP(B1085,PatData!$A$2:$A$2000,1,),"")&lt;&gt;""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IFERROR(VLOOKUP(B1086,PatData!$A$2:$A$2000,1,),"")&lt;&gt;""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IFERROR(VLOOKUP(B1087,PatData!$A$2:$A$2000,1,),"")&lt;&gt;""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IFERROR(VLOOKUP(B1088,PatData!$A$2:$A$2000,1,),"")&lt;&gt;""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IFERROR(VLOOKUP(B1089,PatData!$A$2:$A$2000,1,),"")&lt;&gt;""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IFERROR(VLOOKUP(B1092,PatData!$A$2:$A$2000,1,),"")&lt;&gt;""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IFERROR(VLOOKUP(B1094,PatData!$A$2:$A$2000,1,),"")&lt;&gt;""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IFERROR(VLOOKUP(B1095,PatData!$A$2:$A$2000,1,),"")&lt;&gt;""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IFERROR(VLOOKUP(B1097,PatData!$A$2:$A$2000,1,),"")&lt;&gt;""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IFERROR(VLOOKUP(B1099,PatData!$A$2:$A$2000,1,),"")&lt;&gt;""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IFERROR(VLOOKUP(B1100,PatData!$A$2:$A$2000,1,),"")&lt;&gt;""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IFERROR(VLOOKUP(B1101,PatData!$A$2:$A$2000,1,),"")&lt;&gt;""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IFERROR(VLOOKUP(B1102,PatData!$A$2:$A$2000,1,),"")&lt;&gt;""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IFERROR(VLOOKUP(B1104,PatData!$A$2:$A$2000,1,),"")&lt;&gt;""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IFERROR(VLOOKUP(B1105,PatData!$A$2:$A$2000,1,),"")&lt;&gt;""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IFERROR(VLOOKUP(B1106,PatData!$A$2:$A$2000,1,),"")&lt;&gt;""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7044</v>
      </c>
      <c r="B1124" t="s">
        <v>1542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7045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7046</v>
      </c>
      <c r="B1184" t="s">
        <v>1601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7047</v>
      </c>
      <c r="B1188" t="s">
        <v>1605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7048</v>
      </c>
      <c r="B1192" t="s">
        <v>1609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7049</v>
      </c>
      <c r="B1197" t="s">
        <v>1613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IFERROR(VLOOKUP(B1200,PatData!$A$2:$A$2000,1,),"")&lt;&gt;""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IFERROR(VLOOKUP(B1202,PatData!$A$2:$A$2000,1,),"")&lt;&gt;""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IFERROR(VLOOKUP(B1204,PatData!$A$2:$A$2000,1,),"")&lt;&gt;""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7050</v>
      </c>
      <c r="B1206" t="s">
        <v>7051</v>
      </c>
      <c r="D1206" t="b">
        <f>IFERROR(VLOOKUP(B1206,PatData!$A$2:$A$2000,1,),"")&lt;&gt;""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7052</v>
      </c>
      <c r="B1207" t="s">
        <v>1622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7053</v>
      </c>
      <c r="B1208" t="s">
        <v>1623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IFERROR(VLOOKUP(B1210,PatData!$A$2:$A$2000,1,),"")&lt;&gt;""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IFERROR(VLOOKUP(B1211,PatData!$A$2:$A$2000,1,),"")&lt;&gt;""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IFERROR(VLOOKUP(B1212,PatData!$A$2:$A$2000,1,),"")&lt;&gt;""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IFERROR(VLOOKUP(B1215,PatData!$A$2:$A$2000,1,),"")&lt;&gt;""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IFERROR(VLOOKUP(B1216,PatData!$A$2:$A$2000,1,),"")&lt;&gt;""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IFERROR(VLOOKUP(B1219,PatData!$A$2:$A$2000,1,),"")&lt;&gt;""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7054</v>
      </c>
      <c r="B1220" t="s">
        <v>1635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IFERROR(VLOOKUP(B1221,PatData!$A$2:$A$2000,1,),"")&lt;&gt;""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IFERROR(VLOOKUP(B1222,PatData!$A$2:$A$2000,1,),"")&lt;&gt;""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IFERROR(VLOOKUP(B1223,PatData!$A$2:$A$2000,1,),"")&lt;&gt;""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IFERROR(VLOOKUP(B1225,PatData!$A$2:$A$2000,1,),"")&lt;&gt;""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IFERROR(VLOOKUP(B1226,PatData!$A$2:$A$2000,1,),"")&lt;&gt;""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IFERROR(VLOOKUP(B1227,PatData!$A$2:$A$2000,1,),"")&lt;&gt;""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IFERROR(VLOOKUP(B1228,PatData!$A$2:$A$2000,1,),"")&lt;&gt;""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IFERROR(VLOOKUP(B1229,PatData!$A$2:$A$2000,1,),"")&lt;&gt;""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IFERROR(VLOOKUP(B1230,PatData!$A$2:$A$2000,1,),"")&lt;&gt;""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IFERROR(VLOOKUP(B1231,PatData!$A$2:$A$2000,1,),"")&lt;&gt;""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IFERROR(VLOOKUP(B1232,PatData!$A$2:$A$2000,1,),"")&lt;&gt;""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IFERROR(VLOOKUP(B1233,PatData!$A$2:$A$2000,1,),"")&lt;&gt;""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IFERROR(VLOOKUP(B1234,PatData!$A$2:$A$2000,1,),"")&lt;&gt;""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IFERROR(VLOOKUP(B1239,PatData!$A$2:$A$2000,1,),"")&lt;&gt;""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IFERROR(VLOOKUP(B1240,PatData!$A$2:$A$2000,1,),"")&lt;&gt;""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IFERROR(VLOOKUP(B1241,PatData!$A$2:$A$2000,1,),"")&lt;&gt;""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IFERROR(VLOOKUP(B1242,PatData!$A$2:$A$2000,1,),"")&lt;&gt;""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IFERROR(VLOOKUP(B1243,PatData!$A$2:$A$2000,1,),"")&lt;&gt;""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IFERROR(VLOOKUP(B1244,PatData!$A$2:$A$2000,1,),"")&lt;&gt;""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IFERROR(VLOOKUP(B1245,PatData!$A$2:$A$2000,1,),"")&lt;&gt;""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IFERROR(VLOOKUP(B1246,PatData!$A$2:$A$2000,1,),"")&lt;&gt;""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IFERROR(VLOOKUP(B1257,PatData!$A$2:$A$2000,1,),"")&lt;&gt;""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IFERROR(VLOOKUP(B1258,PatData!$A$2:$A$2000,1,),"")&lt;&gt;""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IFERROR(VLOOKUP(B1259,PatData!$A$2:$A$2000,1,),"")&lt;&gt;""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IFERROR(VLOOKUP(B1260,PatData!$A$2:$A$2000,1,),"")&lt;&gt;""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IFERROR(VLOOKUP(B1261,PatData!$A$2:$A$2000,1,),"")&lt;&gt;""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IFERROR(VLOOKUP(B1262,PatData!$A$2:$A$2000,1,),"")&lt;&gt;""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IFERROR(VLOOKUP(B1263,PatData!$A$2:$A$2000,1,),"")&lt;&gt;""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IFERROR(VLOOKUP(B1264,PatData!$A$2:$A$2000,1,),"")&lt;&gt;""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IFERROR(VLOOKUP(B1265,PatData!$A$2:$A$2000,1,),"")&lt;&gt;""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IFERROR(VLOOKUP(B1266,PatData!$A$2:$A$2000,1,),"")&lt;&gt;""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IFERROR(VLOOKUP(B1267,PatData!$A$2:$A$2000,1,),"")&lt;&gt;""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IFERROR(VLOOKUP(B1268,PatData!$A$2:$A$2000,1,),"")&lt;&gt;""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IFERROR(VLOOKUP(B1297,PatData!$A$2:$A$2000,1,),"")&lt;&gt;""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IFERROR(VLOOKUP(B1306,PatData!$A$2:$A$2000,1,),"")&lt;&gt;""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IFERROR(VLOOKUP(B1307,PatData!$A$2:$A$2000,1,),"")&lt;&gt;""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IFERROR(VLOOKUP(B1309,PatData!$A$2:$A$2000,1,),"")&lt;&gt;""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IFERROR(VLOOKUP(B1310,PatData!$A$2:$A$2000,1,),"")&lt;&gt;""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IFERROR(VLOOKUP(B1311,PatData!$A$2:$A$2000,1,),"")&lt;&gt;""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IFERROR(VLOOKUP(B1312,PatData!$A$2:$A$2000,1,),"")&lt;&gt;""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IFERROR(VLOOKUP(B1313,PatData!$A$2:$A$2000,1,),"")&lt;&gt;""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IFERROR(VLOOKUP(B1314,PatData!$A$2:$A$2000,1,),"")&lt;&gt;""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IFERROR(VLOOKUP(B1315,PatData!$A$2:$A$2000,1,),"")&lt;&gt;""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IFERROR(VLOOKUP(B1316,PatData!$A$2:$A$2000,1,),"")&lt;&gt;""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IFERROR(VLOOKUP(B1317,PatData!$A$2:$A$2000,1,),"")&lt;&gt;""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IFERROR(VLOOKUP(B1318,PatData!$A$2:$A$2000,1,),"")&lt;&gt;""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IFERROR(VLOOKUP(B1319,PatData!$A$2:$A$2000,1,),"")&lt;&gt;""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IFERROR(VLOOKUP(B1320,PatData!$A$2:$A$2000,1,),"")&lt;&gt;""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IFERROR(VLOOKUP(B1321,PatData!$A$2:$A$2000,1,),"")&lt;&gt;""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IFERROR(VLOOKUP(B1322,PatData!$A$2:$A$2000,1,),"")&lt;&gt;""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IFERROR(VLOOKUP(B1323,PatData!$A$2:$A$2000,1,),"")&lt;&gt;""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IFERROR(VLOOKUP(B1325,PatData!$A$2:$A$2000,1,),"")&lt;&gt;""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IFERROR(VLOOKUP(B1326,PatData!$A$2:$A$2000,1,),"")&lt;&gt;""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IFERROR(VLOOKUP(B1327,PatData!$A$2:$A$2000,1,),"")&lt;&gt;""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IFERROR(VLOOKUP(B1328,PatData!$A$2:$A$2000,1,),"")&lt;&gt;""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IFERROR(VLOOKUP(B1329,PatData!$A$2:$A$2000,1,),"")&lt;&gt;""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IFERROR(VLOOKUP(B1330,PatData!$A$2:$A$2000,1,),"")&lt;&gt;""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IFERROR(VLOOKUP(B1332,PatData!$A$2:$A$2000,1,),"")&lt;&gt;""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IFERROR(VLOOKUP(B1333,PatData!$A$2:$A$2000,1,),"")&lt;&gt;""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IFERROR(VLOOKUP(B1334,PatData!$A$2:$A$2000,1,),"")&lt;&gt;""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IFERROR(VLOOKUP(B1545,PatData!$A$2:$A$2000,1,),"")&lt;&gt;""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IFERROR(VLOOKUP(B1546,PatData!$A$2:$A$2000,1,),"")&lt;&gt;""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IFERROR(VLOOKUP(B1547,PatData!$A$2:$A$2000,1,),"")&lt;&gt;""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IFERROR(VLOOKUP(B1548,PatData!$A$2:$A$2000,1,),"")&lt;&gt;""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IFERROR(VLOOKUP(B1549,PatData!$A$2:$A$2000,1,),"")&lt;&gt;""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IFERROR(VLOOKUP(B1550,PatData!$A$2:$A$2000,1,),"")&lt;&gt;""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IFERROR(VLOOKUP(B1551,PatData!$A$2:$A$2000,1,),"")&lt;&gt;""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IFERROR(VLOOKUP(B1552,PatData!$A$2:$A$2000,1,),"")&lt;&gt;""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IFERROR(VLOOKUP(B1583,PatData!$A$2:$A$2000,1,),"")&lt;&gt;""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IFERROR(VLOOKUP(B1616,PatData!$A$2:$A$2000,1,),"")&lt;&gt;""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IFERROR(VLOOKUP(B1617,PatData!$A$2:$A$2000,1,),"")&lt;&gt;""</f>
        <v>1</v>
      </c>
      <c r="E1617"/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IFERROR(VLOOKUP(B1618,PatData!$A$2:$A$2000,1,),"")&lt;&gt;""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IFERROR(VLOOKUP(B1619,PatData!$A$2:$A$2000,1,),"")&lt;&gt;""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IFERROR(VLOOKUP(B1620,PatData!$A$2:$A$2000,1,),"")&lt;&gt;""</f>
        <v>1</v>
      </c>
      <c r="E1620">
        <v>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IFERROR(VLOOKUP(B1621,PatData!$A$2:$A$2000,1,),"")&lt;&gt;""</f>
        <v>1</v>
      </c>
      <c r="E1621">
        <v>0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IFERROR(VLOOKUP(B1622,PatData!$A$2:$A$2000,1,),"")&lt;&gt;""</f>
        <v>1</v>
      </c>
      <c r="E1622">
        <v>1462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IFERROR(VLOOKUP(B1665,PatData!$A$2:$A$2000,1,),"")&lt;&gt;""</f>
        <v>1</v>
      </c>
      <c r="E1665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IFERROR(VLOOKUP(B1666,PatData!$A$2:$A$2000,1,),"")&lt;&gt;""</f>
        <v>1</v>
      </c>
      <c r="E1666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IFERROR(VLOOKUP(B1667,PatData!$A$2:$A$2000,1,),"")&lt;&gt;""</f>
        <v>1</v>
      </c>
      <c r="E1667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IFERROR(VLOOKUP(B1668,PatData!$A$2:$A$2000,1,),"")&lt;&gt;""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IFERROR(VLOOKUP(B1669,PatData!$A$2:$A$2000,1,),"")&lt;&gt;""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IFERROR(VLOOKUP(B1670,PatData!$A$2:$A$2000,1,),"")&lt;&gt;""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IFERROR(VLOOKUP(B1671,PatData!$A$2:$A$2000,1,),"")&lt;&gt;""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IFERROR(VLOOKUP(B1672,PatData!$A$2:$A$2000,1,),"")&lt;&gt;""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IFERROR(VLOOKUP(B1673,PatData!$A$2:$A$2000,1,),"")&lt;&gt;""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IFERROR(VLOOKUP(B1674,PatData!$A$2:$A$2000,1,),"")&lt;&gt;""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IFERROR(VLOOKUP(B1675,PatData!$A$2:$A$2000,1,),"")&lt;&gt;""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IFERROR(VLOOKUP(B1676,PatData!$A$2:$A$2000,1,),"")&lt;&gt;""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IFERROR(VLOOKUP(B1677,PatData!$A$2:$A$2000,1,),"")&lt;&gt;""</f>
        <v>1</v>
      </c>
      <c r="E1677">
        <v>1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IFERROR(VLOOKUP(B1678,PatData!$A$2:$A$2000,1,),"")&lt;&gt;""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IFERROR(VLOOKUP(B1679,PatData!$A$2:$A$2000,1,),"")&lt;&gt;""</f>
        <v>1</v>
      </c>
      <c r="E1679">
        <v>1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IFERROR(VLOOKUP(B1680,PatData!$A$2:$A$2000,1,),"")&lt;&gt;""</f>
        <v>1</v>
      </c>
      <c r="E1680">
        <v>1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IFERROR(VLOOKUP(B1681,PatData!$A$2:$A$2000,1,),"")&lt;&gt;""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IFERROR(VLOOKUP(B1682,PatData!$A$2:$A$2000,1,),"")&lt;&gt;""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IFERROR(VLOOKUP(B1683,PatData!$A$2:$A$2000,1,),"")&lt;&gt;""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IFERROR(VLOOKUP(B1684,PatData!$A$2:$A$2000,1,),"")&lt;&gt;""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IFERROR(VLOOKUP(B1685,PatData!$A$2:$A$2000,1,),"")&lt;&gt;""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IFERROR(VLOOKUP(B1686,PatData!$A$2:$A$2000,1,),"")&lt;&gt;""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IFERROR(VLOOKUP(B1687,PatData!$A$2:$A$2000,1,),"")&lt;&gt;""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IFERROR(VLOOKUP(B1688,PatData!$A$2:$A$2000,1,),"")&lt;&gt;""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IFERROR(VLOOKUP(B1689,PatData!$A$2:$A$2000,1,),"")&lt;&gt;""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IFERROR(VLOOKUP(B1690,PatData!$A$2:$A$2000,1,),"")&lt;&gt;""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IFERROR(VLOOKUP(B1691,PatData!$A$2:$A$2000,1,),"")&lt;&gt;""</f>
        <v>1</v>
      </c>
      <c r="E1691">
        <v>1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IFERROR(VLOOKUP(B1692,PatData!$A$2:$A$2000,1,),"")&lt;&gt;""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IFERROR(VLOOKUP(B1693,PatData!$A$2:$A$2000,1,),"")&lt;&gt;""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IFERROR(VLOOKUP(B1694,PatData!$A$2:$A$2000,1,),"")&lt;&gt;""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IFERROR(VLOOKUP(B1695,PatData!$A$2:$A$2000,1,),"")&lt;&gt;""</f>
        <v>1</v>
      </c>
      <c r="E1695">
        <v>1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IFERROR(VLOOKUP(B1696,PatData!$A$2:$A$2000,1,),"")&lt;&gt;""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IFERROR(VLOOKUP(B1697,PatData!$A$2:$A$2000,1,),"")&lt;&gt;""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IFERROR(VLOOKUP(B1698,PatData!$A$2:$A$2000,1,),"")&lt;&gt;""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IFERROR(VLOOKUP(B1699,PatData!$A$2:$A$2000,1,),"")&lt;&gt;""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IFERROR(VLOOKUP(B1700,PatData!$A$2:$A$2000,1,),"")&lt;&gt;""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IFERROR(VLOOKUP(B1701,PatData!$A$2:$A$2000,1,),"")&lt;&gt;""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IFERROR(VLOOKUP(B1702,PatData!$A$2:$A$2000,1,),"")&lt;&gt;""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IFERROR(VLOOKUP(B1703,PatData!$A$2:$A$2000,1,),"")&lt;&gt;""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IFERROR(VLOOKUP(B1704,PatData!$A$2:$A$2000,1,),"")&lt;&gt;""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IFERROR(VLOOKUP(B1743,PatData!$A$2:$A$2000,1,),"")&lt;&gt;""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IFERROR(VLOOKUP(B1744,PatData!$A$2:$A$2000,1,),"")&lt;&gt;""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IFERROR(VLOOKUP(B1745,PatData!$A$2:$A$2000,1,),"")&lt;&gt;""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IFERROR(VLOOKUP(B1746,PatData!$A$2:$A$2000,1,),"")&lt;&gt;""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IFERROR(VLOOKUP(B1747,PatData!$A$2:$A$2000,1,),"")&lt;&gt;""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IFERROR(VLOOKUP(B1748,PatData!$A$2:$A$2000,1,),"")&lt;&gt;""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IFERROR(VLOOKUP(B1749,PatData!$A$2:$A$2000,1,),"")&lt;&gt;""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IFERROR(VLOOKUP(B1750,PatData!$A$2:$A$2000,1,),"")&lt;&gt;""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IFERROR(VLOOKUP(B1751,PatData!$A$2:$A$2000,1,),"")&lt;&gt;""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IFERROR(VLOOKUP(B1752,PatData!$A$2:$A$2000,1,),"")&lt;&gt;""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IFERROR(VLOOKUP(B1753,PatData!$A$2:$A$2000,1,),"")&lt;&gt;""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IFERROR(VLOOKUP(B1754,PatData!$A$2:$A$2000,1,),"")&lt;&gt;""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IFERROR(VLOOKUP(B1755,PatData!$A$2:$A$2000,1,),"")&lt;&gt;""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IFERROR(VLOOKUP(B1756,PatData!$A$2:$A$2000,1,),"")&lt;&gt;""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IFERROR(VLOOKUP(B1757,PatData!$A$2:$A$2000,1,),"")&lt;&gt;""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IFERROR(VLOOKUP(B1758,PatData!$A$2:$A$2000,1,),"")&lt;&gt;""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IFERROR(VLOOKUP(B1759,PatData!$A$2:$A$2000,1,),"")&lt;&gt;""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IFERROR(VLOOKUP(B1760,PatData!$A$2:$A$2000,1,),"")&lt;&gt;""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IFERROR(VLOOKUP(B1761,PatData!$A$2:$A$2000,1,),"")&lt;&gt;""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IFERROR(VLOOKUP(B1762,PatData!$A$2:$A$2000,1,),"")&lt;&gt;""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IFERROR(VLOOKUP(B1763,PatData!$A$2:$A$2000,1,),"")&lt;&gt;""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IFERROR(VLOOKUP(B1764,PatData!$A$2:$A$2000,1,),"")&lt;&gt;""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IFERROR(VLOOKUP(B1765,PatData!$A$2:$A$2000,1,),"")&lt;&gt;""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IFERROR(VLOOKUP(B1766,PatData!$A$2:$A$2000,1,),"")&lt;&gt;""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IFERROR(VLOOKUP(B1767,PatData!$A$2:$A$2000,1,),"")&lt;&gt;""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IFERROR(VLOOKUP(B1768,PatData!$A$2:$A$2000,1,),"")&lt;&gt;""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IFERROR(VLOOKUP(B1769,PatData!$A$2:$A$2000,1,),"")&lt;&gt;""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IFERROR(VLOOKUP(B1770,PatData!$A$2:$A$2000,1,),"")&lt;&gt;""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IFERROR(VLOOKUP(B1771,PatData!$A$2:$A$2000,1,),"")&lt;&gt;""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IFERROR(VLOOKUP(B1772,PatData!$A$2:$A$2000,1,),"")&lt;&gt;""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IFERROR(VLOOKUP(B1773,PatData!$A$2:$A$2000,1,),"")&lt;&gt;""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IFERROR(VLOOKUP(B1774,PatData!$A$2:$A$2000,1,),"")&lt;&gt;""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IFERROR(VLOOKUP(B1775,PatData!$A$2:$A$2000,1,),"")&lt;&gt;""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IFERROR(VLOOKUP(B1776,PatData!$A$2:$A$2000,1,),"")&lt;&gt;""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IFERROR(VLOOKUP(B1777,PatData!$A$2:$A$2000,1,),"")&lt;&gt;""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IFERROR(VLOOKUP(B1778,PatData!$A$2:$A$2000,1,),"")&lt;&gt;""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IFERROR(VLOOKUP(B1779,PatData!$A$2:$A$2000,1,),"")&lt;&gt;""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IFERROR(VLOOKUP(B1780,PatData!$A$2:$A$2000,1,),"")&lt;&gt;""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IFERROR(VLOOKUP(B1781,PatData!$A$2:$A$2000,1,),"")&lt;&gt;""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IFERROR(VLOOKUP(B1782,PatData!$A$2:$A$2000,1,),"")&lt;&gt;""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IFERROR(VLOOKUP(B1783,PatData!$A$2:$A$2000,1,),"")&lt;&gt;""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IFERROR(VLOOKUP(B1784,PatData!$A$2:$A$2000,1,),"")&lt;&gt;""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IFERROR(VLOOKUP(B1785,PatData!$A$2:$A$2000,1,),"")&lt;&gt;""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IFERROR(VLOOKUP(B1786,PatData!$A$2:$A$2000,1,),"")&lt;&gt;""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IFERROR(VLOOKUP(B1787,PatData!$A$2:$A$2000,1,),"")&lt;&gt;""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IFERROR(VLOOKUP(B1788,PatData!$A$2:$A$2000,1,),"")&lt;&gt;""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IFERROR(VLOOKUP(B1789,PatData!$A$2:$A$2000,1,),"")&lt;&gt;""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IFERROR(VLOOKUP(B1790,PatData!$A$2:$A$2000,1,),"")&lt;&gt;""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IFERROR(VLOOKUP(B1791,PatData!$A$2:$A$2000,1,),"")&lt;&gt;""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IFERROR(VLOOKUP(B1792,PatData!$A$2:$A$2000,1,),"")&lt;&gt;""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IFERROR(VLOOKUP(B1793,PatData!$A$2:$A$2000,1,),"")&lt;&gt;""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IFERROR(VLOOKUP(B1794,PatData!$A$2:$A$2000,1,),"")&lt;&gt;""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IFERROR(VLOOKUP(B1795,PatData!$A$2:$A$2000,1,),"")&lt;&gt;""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IFERROR(VLOOKUP(B1796,PatData!$A$2:$A$2000,1,),"")&lt;&gt;""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IFERROR(VLOOKUP(B1797,PatData!$A$2:$A$2000,1,),"")&lt;&gt;""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IFERROR(VLOOKUP(B1798,PatData!$A$2:$A$2000,1,),"")&lt;&gt;""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IFERROR(VLOOKUP(B1799,PatData!$A$2:$A$2000,1,),"")&lt;&gt;""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IFERROR(VLOOKUP(B1800,PatData!$A$2:$A$2000,1,),"")&lt;&gt;""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IFERROR(VLOOKUP(B1801,PatData!$A$2:$A$2000,1,),"")&lt;&gt;""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IFERROR(VLOOKUP(B1802,PatData!$A$2:$A$2000,1,),"")&lt;&gt;""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IFERROR(VLOOKUP(B1803,PatData!$A$2:$A$2000,1,),"")&lt;&gt;""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IFERROR(VLOOKUP(B1804,PatData!$A$2:$A$2000,1,),"")&lt;&gt;""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IFERROR(VLOOKUP(B1805,PatData!$A$2:$A$2000,1,),"")&lt;&gt;""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IFERROR(VLOOKUP(B1806,PatData!$A$2:$A$2000,1,),"")&lt;&gt;""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IFERROR(VLOOKUP(B1807,PatData!$A$2:$A$2000,1,),"")&lt;&gt;""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IFERROR(VLOOKUP(B1808,PatData!$A$2:$A$2000,1,),"")&lt;&gt;""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IFERROR(VLOOKUP(B1809,PatData!$A$2:$A$2000,1,),"")&lt;&gt;""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IFERROR(VLOOKUP(B1810,PatData!$A$2:$A$2000,1,),"")&lt;&gt;""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IFERROR(VLOOKUP(B1811,PatData!$A$2:$A$2000,1,),"")&lt;&gt;""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IFERROR(VLOOKUP(B1812,PatData!$A$2:$A$2000,1,),"")&lt;&gt;""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IFERROR(VLOOKUP(B1813,PatData!$A$2:$A$2000,1,),"")&lt;&gt;""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IFERROR(VLOOKUP(B1814,PatData!$A$2:$A$2000,1,),"")&lt;&gt;""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IFERROR(VLOOKUP(B1815,PatData!$A$2:$A$2000,1,),"")&lt;&gt;""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IFERROR(VLOOKUP(B1816,PatData!$A$2:$A$2000,1,),"")&lt;&gt;""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IFERROR(VLOOKUP(B1817,PatData!$A$2:$A$2000,1,),"")&lt;&gt;""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IFERROR(VLOOKUP(B1818,PatData!$A$2:$A$2000,1,),"")&lt;&gt;""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IFERROR(VLOOKUP(B1819,PatData!$A$2:$A$2000,1,),"")&lt;&gt;""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IFERROR(VLOOKUP(B1820,PatData!$A$2:$A$2000,1,),"")&lt;&gt;""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IFERROR(VLOOKUP(B1821,PatData!$A$2:$A$2000,1,),"")&lt;&gt;""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IFERROR(VLOOKUP(B1822,PatData!$A$2:$A$2000,1,),"")&lt;&gt;""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IFERROR(VLOOKUP(B1823,PatData!$A$2:$A$2000,1,),"")&lt;&gt;""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IFERROR(VLOOKUP(B1824,PatData!$A$2:$A$2000,1,),"")&lt;&gt;""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IFERROR(VLOOKUP(B1825,PatData!$A$2:$A$2000,1,),"")&lt;&gt;""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IFERROR(VLOOKUP(B1826,PatData!$A$2:$A$2000,1,),"")&lt;&gt;""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IFERROR(VLOOKUP(B1828,PatData!$A$2:$A$2000,1,),"")&lt;&gt;""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IFERROR(VLOOKUP(B1829,PatData!$A$2:$A$2000,1,),"")&lt;&gt;""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IFERROR(VLOOKUP(B1830,PatData!$A$2:$A$2000,1,),"")&lt;&gt;""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IFERROR(VLOOKUP(B1832,PatData!$A$2:$A$2000,1,),"")&lt;&gt;""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IFERROR(VLOOKUP(B1833,PatData!$A$2:$A$2000,1,),"")&lt;&gt;""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IFERROR(VLOOKUP(B1834,PatData!$A$2:$A$2000,1,),"")&lt;&gt;""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IFERROR(VLOOKUP(B1836,PatData!$A$2:$A$2000,1,),"")&lt;&gt;""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IFERROR(VLOOKUP(B1837,PatData!$A$2:$A$2000,1,),"")&lt;&gt;""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IFERROR(VLOOKUP(B1839,PatData!$A$2:$A$2000,1,),"")&lt;&gt;""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IFERROR(VLOOKUP(B1842,PatData!$A$2:$A$2000,1,),"")&lt;&gt;""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IFERROR(VLOOKUP(B1843,PatData!$A$2:$A$2000,1,),"")&lt;&gt;""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IFERROR(VLOOKUP(B1844,PatData!$A$2:$A$2000,1,),"")&lt;&gt;""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IFERROR(VLOOKUP(B1845,PatData!$A$2:$A$2000,1,),"")&lt;&gt;""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IFERROR(VLOOKUP(B1846,PatData!$A$2:$A$2000,1,),"")&lt;&gt;""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IFERROR(VLOOKUP(B1848,PatData!$A$2:$A$2000,1,),"")&lt;&gt;""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IFERROR(VLOOKUP(B1849,PatData!$A$2:$A$2000,1,),"")&lt;&gt;""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IFERROR(VLOOKUP(B1850,PatData!$A$2:$A$2000,1,),"")&lt;&gt;""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IFERROR(VLOOKUP(B1851,PatData!$A$2:$A$2000,1,),"")&lt;&gt;""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IFERROR(VLOOKUP(B1852,PatData!$A$2:$A$2000,1,),"")&lt;&gt;""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IFERROR(VLOOKUP(B1854,PatData!$A$2:$A$2000,1,),"")&lt;&gt;""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IFERROR(VLOOKUP(B1855,PatData!$A$2:$A$2000,1,),"")&lt;&gt;""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IFERROR(VLOOKUP(B1856,PatData!$A$2:$A$2000,1,),"")&lt;&gt;""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IFERROR(VLOOKUP(B1857,PatData!$A$2:$A$2000,1,),"")&lt;&gt;""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IFERROR(VLOOKUP(B1858,PatData!$A$2:$A$2000,1,),"")&lt;&gt;""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IFERROR(VLOOKUP(B1860,PatData!$A$2:$A$2000,1,),"")&lt;&gt;""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IFERROR(VLOOKUP(B1861,PatData!$A$2:$A$2000,1,),"")&lt;&gt;""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IFERROR(VLOOKUP(B1863,PatData!$A$2:$A$2000,1,),"")&lt;&gt;""</f>
        <v>1</v>
      </c>
      <c r="E1863">
        <v>1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IFERROR(VLOOKUP(B1864,PatData!$A$2:$A$2000,1,),"")&lt;&gt;""</f>
        <v>1</v>
      </c>
      <c r="E1864">
        <v>1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IFERROR(VLOOKUP(B1865,PatData!$A$2:$A$2000,1,),"")&lt;&gt;""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IFERROR(VLOOKUP(B1867,PatData!$A$2:$A$2000,1,),"")&lt;&gt;""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IFERROR(VLOOKUP(B1868,PatData!$A$2:$A$2000,1,),"")&lt;&gt;""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IFERROR(VLOOKUP(B1869,PatData!$A$2:$A$2000,1,),"")&lt;&gt;""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IFERROR(VLOOKUP(B1870,PatData!$A$2:$A$2000,1,),"")&lt;&gt;""</f>
        <v>1</v>
      </c>
      <c r="E1870">
        <v>1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IFERROR(VLOOKUP(B1871,PatData!$A$2:$A$2000,1,),"")&lt;&gt;""</f>
        <v>1</v>
      </c>
      <c r="E1871">
        <v>1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IFERROR(VLOOKUP(B1872,PatData!$A$2:$A$2000,1,),"")&lt;&gt;""</f>
        <v>1</v>
      </c>
      <c r="E1872">
        <v>1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IFERROR(VLOOKUP(B1873,PatData!$A$2:$A$2000,1,),"")&lt;&gt;""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IFERROR(VLOOKUP(B1874,PatData!$A$2:$A$2000,1,),"")&lt;&gt;""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IFERROR(VLOOKUP(B1875,PatData!$A$2:$A$2000,1,),"")&lt;&gt;""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IFERROR(VLOOKUP(B1876,PatData!$A$2:$A$2000,1,),"")&lt;&gt;""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IFERROR(VLOOKUP(B1877,PatData!$A$2:$A$2000,1,),"")&lt;&gt;""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IFERROR(VLOOKUP(B1878,PatData!$A$2:$A$2000,1,),"")&lt;&gt;""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IFERROR(VLOOKUP(B1879,PatData!$A$2:$A$2000,1,),"")&lt;&gt;""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IFERROR(VLOOKUP(B1882,PatData!$A$2:$A$2000,1,),"")&lt;&gt;""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IFERROR(VLOOKUP(B1884,PatData!$A$2:$A$2000,1,),"")&lt;&gt;""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IFERROR(VLOOKUP(B1885,PatData!$A$2:$A$2000,1,),"")&lt;&gt;""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IFERROR(VLOOKUP(B1886,PatData!$A$2:$A$2000,1,),"")&lt;&gt;""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IFERROR(VLOOKUP(B1887,PatData!$A$2:$A$2000,1,),"")&lt;&gt;""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IFERROR(VLOOKUP(B1888,PatData!$A$2:$A$2000,1,),"")&lt;&gt;""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IFERROR(VLOOKUP(B1889,PatData!$A$2:$A$2000,1,),"")&lt;&gt;""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IFERROR(VLOOKUP(B1890,PatData!$A$2:$A$2000,1,),"")&lt;&gt;""</f>
        <v>1</v>
      </c>
      <c r="E1890">
        <v>1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IFERROR(VLOOKUP(B1891,PatData!$A$2:$A$2000,1,),"")&lt;&gt;""</f>
        <v>1</v>
      </c>
      <c r="E1891">
        <v>1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IFERROR(VLOOKUP(B1892,PatData!$A$2:$A$2000,1,),"")&lt;&gt;""</f>
        <v>1</v>
      </c>
      <c r="E1892">
        <v>1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IFERROR(VLOOKUP(B1893,PatData!$A$2:$A$2000,1,),"")&lt;&gt;""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IFERROR(VLOOKUP(B1894,PatData!$A$2:$A$2000,1,),"")&lt;&gt;""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IFERROR(VLOOKUP(B1895,PatData!$A$2:$A$2000,1,),"")&lt;&gt;""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IFERROR(VLOOKUP(B1896,PatData!$A$2:$A$2000,1,),"")&lt;&gt;""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IFERROR(VLOOKUP(B1897,PatData!$A$2:$A$2000,1,),"")&lt;&gt;""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IFERROR(VLOOKUP(B1898,PatData!$A$2:$A$2000,1,),"")&lt;&gt;""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IFERROR(VLOOKUP(B1899,PatData!$A$2:$A$2000,1,),"")&lt;&gt;""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IFERROR(VLOOKUP(B1900,PatData!$A$2:$A$2000,1,),"")&lt;&gt;""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IFERROR(VLOOKUP(B1901,PatData!$A$2:$A$2000,1,),"")&lt;&gt;""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IFERROR(VLOOKUP(B1902,PatData!$A$2:$A$2000,1,),"")&lt;&gt;""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IFERROR(VLOOKUP(B1903,PatData!$A$2:$A$2000,1,),"")&lt;&gt;""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IFERROR(VLOOKUP(B1904,PatData!$A$2:$A$2000,1,),"")&lt;&gt;""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IFERROR(VLOOKUP(B1905,PatData!$A$2:$A$2000,1,),"")&lt;&gt;""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IFERROR(VLOOKUP(B1906,PatData!$A$2:$A$2000,1,),"")&lt;&gt;""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IFERROR(VLOOKUP(B1907,PatData!$A$2:$A$2000,1,),"")&lt;&gt;""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IFERROR(VLOOKUP(B1908,PatData!$A$2:$A$2000,1,),"")&lt;&gt;""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IFERROR(VLOOKUP(B1909,PatData!$A$2:$A$2000,1,),"")&lt;&gt;""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IFERROR(VLOOKUP(B1910,PatData!$A$2:$A$2000,1,),"")&lt;&gt;""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IFERROR(VLOOKUP(B1911,PatData!$A$2:$A$2000,1,),"")&lt;&gt;""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IFERROR(VLOOKUP(B1912,PatData!$A$2:$A$2000,1,),"")&lt;&gt;""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IFERROR(VLOOKUP(B1913,PatData!$A$2:$A$2000,1,),"")&lt;&gt;""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IFERROR(VLOOKUP(B1914,PatData!$A$2:$A$2000,1,),"")&lt;&gt;""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IFERROR(VLOOKUP(B1915,PatData!$A$2:$A$2000,1,),"")&lt;&gt;""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IFERROR(VLOOKUP(B1916,PatData!$A$2:$A$2000,1,),"")&lt;&gt;""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IFERROR(VLOOKUP(B1917,PatData!$A$2:$A$2000,1,),"")&lt;&gt;""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IFERROR(VLOOKUP(B1918,PatData!$A$2:$A$2000,1,),"")&lt;&gt;""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IFERROR(VLOOKUP(B1919,PatData!$A$2:$A$2000,1,),"")&lt;&gt;""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IFERROR(VLOOKUP(B1920,PatData!$A$2:$A$2000,1,),"")&lt;&gt;""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IFERROR(VLOOKUP(B1921,PatData!$A$2:$A$2000,1,),"")&lt;&gt;""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IFERROR(VLOOKUP(B1922,PatData!$A$2:$A$2000,1,),"")&lt;&gt;""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IFERROR(VLOOKUP(B1923,PatData!$A$2:$A$2000,1,),"")&lt;&gt;""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IFERROR(VLOOKUP(B1924,PatData!$A$2:$A$2000,1,),"")&lt;&gt;""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IFERROR(VLOOKUP(B1925,PatData!$A$2:$A$2000,1,),"")&lt;&gt;""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IFERROR(VLOOKUP(B1926,PatData!$A$2:$A$2000,1,),"")&lt;&gt;""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IFERROR(VLOOKUP(B1927,PatData!$A$2:$A$2000,1,),"")&lt;&gt;""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IFERROR(VLOOKUP(B1928,PatData!$A$2:$A$2000,1,),"")&lt;&gt;""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IFERROR(VLOOKUP(B1929,PatData!$A$2:$A$2000,1,),"")&lt;&gt;""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IFERROR(VLOOKUP(B1930,PatData!$A$2:$A$2000,1,),"")&lt;&gt;""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IFERROR(VLOOKUP(B1931,PatData!$A$2:$A$2000,1,),"")&lt;&gt;""</f>
        <v>1</v>
      </c>
      <c r="E1931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IFERROR(VLOOKUP(B1932,PatData!$A$2:$A$2000,1,),"")&lt;&gt;""</f>
        <v>1</v>
      </c>
      <c r="E1932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IFERROR(VLOOKUP(B1933,PatData!$A$2:$A$2000,1,),"")&lt;&gt;""</f>
        <v>1</v>
      </c>
      <c r="E1933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IFERROR(VLOOKUP(B1934,PatData!$A$2:$A$2000,1,),"")&lt;&gt;""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IFERROR(VLOOKUP(B1935,PatData!$A$2:$A$2000,1,),"")&lt;&gt;""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IFERROR(VLOOKUP(B1936,PatData!$A$2:$A$2000,1,),"")&lt;&gt;""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IFERROR(VLOOKUP(B1937,PatData!$A$2:$A$2000,1,),"")&lt;&gt;""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IFERROR(VLOOKUP(B1938,PatData!$A$2:$A$2000,1,),"")&lt;&gt;""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IFERROR(VLOOKUP(B1939,PatData!$A$2:$A$2000,1,),"")&lt;&gt;""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IFERROR(VLOOKUP(B1940,PatData!$A$2:$A$2000,1,),"")&lt;&gt;""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IFERROR(VLOOKUP(B1941,PatData!$A$2:$A$2000,1,),"")&lt;&gt;""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IFERROR(VLOOKUP(B1942,PatData!$A$2:$A$2000,1,),"")&lt;&gt;""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IFERROR(VLOOKUP(B1943,PatData!$A$2:$A$2000,1,),"")&lt;&gt;""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IFERROR(VLOOKUP(B1944,PatData!$A$2:$A$2000,1,),"")&lt;&gt;""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IFERROR(VLOOKUP(B1945,PatData!$A$2:$A$2000,1,),"")&lt;&gt;""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IFERROR(VLOOKUP(B1946,PatData!$A$2:$A$2000,1,),"")&lt;&gt;""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IFERROR(VLOOKUP(B1947,PatData!$A$2:$A$2000,1,),"")&lt;&gt;""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IFERROR(VLOOKUP(B1948,PatData!$A$2:$A$2000,1,),"")&lt;&gt;""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IFERROR(VLOOKUP(B1949,PatData!$A$2:$A$2000,1,),"")&lt;&gt;""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IFERROR(VLOOKUP(B1950,PatData!$A$2:$A$2000,1,),"")&lt;&gt;""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IFERROR(VLOOKUP(B1951,PatData!$A$2:$A$2000,1,),"")&lt;&gt;""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IFERROR(VLOOKUP(B1952,PatData!$A$2:$A$2000,1,),"")&lt;&gt;""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IFERROR(VLOOKUP(B1953,PatData!$A$2:$A$2000,1,),"")&lt;&gt;""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IFERROR(VLOOKUP(B1954,PatData!$A$2:$A$2000,1,),"")&lt;&gt;""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IFERROR(VLOOKUP(B1955,PatData!$A$2:$A$2000,1,),"")&lt;&gt;""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IFERROR(VLOOKUP(B1956,PatData!$A$2:$A$2000,1,),"")&lt;&gt;""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IFERROR(VLOOKUP(B1957,PatData!$A$2:$A$2000,1,),"")&lt;&gt;""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IFERROR(VLOOKUP(B1958,PatData!$A$2:$A$2000,1,),"")&lt;&gt;""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IFERROR(VLOOKUP(B1959,PatData!$A$2:$A$2000,1,),"")&lt;&gt;""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IFERROR(VLOOKUP(B1960,PatData!$A$2:$A$2000,1,),"")&lt;&gt;""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IFERROR(VLOOKUP(B1961,PatData!$A$2:$A$2000,1,),"")&lt;&gt;""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IFERROR(VLOOKUP(B1962,PatData!$A$2:$A$2000,1,),"")&lt;&gt;""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IFERROR(VLOOKUP(B1963,PatData!$A$2:$A$2000,1,),"")&lt;&gt;""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IFERROR(VLOOKUP(B1964,PatData!$A$2:$A$2000,1,),"")&lt;&gt;""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IFERROR(VLOOKUP(B1965,PatData!$A$2:$A$2000,1,),"")&lt;&gt;""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IFERROR(VLOOKUP(B1966,PatData!$A$2:$A$2000,1,),"")&lt;&gt;""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IFERROR(VLOOKUP(B1967,PatData!$A$2:$A$2000,1,),"")&lt;&gt;""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IFERROR(VLOOKUP(B1968,PatData!$A$2:$A$2000,1,),"")&lt;&gt;""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IFERROR(VLOOKUP(B1969,PatData!$A$2:$A$2000,1,),"")&lt;&gt;""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IFERROR(VLOOKUP(B1970,PatData!$A$2:$A$2000,1,),"")&lt;&gt;""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IFERROR(VLOOKUP(B1971,PatData!$A$2:$A$2000,1,),"")&lt;&gt;""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IFERROR(VLOOKUP(B1972,PatData!$A$2:$A$2000,1,),"")&lt;&gt;""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IFERROR(VLOOKUP(B1973,PatData!$A$2:$A$2000,1,),"")&lt;&gt;""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IFERROR(VLOOKUP(B1974,PatData!$A$2:$A$2000,1,),"")&lt;&gt;""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IFERROR(VLOOKUP(B1975,PatData!$A$2:$A$2000,1,),"")&lt;&gt;""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IFERROR(VLOOKUP(B1976,PatData!$A$2:$A$2000,1,),"")&lt;&gt;""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IFERROR(VLOOKUP(B1977,PatData!$A$2:$A$2000,1,),"")&lt;&gt;""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IFERROR(VLOOKUP(B1978,PatData!$A$2:$A$2000,1,),"")&lt;&gt;""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IFERROR(VLOOKUP(B1979,PatData!$A$2:$A$2000,1,),"")&lt;&gt;""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IFERROR(VLOOKUP(B1980,PatData!$A$2:$A$2000,1,),"")&lt;&gt;""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IFERROR(VLOOKUP(B1981,PatData!$A$2:$A$2000,1,),"")&lt;&gt;""</f>
        <v>1</v>
      </c>
      <c r="E1981">
        <v>0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IFERROR(VLOOKUP(B1982,PatData!$A$2:$A$2000,1,),"")&lt;&gt;""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IFERROR(VLOOKUP(B1983,PatData!$A$2:$A$2000,1,),"")&lt;&gt;""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IFERROR(VLOOKUP(B1984,PatData!$A$2:$A$2000,1,),"")&lt;&gt;""</f>
        <v>1</v>
      </c>
      <c r="E1984">
        <v>0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IFERROR(VLOOKUP(B1985,PatData!$A$2:$A$2000,1,),"")&lt;&gt;""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IFERROR(VLOOKUP(B1986,PatData!$A$2:$A$2000,1,),"")&lt;&gt;""</f>
        <v>1</v>
      </c>
      <c r="E1986">
        <v>1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IFERROR(VLOOKUP(B1987,PatData!$A$2:$A$2000,1,),"")&lt;&gt;""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IFERROR(VLOOKUP(B1988,PatData!$A$2:$A$2000,1,),"")&lt;&gt;""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7636</v>
      </c>
      <c r="B1989" t="s">
        <v>7640</v>
      </c>
      <c r="D1989" t="b">
        <f>IFERROR(VLOOKUP(B1989,PatData!$A$2:$A$2000,1,),"")&lt;&gt;""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IFERROR(VLOOKUP(B1990,PatData!$A$2:$A$2000,1,),"")&lt;&gt;""</f>
        <v>1</v>
      </c>
      <c r="E1990">
        <v>0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IFERROR(VLOOKUP(B1991,PatData!$A$2:$A$2000,1,),"")&lt;&gt;""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IFERROR(VLOOKUP(B1992,PatData!$A$2:$A$2000,1,),"")&lt;&gt;""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IFERROR(VLOOKUP(B1993,PatData!$A$2:$A$2000,1,),"")&lt;&gt;""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IFERROR(VLOOKUP(B1994,PatData!$A$2:$A$2000,1,),"")&lt;&gt;""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IFERROR(VLOOKUP(B1995,PatData!$A$2:$A$2000,1,),"")&lt;&gt;""</f>
        <v>1</v>
      </c>
      <c r="E1995">
        <v>0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IFERROR(VLOOKUP(B1996,PatData!$A$2:$A$2000,1,),"")&lt;&gt;""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IFERROR(VLOOKUP(B1997,PatData!$A$2:$A$2000,1,),"")&lt;&gt;""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IFERROR(VLOOKUP(B1998,PatData!$A$2:$A$2000,1,),"")&lt;&gt;""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IFERROR(VLOOKUP(B1999,PatData!$A$2:$A$2000,1,),"")&lt;&gt;""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IFERROR(VLOOKUP(B2000,PatData!$A$2:$A$2000,1,),"")&lt;&gt;""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IFERROR(VLOOKUP(B2001,PatData!$A$2:$A$2000,1,),"")&lt;&gt;""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IFERROR(VLOOKUP(B2002,PatData!$A$2:$A$2000,1,),"")&lt;&gt;""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IFERROR(VLOOKUP(B2003,PatData!$A$2:$A$2000,1,),"")&lt;&gt;""</f>
        <v>1</v>
      </c>
      <c r="E2003">
        <v>0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IFERROR(VLOOKUP(B2004,PatData!$A$2:$A$2000,1,),"")&lt;&gt;""</f>
        <v>0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IFERROR(VLOOKUP(B2005,PatData!$A$2:$A$2000,1,),"")&lt;&gt;""</f>
        <v>0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IFERROR(VLOOKUP(B2006,PatData!$A$2:$A$2000,1,),"")&lt;&gt;""</f>
        <v>0</v>
      </c>
      <c r="E2006" t="b">
        <v>0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IFERROR(VLOOKUP(B2007,PatData!$A$2:$A$2000,1,),"")&lt;&gt;""</f>
        <v>0</v>
      </c>
      <c r="E2007">
        <v>1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IFERROR(VLOOKUP(B2008,PatData!$A$2:$A$2000,1,),"")&lt;&gt;""</f>
        <v>0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7262</v>
      </c>
      <c r="B2009" t="s">
        <v>7263</v>
      </c>
      <c r="D2009" t="b">
        <f>IFERROR(VLOOKUP(B2009,PatData!$A$2:$A$2000,1,),"")&lt;&gt;""</f>
        <v>0</v>
      </c>
      <c r="E2009" t="s">
        <v>7253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7264</v>
      </c>
      <c r="B2010" t="s">
        <v>7265</v>
      </c>
      <c r="D2010" t="b">
        <f>IFERROR(VLOOKUP(B2010,PatData!$A$2:$A$2000,1,),"")&lt;&gt;""</f>
        <v>0</v>
      </c>
      <c r="E2010" t="s">
        <v>7254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7266</v>
      </c>
      <c r="B2011" t="s">
        <v>7267</v>
      </c>
      <c r="D2011" t="b">
        <f>IFERROR(VLOOKUP(B2011,PatData!$A$2:$A$2000,1,),"")&lt;&gt;""</f>
        <v>0</v>
      </c>
      <c r="E2011" t="s">
        <v>7252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7268</v>
      </c>
      <c r="B2012" t="s">
        <v>7269</v>
      </c>
      <c r="D2012" t="b">
        <f>IFERROR(VLOOKUP(B2012,PatData!$A$2:$A$2000,1,),"")&lt;&gt;""</f>
        <v>0</v>
      </c>
      <c r="E2012" t="s">
        <v>7255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7205</v>
      </c>
      <c r="D2013" t="b">
        <f>IFERROR(VLOOKUP(B2013,PatData!$A$2:$A$2000,1,),"")&lt;&gt;""</f>
        <v>0</v>
      </c>
      <c r="E2013" t="s">
        <v>7255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IFERROR(VLOOKUP(B2014,PatData!$A$2:$A$2000,1,),"")&lt;&gt;""</f>
        <v>0</v>
      </c>
      <c r="E2014" t="s">
        <v>7255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IFERROR(VLOOKUP(B2015,PatData!$A$2:$A$2000,1,),"")&lt;&gt;""</f>
        <v>0</v>
      </c>
      <c r="E2015" t="s">
        <v>7901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IFERROR(VLOOKUP(B2016,PatData!$A$2:$A$2000,1,),"")&lt;&gt;""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IFERROR(VLOOKUP(B2017,PatData!$A$2:$A$2000,1,),"")&lt;&gt;""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IFERROR(VLOOKUP(B2018,PatData!$A$2:$A$2000,1,),"")&lt;&gt;""</f>
        <v>0</v>
      </c>
      <c r="E2018"/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7055</v>
      </c>
      <c r="B2019" t="s">
        <v>7056</v>
      </c>
      <c r="D2019" t="b">
        <f>IFERROR(VLOOKUP(B2019,PatData!$A$2:$A$2000,1,),"")&lt;&gt;""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7206</v>
      </c>
      <c r="B2020" t="s">
        <v>7207</v>
      </c>
      <c r="D2020" t="b">
        <f>IFERROR(VLOOKUP(B2020,PatData!$A$2:$A$2000,1,),"")&lt;&gt;""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IFERROR(VLOOKUP(B2021,PatData!$A$2:$A$2000,1,),"")&lt;&gt;""</f>
        <v>0</v>
      </c>
      <c r="E2021" t="s">
        <v>7901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IFERROR(VLOOKUP(B2022,PatData!$A$2:$A$2000,1,),"")&lt;&gt;""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IFERROR(VLOOKUP(B2023,PatData!$A$2:$A$2000,1,),"")&lt;&gt;""</f>
        <v>0</v>
      </c>
      <c r="E2023"/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7593</v>
      </c>
      <c r="B2024" t="s">
        <v>899</v>
      </c>
      <c r="D2024" t="b">
        <f>IFERROR(VLOOKUP(B2024,PatData!$A$2:$A$2000,1,),"")&lt;&gt;""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7594</v>
      </c>
      <c r="B2025" t="s">
        <v>900</v>
      </c>
      <c r="D2025" t="b">
        <f>IFERROR(VLOOKUP(B2025,PatData!$A$2:$A$2000,1,),"")&lt;&gt;""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7595</v>
      </c>
      <c r="B2026" t="s">
        <v>7596</v>
      </c>
      <c r="D2026" t="b">
        <f>IFERROR(VLOOKUP(B2026,PatData!$A$2:$A$2000,1,),"")&lt;&gt;""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7597</v>
      </c>
      <c r="B2027" t="s">
        <v>901</v>
      </c>
      <c r="D2027" t="b">
        <f>IFERROR(VLOOKUP(B2027,PatData!$A$2:$A$2000,1,),"")&lt;&gt;""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7598</v>
      </c>
      <c r="B2028" t="s">
        <v>902</v>
      </c>
      <c r="D2028" t="b">
        <f>IFERROR(VLOOKUP(B2028,PatData!$A$2:$A$2000,1,),"")&lt;&gt;""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7902</v>
      </c>
      <c r="B2029" t="s">
        <v>7903</v>
      </c>
      <c r="D2029" t="b">
        <f>IFERROR(VLOOKUP(B2029,PatData!$A$2:$A$2000,1,),"")&lt;&gt;""</f>
        <v>0</v>
      </c>
      <c r="E2029" t="b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7599</v>
      </c>
      <c r="B2030" t="s">
        <v>7600</v>
      </c>
      <c r="D2030" t="b">
        <f>IFERROR(VLOOKUP(B2030,PatData!$A$2:$A$2000,1,),"")&lt;&gt;""</f>
        <v>0</v>
      </c>
      <c r="E2030" t="b">
        <v>0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1510</v>
      </c>
      <c r="B2031" t="s">
        <v>903</v>
      </c>
      <c r="D2031" t="b">
        <f>IFERROR(VLOOKUP(B2031,PatData!$A$2:$A$2000,1,),"")&lt;&gt;""</f>
        <v>0</v>
      </c>
      <c r="E2031" t="s">
        <v>4921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4955</v>
      </c>
      <c r="B2032" t="s">
        <v>4956</v>
      </c>
      <c r="D2032" t="b">
        <f>IFERROR(VLOOKUP(B2032,PatData!$A$2:$A$2000,1,),"")&lt;&gt;""</f>
        <v>0</v>
      </c>
      <c r="E2032" t="s">
        <v>6984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1511</v>
      </c>
      <c r="B2033" t="s">
        <v>904</v>
      </c>
      <c r="D2033" t="b">
        <f>IFERROR(VLOOKUP(B2033,PatData!$A$2:$A$2000,1,),"")&lt;&gt;""</f>
        <v>0</v>
      </c>
      <c r="E2033" t="s">
        <v>3492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1512</v>
      </c>
      <c r="B2034" t="s">
        <v>905</v>
      </c>
      <c r="D2034" t="b">
        <f>IFERROR(VLOOKUP(B2034,PatData!$A$2:$A$2000,1,),"")&lt;&gt;""</f>
        <v>0</v>
      </c>
      <c r="E2034" t="b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1513</v>
      </c>
      <c r="B2035" t="s">
        <v>906</v>
      </c>
      <c r="D2035" t="b">
        <f>IFERROR(VLOOKUP(B2035,PatData!$A$2:$A$2000,1,),"")&lt;&gt;""</f>
        <v>0</v>
      </c>
      <c r="E2035" t="s">
        <v>876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1514</v>
      </c>
      <c r="B2036" t="s">
        <v>907</v>
      </c>
      <c r="D2036" t="b">
        <f>IFERROR(VLOOKUP(B2036,PatData!$A$2:$A$2000,1,),"")&lt;&gt;""</f>
        <v>0</v>
      </c>
      <c r="E2036" t="b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1515</v>
      </c>
      <c r="B2037" t="s">
        <v>908</v>
      </c>
      <c r="D2037" t="b">
        <f>IFERROR(VLOOKUP(B2037,PatData!$A$2:$A$2000,1,),"")&lt;&gt;""</f>
        <v>0</v>
      </c>
      <c r="E2037" t="s">
        <v>870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1516</v>
      </c>
      <c r="B2038" t="s">
        <v>909</v>
      </c>
      <c r="D2038" t="b">
        <f>IFERROR(VLOOKUP(B2038,PatData!$A$2:$A$2000,1,),"")&lt;&gt;""</f>
        <v>0</v>
      </c>
      <c r="E2038" t="s">
        <v>871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7904</v>
      </c>
      <c r="B2039" t="s">
        <v>7905</v>
      </c>
      <c r="D2039" t="b">
        <f>IFERROR(VLOOKUP(B2039,PatData!$A$2:$A$2000,1,),"")&lt;&gt;""</f>
        <v>0</v>
      </c>
      <c r="E2039" t="s">
        <v>7893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7906</v>
      </c>
      <c r="B2040" t="s">
        <v>7907</v>
      </c>
      <c r="D2040" t="b">
        <f>IFERROR(VLOOKUP(B2040,PatData!$A$2:$A$2000,1,),"")&lt;&gt;""</f>
        <v>0</v>
      </c>
      <c r="E2040" t="s">
        <v>7899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7908</v>
      </c>
      <c r="B2041" t="s">
        <v>7909</v>
      </c>
      <c r="D2041" t="b">
        <f>IFERROR(VLOOKUP(B2041,PatData!$A$2:$A$2000,1,),"")&lt;&gt;""</f>
        <v>0</v>
      </c>
      <c r="E2041" t="s">
        <v>7899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7910</v>
      </c>
      <c r="B2042" t="s">
        <v>7911</v>
      </c>
      <c r="D2042" t="b">
        <f>IFERROR(VLOOKUP(B2042,PatData!$A$2:$A$2000,1,),"")&lt;&gt;""</f>
        <v>0</v>
      </c>
      <c r="E2042" t="s">
        <v>7893</v>
      </c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1517</v>
      </c>
      <c r="B2043" t="s">
        <v>910</v>
      </c>
      <c r="D2043" t="b">
        <f>IFERROR(VLOOKUP(B2043,PatData!$A$2:$A$2000,1,),"")&lt;&gt;""</f>
        <v>0</v>
      </c>
      <c r="E2043" t="s">
        <v>874</v>
      </c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7908</v>
      </c>
      <c r="B2044" t="s">
        <v>7912</v>
      </c>
      <c r="D2044" t="b">
        <f>IFERROR(VLOOKUP(B2044,PatData!$A$2:$A$2000,1,),"")&lt;&gt;""</f>
        <v>0</v>
      </c>
      <c r="E2044" t="s">
        <v>7899</v>
      </c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7913</v>
      </c>
      <c r="B2045" t="s">
        <v>7914</v>
      </c>
      <c r="D2045" t="b">
        <f>IFERROR(VLOOKUP(B2045,PatData!$A$2:$A$2000,1,),"")&lt;&gt;""</f>
        <v>0</v>
      </c>
      <c r="E2045" t="b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7057</v>
      </c>
      <c r="B2046" t="s">
        <v>7058</v>
      </c>
      <c r="D2046" t="b">
        <f>IFERROR(VLOOKUP(B2046,PatData!$A$2:$A$2000,1,),"")&lt;&gt;""</f>
        <v>0</v>
      </c>
      <c r="E2046" t="s">
        <v>159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7637</v>
      </c>
      <c r="B2047" t="s">
        <v>7059</v>
      </c>
      <c r="D2047" t="b">
        <f>IFERROR(VLOOKUP(B2047,PatData!$A$2:$A$2000,1,),"")&lt;&gt;""</f>
        <v>0</v>
      </c>
      <c r="E2047" t="s">
        <v>90</v>
      </c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7060</v>
      </c>
      <c r="B2048" t="s">
        <v>7061</v>
      </c>
      <c r="D2048" t="b">
        <f>IFERROR(VLOOKUP(B2048,PatData!$A$2:$A$2000,1,),"")&lt;&gt;""</f>
        <v>0</v>
      </c>
      <c r="E2048" t="s">
        <v>159</v>
      </c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4198</v>
      </c>
      <c r="B2049" t="s">
        <v>4049</v>
      </c>
      <c r="D2049" t="b">
        <f>IFERROR(VLOOKUP(B2049,PatData!$A$2:$A$2000,1,),"")&lt;&gt;""</f>
        <v>0</v>
      </c>
      <c r="E2049"/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4199</v>
      </c>
      <c r="B2050" t="s">
        <v>4048</v>
      </c>
      <c r="D2050" t="b">
        <f>IFERROR(VLOOKUP(B2050,PatData!$A$2:$A$2000,1,),"")&lt;&gt;""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7062</v>
      </c>
      <c r="B2051" t="s">
        <v>4072</v>
      </c>
      <c r="D2051" t="b">
        <f>IFERROR(VLOOKUP(B2051,PatData!$A$2:$A$2000,1,),"")&lt;&gt;""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4200</v>
      </c>
      <c r="B2052" t="s">
        <v>4057</v>
      </c>
      <c r="D2052" t="b">
        <f>IFERROR(VLOOKUP(B2052,PatData!$A$2:$A$2000,1,),"")&lt;&gt;""</f>
        <v>0</v>
      </c>
      <c r="E2052" t="s">
        <v>175</v>
      </c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4957</v>
      </c>
      <c r="B2053" t="s">
        <v>4958</v>
      </c>
      <c r="D2053" t="b">
        <f>IFERROR(VLOOKUP(B2053,PatData!$A$2:$A$2000,1,),"")&lt;&gt;""</f>
        <v>0</v>
      </c>
      <c r="E2053" t="s">
        <v>4922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5654</v>
      </c>
      <c r="B2054" t="s">
        <v>4704</v>
      </c>
      <c r="D2054" t="b">
        <f>IFERROR(VLOOKUP(B2054,PatData!$A$2:$A$2000,1,),"")&lt;&gt;""</f>
        <v>0</v>
      </c>
      <c r="E2054"/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7601</v>
      </c>
      <c r="B2055" t="s">
        <v>4651</v>
      </c>
      <c r="D2055" t="b">
        <f>IFERROR(VLOOKUP(B2055,PatData!$A$2:$A$2000,1,),"")&lt;&gt;""</f>
        <v>0</v>
      </c>
      <c r="E2055"/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7602</v>
      </c>
      <c r="B2056" t="s">
        <v>7063</v>
      </c>
      <c r="D2056" t="b">
        <f>IFERROR(VLOOKUP(B2056,PatData!$A$2:$A$2000,1,),"")&lt;&gt;""</f>
        <v>0</v>
      </c>
      <c r="E2056" t="s">
        <v>5978</v>
      </c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7638</v>
      </c>
      <c r="B2057" t="s">
        <v>4058</v>
      </c>
      <c r="D2057" t="b">
        <f>IFERROR(VLOOKUP(B2057,PatData!$A$2:$A$2000,1,),"")&lt;&gt;""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4212</v>
      </c>
      <c r="B2058" t="s">
        <v>4726</v>
      </c>
      <c r="D2058" t="b">
        <f>IFERROR(VLOOKUP(B2058,PatData!$A$2:$A$2000,1,),"")&lt;&gt;""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4729</v>
      </c>
      <c r="B2059" t="s">
        <v>4725</v>
      </c>
      <c r="D2059" t="b">
        <f>IFERROR(VLOOKUP(B2059,PatData!$A$2:$A$2000,1,),"")&lt;&gt;""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2798</v>
      </c>
      <c r="B2060" t="s">
        <v>4701</v>
      </c>
      <c r="D2060" t="b">
        <f>IFERROR(VLOOKUP(B2060,PatData!$A$2:$A$2000,1,),"")&lt;&gt;""</f>
        <v>0</v>
      </c>
      <c r="E2060" t="s">
        <v>2748</v>
      </c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4959</v>
      </c>
      <c r="B2061" t="s">
        <v>4960</v>
      </c>
      <c r="D2061" t="b">
        <f>IFERROR(VLOOKUP(B2061,PatData!$A$2:$A$2000,1,),"")&lt;&gt;""</f>
        <v>0</v>
      </c>
      <c r="E2061" t="s">
        <v>470</v>
      </c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4327</v>
      </c>
      <c r="B2062" t="s">
        <v>4706</v>
      </c>
      <c r="D2062" t="b">
        <f>IFERROR(VLOOKUP(B2062,PatData!$A$2:$A$2000,1,),"")&lt;&gt;""</f>
        <v>0</v>
      </c>
      <c r="E2062" t="s">
        <v>433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5171</v>
      </c>
      <c r="B2063" t="s">
        <v>4201</v>
      </c>
      <c r="D2063" t="b">
        <f>IFERROR(VLOOKUP(B2063,PatData!$A$2:$A$2000,1,),"")&lt;&gt;""</f>
        <v>0</v>
      </c>
      <c r="E2063"/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4328</v>
      </c>
      <c r="B2064" t="s">
        <v>4707</v>
      </c>
      <c r="D2064" t="b">
        <f>IFERROR(VLOOKUP(B2064,PatData!$A$2:$A$2000,1,),"")&lt;&gt;""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4329</v>
      </c>
      <c r="B2065" t="s">
        <v>4708</v>
      </c>
      <c r="D2065" t="b">
        <f>IFERROR(VLOOKUP(B2065,PatData!$A$2:$A$2000,1,),"")&lt;&gt;""</f>
        <v>0</v>
      </c>
      <c r="E2065"/>
      <c r="F2065" t="b">
        <v>0</v>
      </c>
      <c r="G2065" t="b">
        <v>0</v>
      </c>
      <c r="H2065" t="b">
        <v>0</v>
      </c>
      <c r="I2065" t="b">
        <v>0</v>
      </c>
    </row>
    <row r="2066" spans="1:9" x14ac:dyDescent="0.2">
      <c r="A2066" t="s">
        <v>5172</v>
      </c>
      <c r="B2066" t="s">
        <v>4233</v>
      </c>
      <c r="D2066" t="b">
        <f>IFERROR(VLOOKUP(B2066,PatData!$A$2:$A$2000,1,),"")&lt;&gt;""</f>
        <v>0</v>
      </c>
      <c r="E2066"/>
      <c r="F2066" t="b">
        <v>0</v>
      </c>
      <c r="G2066" t="b">
        <v>0</v>
      </c>
      <c r="H2066" t="b">
        <v>0</v>
      </c>
      <c r="I2066" t="b">
        <v>0</v>
      </c>
    </row>
    <row r="2067" spans="1:9" x14ac:dyDescent="0.2">
      <c r="A2067" t="s">
        <v>4202</v>
      </c>
      <c r="B2067" t="s">
        <v>4052</v>
      </c>
      <c r="D2067" t="b">
        <f>IFERROR(VLOOKUP(B2067,PatData!$A$2:$A$2000,1,),"")&lt;&gt;""</f>
        <v>0</v>
      </c>
      <c r="E2067"/>
      <c r="F2067" t="b">
        <v>0</v>
      </c>
      <c r="G2067" t="b">
        <v>0</v>
      </c>
      <c r="H2067" t="b">
        <v>0</v>
      </c>
      <c r="I2067" t="b">
        <v>0</v>
      </c>
    </row>
    <row r="2068" spans="1:9" x14ac:dyDescent="0.2">
      <c r="A2068" t="s">
        <v>4203</v>
      </c>
      <c r="B2068" t="s">
        <v>4204</v>
      </c>
      <c r="D2068" t="b">
        <f>IFERROR(VLOOKUP(B2068,PatData!$A$2:$A$2000,1,),"")&lt;&gt;""</f>
        <v>0</v>
      </c>
      <c r="E2068"/>
      <c r="F2068" t="b">
        <v>0</v>
      </c>
      <c r="G2068" t="b">
        <v>0</v>
      </c>
      <c r="H2068" t="b">
        <v>0</v>
      </c>
      <c r="I2068" t="b">
        <v>0</v>
      </c>
    </row>
    <row r="2069" spans="1:9" x14ac:dyDescent="0.2">
      <c r="A2069" t="s">
        <v>1519</v>
      </c>
      <c r="B2069" t="s">
        <v>4709</v>
      </c>
      <c r="D2069" t="b">
        <f>IFERROR(VLOOKUP(B2069,PatData!$A$2:$A$2000,1,),"")&lt;&gt;""</f>
        <v>0</v>
      </c>
      <c r="E2069">
        <v>0</v>
      </c>
      <c r="F2069" t="b">
        <v>0</v>
      </c>
      <c r="G2069" t="b">
        <v>0</v>
      </c>
      <c r="H2069" t="b">
        <v>0</v>
      </c>
      <c r="I2069" t="b">
        <v>0</v>
      </c>
    </row>
    <row r="2070" spans="1:9" x14ac:dyDescent="0.2">
      <c r="A2070" t="s">
        <v>7270</v>
      </c>
      <c r="B2070" t="s">
        <v>7271</v>
      </c>
      <c r="D2070" t="b">
        <f>IFERROR(VLOOKUP(B2070,PatData!$A$2:$A$2000,1,),"")&lt;&gt;""</f>
        <v>0</v>
      </c>
      <c r="E2070" t="b">
        <v>0</v>
      </c>
      <c r="F2070" t="b">
        <v>0</v>
      </c>
      <c r="G2070" t="b">
        <v>0</v>
      </c>
      <c r="H2070" t="b">
        <v>0</v>
      </c>
      <c r="I2070" t="b">
        <v>0</v>
      </c>
    </row>
    <row r="2071" spans="1:9" x14ac:dyDescent="0.2">
      <c r="A2071" t="s">
        <v>4205</v>
      </c>
      <c r="B2071" t="s">
        <v>4050</v>
      </c>
      <c r="D2071" t="b">
        <f>IFERROR(VLOOKUP(B2071,PatData!$A$2:$A$2000,1,),"")&lt;&gt;""</f>
        <v>0</v>
      </c>
      <c r="E2071"/>
      <c r="F2071" t="b">
        <v>0</v>
      </c>
      <c r="G2071" t="b">
        <v>0</v>
      </c>
      <c r="H2071" t="b">
        <v>0</v>
      </c>
      <c r="I2071" t="b">
        <v>0</v>
      </c>
    </row>
    <row r="2072" spans="1:9" x14ac:dyDescent="0.2">
      <c r="A2072" t="s">
        <v>7272</v>
      </c>
      <c r="B2072" t="s">
        <v>7273</v>
      </c>
      <c r="D2072" t="b">
        <f>IFERROR(VLOOKUP(B2072,PatData!$A$2:$A$2000,1,),"")&lt;&gt;""</f>
        <v>0</v>
      </c>
      <c r="E2072" t="s">
        <v>7274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3237</v>
      </c>
      <c r="B2073" t="s">
        <v>4710</v>
      </c>
      <c r="D2073" t="b">
        <f>IFERROR(VLOOKUP(B2073,PatData!$A$2:$A$2000,1,),"")&lt;&gt;""</f>
        <v>0</v>
      </c>
      <c r="E2073" t="s">
        <v>7274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7064</v>
      </c>
      <c r="B2074" t="s">
        <v>4702</v>
      </c>
      <c r="D2074" t="b">
        <f>IFERROR(VLOOKUP(B2074,PatData!$A$2:$A$2000,1,),"")&lt;&gt;""</f>
        <v>0</v>
      </c>
      <c r="E2074" t="s">
        <v>7274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7065</v>
      </c>
      <c r="B2075" t="s">
        <v>7066</v>
      </c>
      <c r="D2075" t="b">
        <f>IFERROR(VLOOKUP(B2075,PatData!$A$2:$A$2000,1,),"")&lt;&gt;""</f>
        <v>0</v>
      </c>
      <c r="E2075" t="s">
        <v>7274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3238</v>
      </c>
      <c r="B2076" t="s">
        <v>4711</v>
      </c>
      <c r="D2076" t="b">
        <f>IFERROR(VLOOKUP(B2076,PatData!$A$2:$A$2000,1,),"")&lt;&gt;""</f>
        <v>0</v>
      </c>
      <c r="E2076" t="s">
        <v>7274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3239</v>
      </c>
      <c r="B2077" t="s">
        <v>4769</v>
      </c>
      <c r="D2077" t="b">
        <f>IFERROR(VLOOKUP(B2077,PatData!$A$2:$A$2000,1,),"")&lt;&gt;""</f>
        <v>0</v>
      </c>
      <c r="E2077" t="s">
        <v>7274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3240</v>
      </c>
      <c r="B2078" t="s">
        <v>4770</v>
      </c>
      <c r="D2078" t="b">
        <f>IFERROR(VLOOKUP(B2078,PatData!$A$2:$A$2000,1,),"")&lt;&gt;""</f>
        <v>0</v>
      </c>
      <c r="E2078" t="s">
        <v>7274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4206</v>
      </c>
      <c r="B2079" t="s">
        <v>4207</v>
      </c>
      <c r="D2079" t="b">
        <f>IFERROR(VLOOKUP(B2079,PatData!$A$2:$A$2000,1,),"")&lt;&gt;""</f>
        <v>0</v>
      </c>
      <c r="E2079" t="s">
        <v>7274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7603</v>
      </c>
      <c r="B2080" t="s">
        <v>4703</v>
      </c>
      <c r="D2080" t="b">
        <f>IFERROR(VLOOKUP(B2080,PatData!$A$2:$A$2000,1,),"")&lt;&gt;""</f>
        <v>0</v>
      </c>
      <c r="E2080" t="s">
        <v>7274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3241</v>
      </c>
      <c r="B2081" t="s">
        <v>4771</v>
      </c>
      <c r="D2081" t="b">
        <f>IFERROR(VLOOKUP(B2081,PatData!$A$2:$A$2000,1,),"")&lt;&gt;""</f>
        <v>0</v>
      </c>
      <c r="E2081" t="s">
        <v>7274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7639</v>
      </c>
      <c r="B2082" t="s">
        <v>7634</v>
      </c>
      <c r="D2082" t="b">
        <f>IFERROR(VLOOKUP(B2082,PatData!$A$2:$A$2000,1,),"")&lt;&gt;""</f>
        <v>0</v>
      </c>
      <c r="E2082" t="s">
        <v>7274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3242</v>
      </c>
      <c r="B2083" t="s">
        <v>4772</v>
      </c>
      <c r="D2083" t="b">
        <f>IFERROR(VLOOKUP(B2083,PatData!$A$2:$A$2000,1,),"")&lt;&gt;""</f>
        <v>0</v>
      </c>
      <c r="E2083" t="s">
        <v>7274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7067</v>
      </c>
      <c r="B2084" t="s">
        <v>4082</v>
      </c>
      <c r="D2084" t="b">
        <f>IFERROR(VLOOKUP(B2084,PatData!$A$2:$A$2000,1,),"")&lt;&gt;""</f>
        <v>0</v>
      </c>
      <c r="E2084" t="s">
        <v>7274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7068</v>
      </c>
      <c r="B2085" t="s">
        <v>4705</v>
      </c>
      <c r="D2085" t="b">
        <f>IFERROR(VLOOKUP(B2085,PatData!$A$2:$A$2000,1,),"")&lt;&gt;""</f>
        <v>0</v>
      </c>
      <c r="E2085" t="s">
        <v>7274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3243</v>
      </c>
      <c r="B2086" t="s">
        <v>4773</v>
      </c>
      <c r="D2086" t="b">
        <f>IFERROR(VLOOKUP(B2086,PatData!$A$2:$A$2000,1,),"")&lt;&gt;""</f>
        <v>0</v>
      </c>
      <c r="E2086" t="s">
        <v>7274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3244</v>
      </c>
      <c r="B2087" t="s">
        <v>4774</v>
      </c>
      <c r="D2087" t="b">
        <f>IFERROR(VLOOKUP(B2087,PatData!$A$2:$A$2000,1,),"")&lt;&gt;""</f>
        <v>0</v>
      </c>
      <c r="E2087" t="s">
        <v>7274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7604</v>
      </c>
      <c r="B2088" t="s">
        <v>4712</v>
      </c>
      <c r="D2088" t="b">
        <f>IFERROR(VLOOKUP(B2088,PatData!$A$2:$A$2000,1,),"")&lt;&gt;""</f>
        <v>0</v>
      </c>
      <c r="E2088" t="s">
        <v>7274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1520</v>
      </c>
      <c r="B2089" t="s">
        <v>4713</v>
      </c>
      <c r="D2089" t="b">
        <f>IFERROR(VLOOKUP(B2089,PatData!$A$2:$A$2000,1,),"")&lt;&gt;""</f>
        <v>0</v>
      </c>
      <c r="E2089" t="s">
        <v>7274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4961</v>
      </c>
      <c r="B2090" t="s">
        <v>4714</v>
      </c>
      <c r="D2090" t="b">
        <f>IFERROR(VLOOKUP(B2090,PatData!$A$2:$A$2000,1,),"")&lt;&gt;""</f>
        <v>0</v>
      </c>
      <c r="E2090" t="s">
        <v>7274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4962</v>
      </c>
      <c r="B2091" t="s">
        <v>4715</v>
      </c>
      <c r="D2091" t="b">
        <f>IFERROR(VLOOKUP(B2091,PatData!$A$2:$A$2000,1,),"")&lt;&gt;""</f>
        <v>0</v>
      </c>
      <c r="E2091" t="s">
        <v>7274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4208</v>
      </c>
      <c r="B2092" t="s">
        <v>4209</v>
      </c>
      <c r="D2092" t="b">
        <f>IFERROR(VLOOKUP(B2092,PatData!$A$2:$A$2000,1,),"")&lt;&gt;""</f>
        <v>0</v>
      </c>
      <c r="E2092" t="s">
        <v>7274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4211</v>
      </c>
      <c r="B2093" t="s">
        <v>4730</v>
      </c>
      <c r="D2093" t="b">
        <f>IFERROR(VLOOKUP(B2093,PatData!$A$2:$A$2000,1,),"")&lt;&gt;""</f>
        <v>0</v>
      </c>
      <c r="E2093" t="s">
        <v>7274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4759</v>
      </c>
      <c r="B2094" t="s">
        <v>4060</v>
      </c>
      <c r="D2094" t="b">
        <f>IFERROR(VLOOKUP(B2094,PatData!$A$2:$A$2000,1,),"")&lt;&gt;""</f>
        <v>0</v>
      </c>
      <c r="E2094" t="s">
        <v>7274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4963</v>
      </c>
      <c r="B2095" t="s">
        <v>4775</v>
      </c>
      <c r="D2095" t="b">
        <f>IFERROR(VLOOKUP(B2095,PatData!$A$2:$A$2000,1,),"")&lt;&gt;""</f>
        <v>0</v>
      </c>
      <c r="E2095" t="s">
        <v>7274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4760</v>
      </c>
      <c r="B2096" t="s">
        <v>4059</v>
      </c>
      <c r="D2096" t="b">
        <f>IFERROR(VLOOKUP(B2096,PatData!$A$2:$A$2000,1,),"")&lt;&gt;""</f>
        <v>0</v>
      </c>
      <c r="E2096" t="s">
        <v>7274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4964</v>
      </c>
      <c r="B2097" t="s">
        <v>4847</v>
      </c>
      <c r="D2097" t="b">
        <f>IFERROR(VLOOKUP(B2097,PatData!$A$2:$A$2000,1,),"")&lt;&gt;""</f>
        <v>0</v>
      </c>
      <c r="E2097" t="s">
        <v>7274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3245</v>
      </c>
      <c r="B2098" t="s">
        <v>4776</v>
      </c>
      <c r="D2098" t="b">
        <f>IFERROR(VLOOKUP(B2098,PatData!$A$2:$A$2000,1,),"")&lt;&gt;""</f>
        <v>0</v>
      </c>
      <c r="E2098" t="s">
        <v>7274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4210</v>
      </c>
      <c r="B2099" t="s">
        <v>4047</v>
      </c>
      <c r="D2099" t="b">
        <f>IFERROR(VLOOKUP(B2099,PatData!$A$2:$A$2000,1,),"")&lt;&gt;""</f>
        <v>0</v>
      </c>
      <c r="E2099" t="s">
        <v>7274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4965</v>
      </c>
      <c r="B2100" t="s">
        <v>3780</v>
      </c>
      <c r="D2100" t="b">
        <f>IFERROR(VLOOKUP(B2100,PatData!$A$2:$A$2000,1,),"")&lt;&gt;""</f>
        <v>0</v>
      </c>
      <c r="E2100" t="s">
        <v>4333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4966</v>
      </c>
      <c r="B2101" t="s">
        <v>3781</v>
      </c>
      <c r="D2101" t="b">
        <f>IFERROR(VLOOKUP(B2101,PatData!$A$2:$A$2000,1,),"")&lt;&gt;""</f>
        <v>0</v>
      </c>
      <c r="E2101" t="s">
        <v>4967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4968</v>
      </c>
      <c r="B2102" t="s">
        <v>3782</v>
      </c>
      <c r="D2102" t="b">
        <f>IFERROR(VLOOKUP(B2102,PatData!$A$2:$A$2000,1,),"")&lt;&gt;""</f>
        <v>0</v>
      </c>
      <c r="E2102" t="s">
        <v>4969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4970</v>
      </c>
      <c r="B2103" t="s">
        <v>3783</v>
      </c>
      <c r="D2103" t="b">
        <f>IFERROR(VLOOKUP(B2103,PatData!$A$2:$A$2000,1,),"")&lt;&gt;""</f>
        <v>0</v>
      </c>
      <c r="E2103" t="s">
        <v>4971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4972</v>
      </c>
      <c r="B2104" t="s">
        <v>3784</v>
      </c>
      <c r="D2104" t="b">
        <f>IFERROR(VLOOKUP(B2104,PatData!$A$2:$A$2000,1,),"")&lt;&gt;""</f>
        <v>0</v>
      </c>
      <c r="E2104" t="s">
        <v>4973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4974</v>
      </c>
      <c r="B2105" t="s">
        <v>3785</v>
      </c>
      <c r="D2105" t="b">
        <f>IFERROR(VLOOKUP(B2105,PatData!$A$2:$A$2000,1,),"")&lt;&gt;""</f>
        <v>0</v>
      </c>
      <c r="E2105" t="s">
        <v>4975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4976</v>
      </c>
      <c r="B2106" t="s">
        <v>3786</v>
      </c>
      <c r="D2106" t="b">
        <f>IFERROR(VLOOKUP(B2106,PatData!$A$2:$A$2000,1,),"")&lt;&gt;""</f>
        <v>0</v>
      </c>
      <c r="E2106" t="s">
        <v>4977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4978</v>
      </c>
      <c r="B2107" t="s">
        <v>3787</v>
      </c>
      <c r="D2107" t="b">
        <f>IFERROR(VLOOKUP(B2107,PatData!$A$2:$A$2000,1,),"")&lt;&gt;""</f>
        <v>0</v>
      </c>
      <c r="E2107" t="s">
        <v>4979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4980</v>
      </c>
      <c r="B2108" t="s">
        <v>3788</v>
      </c>
      <c r="D2108" t="b">
        <f>IFERROR(VLOOKUP(B2108,PatData!$A$2:$A$2000,1,),"")&lt;&gt;""</f>
        <v>0</v>
      </c>
      <c r="E2108" t="s">
        <v>4981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4982</v>
      </c>
      <c r="B2109" t="s">
        <v>3789</v>
      </c>
      <c r="D2109" t="b">
        <f>IFERROR(VLOOKUP(B2109,PatData!$A$2:$A$2000,1,),"")&lt;&gt;""</f>
        <v>0</v>
      </c>
      <c r="E2109" t="s">
        <v>4983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4984</v>
      </c>
      <c r="B2110" t="s">
        <v>3790</v>
      </c>
      <c r="D2110" t="b">
        <f>IFERROR(VLOOKUP(B2110,PatData!$A$2:$A$2000,1,),"")&lt;&gt;""</f>
        <v>0</v>
      </c>
      <c r="E2110" t="s">
        <v>4985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4986</v>
      </c>
      <c r="B2111" t="s">
        <v>3791</v>
      </c>
      <c r="D2111" t="b">
        <f>IFERROR(VLOOKUP(B2111,PatData!$A$2:$A$2000,1,),"")&lt;&gt;""</f>
        <v>0</v>
      </c>
      <c r="E2111" t="s">
        <v>4987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4988</v>
      </c>
      <c r="B2112" t="s">
        <v>3792</v>
      </c>
      <c r="D2112" t="b">
        <f>IFERROR(VLOOKUP(B2112,PatData!$A$2:$A$2000,1,),"")&lt;&gt;""</f>
        <v>0</v>
      </c>
      <c r="E2112" t="s">
        <v>4989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4990</v>
      </c>
      <c r="B2113" t="s">
        <v>3793</v>
      </c>
      <c r="D2113" t="b">
        <f>IFERROR(VLOOKUP(B2113,PatData!$A$2:$A$2000,1,),"")&lt;&gt;""</f>
        <v>0</v>
      </c>
      <c r="E2113" t="s">
        <v>4991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4992</v>
      </c>
      <c r="B2114" t="s">
        <v>3794</v>
      </c>
      <c r="D2114" t="b">
        <f>IFERROR(VLOOKUP(B2114,PatData!$A$2:$A$2000,1,),"")&lt;&gt;""</f>
        <v>0</v>
      </c>
      <c r="E2114" t="s">
        <v>4330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4993</v>
      </c>
      <c r="B2115" t="s">
        <v>3795</v>
      </c>
      <c r="D2115" t="b">
        <f>IFERROR(VLOOKUP(B2115,PatData!$A$2:$A$2000,1,),"")&lt;&gt;""</f>
        <v>0</v>
      </c>
      <c r="E2115" t="s">
        <v>4331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4994</v>
      </c>
      <c r="B2116" t="s">
        <v>4475</v>
      </c>
      <c r="D2116" t="b">
        <f>IFERROR(VLOOKUP(B2116,PatData!$A$2:$A$2000,1,),"")&lt;&gt;""</f>
        <v>0</v>
      </c>
      <c r="E2116" t="s">
        <v>4334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4995</v>
      </c>
      <c r="B2117" t="s">
        <v>4476</v>
      </c>
      <c r="D2117" t="b">
        <f>IFERROR(VLOOKUP(B2117,PatData!$A$2:$A$2000,1,),"")&lt;&gt;""</f>
        <v>0</v>
      </c>
      <c r="E2117" t="s">
        <v>7605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4996</v>
      </c>
      <c r="B2118" t="s">
        <v>4477</v>
      </c>
      <c r="D2118" t="b">
        <f>IFERROR(VLOOKUP(B2118,PatData!$A$2:$A$2000,1,),"")&lt;&gt;""</f>
        <v>0</v>
      </c>
      <c r="E2118" t="s">
        <v>4332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4997</v>
      </c>
      <c r="B2119" t="s">
        <v>4478</v>
      </c>
      <c r="D2119" t="b">
        <f>IFERROR(VLOOKUP(B2119,PatData!$A$2:$A$2000,1,),"")&lt;&gt;""</f>
        <v>0</v>
      </c>
      <c r="E2119" t="s">
        <v>4998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4999</v>
      </c>
      <c r="B2120" t="s">
        <v>4479</v>
      </c>
      <c r="D2120" t="b">
        <f>IFERROR(VLOOKUP(B2120,PatData!$A$2:$A$2000,1,),"")&lt;&gt;""</f>
        <v>0</v>
      </c>
      <c r="E2120" t="s">
        <v>5000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5001</v>
      </c>
      <c r="B2121" t="s">
        <v>4480</v>
      </c>
      <c r="D2121" t="b">
        <f>IFERROR(VLOOKUP(B2121,PatData!$A$2:$A$2000,1,),"")&lt;&gt;""</f>
        <v>0</v>
      </c>
      <c r="E2121" t="s">
        <v>5002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5003</v>
      </c>
      <c r="B2122" t="s">
        <v>4481</v>
      </c>
      <c r="D2122" t="b">
        <f>IFERROR(VLOOKUP(B2122,PatData!$A$2:$A$2000,1,),"")&lt;&gt;""</f>
        <v>0</v>
      </c>
      <c r="E2122" t="s">
        <v>5004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5005</v>
      </c>
      <c r="B2123" t="s">
        <v>4482</v>
      </c>
      <c r="D2123" t="b">
        <f>IFERROR(VLOOKUP(B2123,PatData!$A$2:$A$2000,1,),"")&lt;&gt;""</f>
        <v>0</v>
      </c>
      <c r="E2123" t="s">
        <v>5006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5007</v>
      </c>
      <c r="B2124" t="s">
        <v>4483</v>
      </c>
      <c r="D2124" t="b">
        <f>IFERROR(VLOOKUP(B2124,PatData!$A$2:$A$2000,1,),"")&lt;&gt;""</f>
        <v>0</v>
      </c>
      <c r="E2124" t="s">
        <v>5008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5009</v>
      </c>
      <c r="B2125" t="s">
        <v>4473</v>
      </c>
      <c r="D2125" t="b">
        <f>IFERROR(VLOOKUP(B2125,PatData!$A$2:$A$2000,1,),"")&lt;&gt;""</f>
        <v>0</v>
      </c>
      <c r="E2125" t="s">
        <v>5010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5011</v>
      </c>
      <c r="B2126" t="s">
        <v>4474</v>
      </c>
      <c r="D2126" t="b">
        <f>IFERROR(VLOOKUP(B2126,PatData!$A$2:$A$2000,1,),"")&lt;&gt;""</f>
        <v>0</v>
      </c>
      <c r="E2126" t="s">
        <v>5012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5013</v>
      </c>
      <c r="B2127" t="s">
        <v>4484</v>
      </c>
      <c r="D2127" t="b">
        <f>IFERROR(VLOOKUP(B2127,PatData!$A$2:$A$2000,1,),"")&lt;&gt;""</f>
        <v>0</v>
      </c>
      <c r="E2127" t="s">
        <v>5014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5015</v>
      </c>
      <c r="B2128" t="s">
        <v>4485</v>
      </c>
      <c r="D2128" t="b">
        <f>IFERROR(VLOOKUP(B2128,PatData!$A$2:$A$2000,1,),"")&lt;&gt;""</f>
        <v>0</v>
      </c>
      <c r="E2128" t="s">
        <v>5016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5017</v>
      </c>
      <c r="B2129" t="s">
        <v>3796</v>
      </c>
      <c r="D2129" t="b">
        <f>IFERROR(VLOOKUP(B2129,PatData!$A$2:$A$2000,1,),"")&lt;&gt;""</f>
        <v>0</v>
      </c>
      <c r="E2129" t="s">
        <v>5018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5019</v>
      </c>
      <c r="B2130" t="s">
        <v>3797</v>
      </c>
      <c r="D2130" t="b">
        <f>IFERROR(VLOOKUP(B2130,PatData!$A$2:$A$2000,1,),"")&lt;&gt;""</f>
        <v>0</v>
      </c>
      <c r="E2130" t="s">
        <v>5020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5021</v>
      </c>
      <c r="B2131" t="s">
        <v>3798</v>
      </c>
      <c r="D2131" t="b">
        <f>IFERROR(VLOOKUP(B2131,PatData!$A$2:$A$2000,1,),"")&lt;&gt;""</f>
        <v>0</v>
      </c>
      <c r="E2131" t="s">
        <v>5022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5023</v>
      </c>
      <c r="B2132" t="s">
        <v>3799</v>
      </c>
      <c r="D2132" t="b">
        <f>IFERROR(VLOOKUP(B2132,PatData!$A$2:$A$2000,1,),"")&lt;&gt;""</f>
        <v>0</v>
      </c>
      <c r="E2132" t="s">
        <v>5024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5025</v>
      </c>
      <c r="B2133" t="s">
        <v>3800</v>
      </c>
      <c r="D2133" t="b">
        <f>IFERROR(VLOOKUP(B2133,PatData!$A$2:$A$2000,1,),"")&lt;&gt;""</f>
        <v>0</v>
      </c>
      <c r="E2133" t="s">
        <v>5026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5027</v>
      </c>
      <c r="B2134" t="s">
        <v>3801</v>
      </c>
      <c r="D2134" t="b">
        <f>IFERROR(VLOOKUP(B2134,PatData!$A$2:$A$2000,1,),"")&lt;&gt;""</f>
        <v>0</v>
      </c>
      <c r="E2134" t="s">
        <v>5028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5029</v>
      </c>
      <c r="B2135" t="s">
        <v>3802</v>
      </c>
      <c r="D2135" t="b">
        <f>IFERROR(VLOOKUP(B2135,PatData!$A$2:$A$2000,1,),"")&lt;&gt;""</f>
        <v>0</v>
      </c>
      <c r="E2135" t="s">
        <v>5030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5031</v>
      </c>
      <c r="B2136" t="s">
        <v>3803</v>
      </c>
      <c r="D2136" t="b">
        <f>IFERROR(VLOOKUP(B2136,PatData!$A$2:$A$2000,1,),"")&lt;&gt;""</f>
        <v>0</v>
      </c>
      <c r="E2136" t="s">
        <v>5032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5033</v>
      </c>
      <c r="B2137" t="s">
        <v>3804</v>
      </c>
      <c r="D2137" t="b">
        <f>IFERROR(VLOOKUP(B2137,PatData!$A$2:$A$2000,1,),"")&lt;&gt;""</f>
        <v>0</v>
      </c>
      <c r="E2137" t="s">
        <v>5034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5035</v>
      </c>
      <c r="B2138" t="s">
        <v>3805</v>
      </c>
      <c r="D2138" t="b">
        <f>IFERROR(VLOOKUP(B2138,PatData!$A$2:$A$2000,1,),"")&lt;&gt;""</f>
        <v>0</v>
      </c>
      <c r="E2138" t="s">
        <v>5036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3710</v>
      </c>
      <c r="B2139" t="s">
        <v>3746</v>
      </c>
      <c r="D2139" t="b">
        <f>IFERROR(VLOOKUP(B2139,PatData!$A$2:$A$2000,1,),"")&lt;&gt;""</f>
        <v>0</v>
      </c>
      <c r="E2139" t="s">
        <v>4335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3711</v>
      </c>
      <c r="B2140" t="s">
        <v>3747</v>
      </c>
      <c r="D2140" t="b">
        <f>IFERROR(VLOOKUP(B2140,PatData!$A$2:$A$2000,1,),"")&lt;&gt;""</f>
        <v>0</v>
      </c>
      <c r="E2140" t="s">
        <v>4336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3712</v>
      </c>
      <c r="B2141" t="s">
        <v>3748</v>
      </c>
      <c r="D2141" t="b">
        <f>IFERROR(VLOOKUP(B2141,PatData!$A$2:$A$2000,1,),"")&lt;&gt;""</f>
        <v>0</v>
      </c>
      <c r="E2141" t="s">
        <v>2801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3713</v>
      </c>
      <c r="B2142" t="s">
        <v>3749</v>
      </c>
      <c r="D2142" t="b">
        <f>IFERROR(VLOOKUP(B2142,PatData!$A$2:$A$2000,1,),"")&lt;&gt;""</f>
        <v>0</v>
      </c>
      <c r="E2142" t="s">
        <v>4337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3714</v>
      </c>
      <c r="B2143" t="s">
        <v>3750</v>
      </c>
      <c r="D2143" t="b">
        <f>IFERROR(VLOOKUP(B2143,PatData!$A$2:$A$2000,1,),"")&lt;&gt;""</f>
        <v>0</v>
      </c>
      <c r="E2143" t="s">
        <v>7069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3715</v>
      </c>
      <c r="B2144" t="s">
        <v>3751</v>
      </c>
      <c r="D2144" t="b">
        <f>IFERROR(VLOOKUP(B2144,PatData!$A$2:$A$2000,1,),"")&lt;&gt;""</f>
        <v>0</v>
      </c>
      <c r="E2144" t="s">
        <v>7070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3716</v>
      </c>
      <c r="B2145" t="s">
        <v>3752</v>
      </c>
      <c r="D2145" t="b">
        <f>IFERROR(VLOOKUP(B2145,PatData!$A$2:$A$2000,1,),"")&lt;&gt;""</f>
        <v>0</v>
      </c>
      <c r="E2145" t="s">
        <v>326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3717</v>
      </c>
      <c r="B2146" t="s">
        <v>3753</v>
      </c>
      <c r="D2146" t="b">
        <f>IFERROR(VLOOKUP(B2146,PatData!$A$2:$A$2000,1,),"")&lt;&gt;""</f>
        <v>0</v>
      </c>
      <c r="E2146" t="s">
        <v>7071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3718</v>
      </c>
      <c r="B2147" t="s">
        <v>3754</v>
      </c>
      <c r="D2147" t="b">
        <f>IFERROR(VLOOKUP(B2147,PatData!$A$2:$A$2000,1,),"")&lt;&gt;""</f>
        <v>0</v>
      </c>
      <c r="E2147" t="s">
        <v>7072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3719</v>
      </c>
      <c r="B2148" t="s">
        <v>3755</v>
      </c>
      <c r="D2148" t="b">
        <f>IFERROR(VLOOKUP(B2148,PatData!$A$2:$A$2000,1,),"")&lt;&gt;""</f>
        <v>0</v>
      </c>
      <c r="E2148" t="s">
        <v>4338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3720</v>
      </c>
      <c r="B2149" t="s">
        <v>3756</v>
      </c>
      <c r="D2149" t="b">
        <f>IFERROR(VLOOKUP(B2149,PatData!$A$2:$A$2000,1,),"")&lt;&gt;""</f>
        <v>0</v>
      </c>
      <c r="E2149" t="s">
        <v>7073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3721</v>
      </c>
      <c r="B2150" t="s">
        <v>3757</v>
      </c>
      <c r="D2150" t="b">
        <f>IFERROR(VLOOKUP(B2150,PatData!$A$2:$A$2000,1,),"")&lt;&gt;""</f>
        <v>0</v>
      </c>
      <c r="E2150" t="s">
        <v>7074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3722</v>
      </c>
      <c r="B2151" t="s">
        <v>3758</v>
      </c>
      <c r="D2151" t="b">
        <f>IFERROR(VLOOKUP(B2151,PatData!$A$2:$A$2000,1,),"")&lt;&gt;""</f>
        <v>0</v>
      </c>
      <c r="E2151" t="s">
        <v>402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3723</v>
      </c>
      <c r="B2152" t="s">
        <v>3759</v>
      </c>
      <c r="D2152" t="b">
        <f>IFERROR(VLOOKUP(B2152,PatData!$A$2:$A$2000,1,),"")&lt;&gt;""</f>
        <v>0</v>
      </c>
      <c r="E2152" t="s">
        <v>7075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3724</v>
      </c>
      <c r="B2153" t="s">
        <v>3760</v>
      </c>
      <c r="D2153" t="b">
        <f>IFERROR(VLOOKUP(B2153,PatData!$A$2:$A$2000,1,),"")&lt;&gt;""</f>
        <v>0</v>
      </c>
      <c r="E2153" t="s">
        <v>7076</v>
      </c>
      <c r="F2153" t="b">
        <v>1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3725</v>
      </c>
      <c r="B2154" t="s">
        <v>3761</v>
      </c>
      <c r="D2154" t="b">
        <f>IFERROR(VLOOKUP(B2154,PatData!$A$2:$A$2000,1,),"")&lt;&gt;""</f>
        <v>0</v>
      </c>
      <c r="E2154" t="s">
        <v>327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3726</v>
      </c>
      <c r="B2155" t="s">
        <v>3762</v>
      </c>
      <c r="D2155" t="b">
        <f>IFERROR(VLOOKUP(B2155,PatData!$A$2:$A$2000,1,),"")&lt;&gt;""</f>
        <v>0</v>
      </c>
      <c r="E2155" t="s">
        <v>7077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3727</v>
      </c>
      <c r="B2156" t="s">
        <v>3763</v>
      </c>
      <c r="D2156" t="b">
        <f>IFERROR(VLOOKUP(B2156,PatData!$A$2:$A$2000,1,),"")&lt;&gt;""</f>
        <v>0</v>
      </c>
      <c r="E2156" t="s">
        <v>7078</v>
      </c>
      <c r="F2156" t="b">
        <v>1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3728</v>
      </c>
      <c r="B2157" t="s">
        <v>3764</v>
      </c>
      <c r="D2157" t="b">
        <f>IFERROR(VLOOKUP(B2157,PatData!$A$2:$A$2000,1,),"")&lt;&gt;""</f>
        <v>0</v>
      </c>
      <c r="E2157" t="s">
        <v>7865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3729</v>
      </c>
      <c r="B2158" t="s">
        <v>3765</v>
      </c>
      <c r="D2158" t="b">
        <f>IFERROR(VLOOKUP(B2158,PatData!$A$2:$A$2000,1,),"")&lt;&gt;""</f>
        <v>0</v>
      </c>
      <c r="E2158" t="s">
        <v>7079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3730</v>
      </c>
      <c r="B2159" t="s">
        <v>3766</v>
      </c>
      <c r="D2159" t="b">
        <f>IFERROR(VLOOKUP(B2159,PatData!$A$2:$A$2000,1,),"")&lt;&gt;""</f>
        <v>0</v>
      </c>
      <c r="E2159" t="s">
        <v>7080</v>
      </c>
      <c r="F2159" t="b">
        <v>1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3731</v>
      </c>
      <c r="B2160" t="s">
        <v>3767</v>
      </c>
      <c r="D2160" t="b">
        <f>IFERROR(VLOOKUP(B2160,PatData!$A$2:$A$2000,1,),"")&lt;&gt;""</f>
        <v>0</v>
      </c>
      <c r="E2160" t="s">
        <v>404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3732</v>
      </c>
      <c r="B2161" t="s">
        <v>3768</v>
      </c>
      <c r="D2161" t="b">
        <f>IFERROR(VLOOKUP(B2161,PatData!$A$2:$A$2000,1,),"")&lt;&gt;""</f>
        <v>0</v>
      </c>
      <c r="E2161" t="s">
        <v>7081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3733</v>
      </c>
      <c r="B2162" t="s">
        <v>3769</v>
      </c>
      <c r="D2162" t="b">
        <f>IFERROR(VLOOKUP(B2162,PatData!$A$2:$A$2000,1,),"")&lt;&gt;""</f>
        <v>0</v>
      </c>
      <c r="E2162" t="s">
        <v>7082</v>
      </c>
      <c r="F2162" t="b">
        <v>1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3734</v>
      </c>
      <c r="B2163" t="s">
        <v>3770</v>
      </c>
      <c r="D2163" t="b">
        <f>IFERROR(VLOOKUP(B2163,PatData!$A$2:$A$2000,1,),"")&lt;&gt;""</f>
        <v>0</v>
      </c>
      <c r="E2163" t="s">
        <v>403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3735</v>
      </c>
      <c r="B2164" t="s">
        <v>3771</v>
      </c>
      <c r="D2164" t="b">
        <f>IFERROR(VLOOKUP(B2164,PatData!$A$2:$A$2000,1,),"")&lt;&gt;""</f>
        <v>0</v>
      </c>
      <c r="E2164" t="s">
        <v>7083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3736</v>
      </c>
      <c r="B2165" t="s">
        <v>3772</v>
      </c>
      <c r="D2165" t="b">
        <f>IFERROR(VLOOKUP(B2165,PatData!$A$2:$A$2000,1,),"")&lt;&gt;""</f>
        <v>0</v>
      </c>
      <c r="E2165" t="s">
        <v>7084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3737</v>
      </c>
      <c r="B2166" t="s">
        <v>3773</v>
      </c>
      <c r="D2166" t="b">
        <f>IFERROR(VLOOKUP(B2166,PatData!$A$2:$A$2000,1,),"")&lt;&gt;""</f>
        <v>0</v>
      </c>
      <c r="E2166" t="s">
        <v>256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3738</v>
      </c>
      <c r="B2167" t="s">
        <v>3774</v>
      </c>
      <c r="D2167" t="b">
        <f>IFERROR(VLOOKUP(B2167,PatData!$A$2:$A$2000,1,),"")&lt;&gt;""</f>
        <v>0</v>
      </c>
      <c r="E2167" t="s">
        <v>7085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3739</v>
      </c>
      <c r="B2168" t="s">
        <v>3775</v>
      </c>
      <c r="D2168" t="b">
        <f>IFERROR(VLOOKUP(B2168,PatData!$A$2:$A$2000,1,),"")&lt;&gt;""</f>
        <v>0</v>
      </c>
      <c r="E2168" t="s">
        <v>7086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3740</v>
      </c>
      <c r="B2169" t="s">
        <v>3776</v>
      </c>
      <c r="D2169" t="b">
        <f>IFERROR(VLOOKUP(B2169,PatData!$A$2:$A$2000,1,),"")&lt;&gt;""</f>
        <v>0</v>
      </c>
      <c r="E2169" t="s">
        <v>149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3741</v>
      </c>
      <c r="B2170" t="s">
        <v>3777</v>
      </c>
      <c r="D2170" t="b">
        <f>IFERROR(VLOOKUP(B2170,PatData!$A$2:$A$2000,1,),"")&lt;&gt;""</f>
        <v>0</v>
      </c>
      <c r="E2170" t="s">
        <v>7606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3742</v>
      </c>
      <c r="B2171" t="s">
        <v>3778</v>
      </c>
      <c r="D2171" t="b">
        <f>IFERROR(VLOOKUP(B2171,PatData!$A$2:$A$2000,1,),"")&lt;&gt;""</f>
        <v>0</v>
      </c>
      <c r="E2171" t="s">
        <v>7275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3743</v>
      </c>
      <c r="B2172" t="s">
        <v>3779</v>
      </c>
      <c r="D2172" t="b">
        <f>IFERROR(VLOOKUP(B2172,PatData!$A$2:$A$2000,1,),"")&lt;&gt;""</f>
        <v>0</v>
      </c>
      <c r="E2172" t="s">
        <v>7276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4661</v>
      </c>
      <c r="B2173" t="s">
        <v>4652</v>
      </c>
      <c r="D2173" t="b">
        <f>IFERROR(VLOOKUP(B2173,PatData!$A$2:$A$2000,1,),"")&lt;&gt;""</f>
        <v>0</v>
      </c>
      <c r="E2173" t="s">
        <v>4653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4664</v>
      </c>
      <c r="B2174" t="s">
        <v>4655</v>
      </c>
      <c r="D2174" t="b">
        <f>IFERROR(VLOOKUP(B2174,PatData!$A$2:$A$2000,1,),"")&lt;&gt;""</f>
        <v>0</v>
      </c>
      <c r="E2174" t="s">
        <v>4656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4667</v>
      </c>
      <c r="B2175" t="s">
        <v>4657</v>
      </c>
      <c r="D2175" t="b">
        <f>IFERROR(VLOOKUP(B2175,PatData!$A$2:$A$2000,1,),"")&lt;&gt;""</f>
        <v>0</v>
      </c>
      <c r="E2175" t="s">
        <v>5655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5173</v>
      </c>
      <c r="B2176" t="s">
        <v>4659</v>
      </c>
      <c r="D2176" t="b">
        <f>IFERROR(VLOOKUP(B2176,PatData!$A$2:$A$2000,1,),"")&lt;&gt;""</f>
        <v>0</v>
      </c>
      <c r="E2176" t="s">
        <v>4660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5174</v>
      </c>
      <c r="B2177" t="s">
        <v>4662</v>
      </c>
      <c r="D2177" t="b">
        <f>IFERROR(VLOOKUP(B2177,PatData!$A$2:$A$2000,1,),"")&lt;&gt;""</f>
        <v>0</v>
      </c>
      <c r="E2177" t="s">
        <v>4663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5656</v>
      </c>
      <c r="B2178" t="s">
        <v>5657</v>
      </c>
      <c r="D2178" t="b">
        <f>IFERROR(VLOOKUP(B2178,PatData!$A$2:$A$2000,1,),"")&lt;&gt;""</f>
        <v>0</v>
      </c>
      <c r="E2178" t="s">
        <v>5658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5659</v>
      </c>
      <c r="B2179" t="s">
        <v>4665</v>
      </c>
      <c r="D2179" t="b">
        <f>IFERROR(VLOOKUP(B2179,PatData!$A$2:$A$2000,1,),"")&lt;&gt;""</f>
        <v>0</v>
      </c>
      <c r="E2179" t="s">
        <v>4666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4676</v>
      </c>
      <c r="B2180" t="s">
        <v>4668</v>
      </c>
      <c r="D2180" t="b">
        <f>IFERROR(VLOOKUP(B2180,PatData!$A$2:$A$2000,1,),"")&lt;&gt;""</f>
        <v>0</v>
      </c>
      <c r="E2180" t="s">
        <v>7607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4673</v>
      </c>
      <c r="B2181" t="s">
        <v>4669</v>
      </c>
      <c r="D2181" t="b">
        <f>IFERROR(VLOOKUP(B2181,PatData!$A$2:$A$2000,1,),"")&lt;&gt;""</f>
        <v>0</v>
      </c>
      <c r="E2181" t="s">
        <v>5660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4654</v>
      </c>
      <c r="B2182" t="s">
        <v>4671</v>
      </c>
      <c r="D2182" t="b">
        <f>IFERROR(VLOOKUP(B2182,PatData!$A$2:$A$2000,1,),"")&lt;&gt;""</f>
        <v>0</v>
      </c>
      <c r="E2182" t="s">
        <v>4672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4670</v>
      </c>
      <c r="B2183" t="s">
        <v>4674</v>
      </c>
      <c r="D2183" t="b">
        <f>IFERROR(VLOOKUP(B2183,PatData!$A$2:$A$2000,1,),"")&lt;&gt;""</f>
        <v>0</v>
      </c>
      <c r="E2183" t="s">
        <v>5661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4678</v>
      </c>
      <c r="B2184" t="s">
        <v>4675</v>
      </c>
      <c r="D2184" t="b">
        <f>IFERROR(VLOOKUP(B2184,PatData!$A$2:$A$2000,1,),"")&lt;&gt;""</f>
        <v>0</v>
      </c>
      <c r="E2184" t="s">
        <v>5662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4658</v>
      </c>
      <c r="B2185" t="s">
        <v>4677</v>
      </c>
      <c r="D2185" t="b">
        <f>IFERROR(VLOOKUP(B2185,PatData!$A$2:$A$2000,1,),"")&lt;&gt;""</f>
        <v>0</v>
      </c>
      <c r="E2185" t="s">
        <v>7608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5663</v>
      </c>
      <c r="B2186" t="s">
        <v>4679</v>
      </c>
      <c r="D2186" t="b">
        <f>IFERROR(VLOOKUP(B2186,PatData!$A$2:$A$2000,1,),"")&lt;&gt;""</f>
        <v>0</v>
      </c>
      <c r="E2186" t="s">
        <v>4680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3246</v>
      </c>
      <c r="B2187" t="s">
        <v>4781</v>
      </c>
      <c r="D2187" t="b">
        <f>IFERROR(VLOOKUP(B2187,PatData!$A$2:$A$2000,1,),"")&lt;&gt;""</f>
        <v>0</v>
      </c>
      <c r="E2187" t="s">
        <v>4779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3247</v>
      </c>
      <c r="B2188" t="s">
        <v>4784</v>
      </c>
      <c r="D2188" t="b">
        <f>IFERROR(VLOOKUP(B2188,PatData!$A$2:$A$2000,1,),"")&lt;&gt;""</f>
        <v>0</v>
      </c>
      <c r="E2188" t="s">
        <v>2802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3248</v>
      </c>
      <c r="B2189" t="s">
        <v>4782</v>
      </c>
      <c r="D2189" t="b">
        <f>IFERROR(VLOOKUP(B2189,PatData!$A$2:$A$2000,1,),"")&lt;&gt;""</f>
        <v>0</v>
      </c>
      <c r="E2189" t="s">
        <v>2803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3249</v>
      </c>
      <c r="B2190" t="s">
        <v>4783</v>
      </c>
      <c r="D2190" t="b">
        <f>IFERROR(VLOOKUP(B2190,PatData!$A$2:$A$2000,1,),"")&lt;&gt;""</f>
        <v>0</v>
      </c>
      <c r="E2190" t="s">
        <v>2804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4791</v>
      </c>
      <c r="B2191" t="s">
        <v>4792</v>
      </c>
      <c r="D2191" t="b">
        <f>IFERROR(VLOOKUP(B2191,PatData!$A$2:$A$2000,1,),"")&lt;&gt;""</f>
        <v>0</v>
      </c>
      <c r="E2191" t="s">
        <v>4793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4794</v>
      </c>
      <c r="B2192" t="s">
        <v>4795</v>
      </c>
      <c r="D2192" t="b">
        <f>IFERROR(VLOOKUP(B2192,PatData!$A$2:$A$2000,1,),"")&lt;&gt;""</f>
        <v>0</v>
      </c>
      <c r="E2192" t="s">
        <v>4796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4797</v>
      </c>
      <c r="B2193" t="s">
        <v>4798</v>
      </c>
      <c r="D2193" t="b">
        <f>IFERROR(VLOOKUP(B2193,PatData!$A$2:$A$2000,1,),"")&lt;&gt;""</f>
        <v>0</v>
      </c>
      <c r="E2193" t="s">
        <v>4799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4800</v>
      </c>
      <c r="B2194" t="s">
        <v>4801</v>
      </c>
      <c r="D2194" t="b">
        <f>IFERROR(VLOOKUP(B2194,PatData!$A$2:$A$2000,1,),"")&lt;&gt;""</f>
        <v>0</v>
      </c>
      <c r="E2194" t="s">
        <v>4802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4803</v>
      </c>
      <c r="B2195" t="s">
        <v>4804</v>
      </c>
      <c r="D2195" t="b">
        <f>IFERROR(VLOOKUP(B2195,PatData!$A$2:$A$2000,1,),"")&lt;&gt;""</f>
        <v>0</v>
      </c>
      <c r="E2195" t="s">
        <v>4805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4806</v>
      </c>
      <c r="B2196" t="s">
        <v>4807</v>
      </c>
      <c r="D2196" t="b">
        <f>IFERROR(VLOOKUP(B2196,PatData!$A$2:$A$2000,1,),"")&lt;&gt;""</f>
        <v>0</v>
      </c>
      <c r="E2196" t="s">
        <v>4808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4809</v>
      </c>
      <c r="B2197" t="s">
        <v>4810</v>
      </c>
      <c r="D2197" t="b">
        <f>IFERROR(VLOOKUP(B2197,PatData!$A$2:$A$2000,1,),"")&lt;&gt;""</f>
        <v>0</v>
      </c>
      <c r="E2197" t="s">
        <v>4811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4812</v>
      </c>
      <c r="B2198" t="s">
        <v>4813</v>
      </c>
      <c r="D2198" t="b">
        <f>IFERROR(VLOOKUP(B2198,PatData!$A$2:$A$2000,1,),"")&lt;&gt;""</f>
        <v>0</v>
      </c>
      <c r="E2198" t="s">
        <v>4814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4815</v>
      </c>
      <c r="B2199" t="s">
        <v>4816</v>
      </c>
      <c r="D2199" t="b">
        <f>IFERROR(VLOOKUP(B2199,PatData!$A$2:$A$2000,1,),"")&lt;&gt;""</f>
        <v>0</v>
      </c>
      <c r="E2199" t="s">
        <v>4817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4818</v>
      </c>
      <c r="B2200" t="s">
        <v>4819</v>
      </c>
      <c r="D2200" t="b">
        <f>IFERROR(VLOOKUP(B2200,PatData!$A$2:$A$2000,1,),"")&lt;&gt;""</f>
        <v>0</v>
      </c>
      <c r="E2200" t="s">
        <v>4820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3501</v>
      </c>
      <c r="B2201" t="s">
        <v>5037</v>
      </c>
      <c r="D2201" t="b">
        <f>IFERROR(VLOOKUP(B2201,PatData!$A$2:$A$2000,1,),"")&lt;&gt;""</f>
        <v>0</v>
      </c>
      <c r="E2201" t="s">
        <v>5038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5039</v>
      </c>
      <c r="B2202" t="s">
        <v>5040</v>
      </c>
      <c r="D2202" t="b">
        <f>IFERROR(VLOOKUP(B2202,PatData!$A$2:$A$2000,1,),"")&lt;&gt;""</f>
        <v>0</v>
      </c>
      <c r="E2202" t="s">
        <v>5041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5042</v>
      </c>
      <c r="B2203" t="s">
        <v>5043</v>
      </c>
      <c r="D2203" t="b">
        <f>IFERROR(VLOOKUP(B2203,PatData!$A$2:$A$2000,1,),"")&lt;&gt;""</f>
        <v>0</v>
      </c>
      <c r="E2203" t="s">
        <v>5044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5045</v>
      </c>
      <c r="B2204" t="s">
        <v>5046</v>
      </c>
      <c r="D2204" t="b">
        <f>IFERROR(VLOOKUP(B2204,PatData!$A$2:$A$2000,1,),"")&lt;&gt;""</f>
        <v>0</v>
      </c>
      <c r="E2204" t="s">
        <v>5047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5048</v>
      </c>
      <c r="B2205" t="s">
        <v>5049</v>
      </c>
      <c r="D2205" t="b">
        <f>IFERROR(VLOOKUP(B2205,PatData!$A$2:$A$2000,1,),"")&lt;&gt;""</f>
        <v>0</v>
      </c>
      <c r="E2205" t="s">
        <v>5050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5051</v>
      </c>
      <c r="B2206" t="s">
        <v>5052</v>
      </c>
      <c r="D2206" t="b">
        <f>IFERROR(VLOOKUP(B2206,PatData!$A$2:$A$2000,1,),"")&lt;&gt;""</f>
        <v>0</v>
      </c>
      <c r="E2206" t="s">
        <v>5053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5175</v>
      </c>
      <c r="B2207" t="s">
        <v>1721</v>
      </c>
      <c r="D2207" t="b">
        <f>IFERROR(VLOOKUP(B2207,PatData!$A$2:$A$2000,1,),"")&lt;&gt;""</f>
        <v>0</v>
      </c>
      <c r="E2207" t="s">
        <v>1726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5054</v>
      </c>
      <c r="B2208" t="s">
        <v>5055</v>
      </c>
      <c r="D2208" t="b">
        <f>IFERROR(VLOOKUP(B2208,PatData!$A$2:$A$2000,1,),"")&lt;&gt;""</f>
        <v>0</v>
      </c>
      <c r="E2208" t="s">
        <v>7277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5664</v>
      </c>
      <c r="B2209" t="s">
        <v>1707</v>
      </c>
      <c r="D2209" t="b">
        <f>IFERROR(VLOOKUP(B2209,PatData!$A$2:$A$2000,1,),"")&lt;&gt;""</f>
        <v>0</v>
      </c>
      <c r="E2209"/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5850</v>
      </c>
      <c r="B2210" t="s">
        <v>5851</v>
      </c>
      <c r="D2210" t="b">
        <f>IFERROR(VLOOKUP(B2210,PatData!$A$2:$A$2000,1,),"")&lt;&gt;""</f>
        <v>0</v>
      </c>
      <c r="E2210" t="s">
        <v>5852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5853</v>
      </c>
      <c r="B2211" t="s">
        <v>5854</v>
      </c>
      <c r="D2211" t="b">
        <f>IFERROR(VLOOKUP(B2211,PatData!$A$2:$A$2000,1,),"")&lt;&gt;""</f>
        <v>0</v>
      </c>
      <c r="E2211" t="s">
        <v>5855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5856</v>
      </c>
      <c r="B2212" t="s">
        <v>5857</v>
      </c>
      <c r="D2212" t="b">
        <f>IFERROR(VLOOKUP(B2212,PatData!$A$2:$A$2000,1,),"")&lt;&gt;""</f>
        <v>0</v>
      </c>
      <c r="E2212" t="s">
        <v>5858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5859</v>
      </c>
      <c r="B2213" t="s">
        <v>5860</v>
      </c>
      <c r="D2213" t="b">
        <f>IFERROR(VLOOKUP(B2213,PatData!$A$2:$A$2000,1,),"")&lt;&gt;""</f>
        <v>0</v>
      </c>
      <c r="E2213" t="s">
        <v>5861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5862</v>
      </c>
      <c r="B2214" t="s">
        <v>5863</v>
      </c>
      <c r="D2214" t="b">
        <f>IFERROR(VLOOKUP(B2214,PatData!$A$2:$A$2000,1,),"")&lt;&gt;""</f>
        <v>0</v>
      </c>
      <c r="E2214" t="s">
        <v>5864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5865</v>
      </c>
      <c r="B2215" t="s">
        <v>5866</v>
      </c>
      <c r="D2215" t="b">
        <f>IFERROR(VLOOKUP(B2215,PatData!$A$2:$A$2000,1,),"")&lt;&gt;""</f>
        <v>0</v>
      </c>
      <c r="E2215" t="s">
        <v>5867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5868</v>
      </c>
      <c r="B2216" t="s">
        <v>5869</v>
      </c>
      <c r="D2216" t="b">
        <f>IFERROR(VLOOKUP(B2216,PatData!$A$2:$A$2000,1,),"")&lt;&gt;""</f>
        <v>0</v>
      </c>
      <c r="E2216" t="s">
        <v>5870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5871</v>
      </c>
      <c r="B2217" t="s">
        <v>5872</v>
      </c>
      <c r="D2217" t="b">
        <f>IFERROR(VLOOKUP(B2217,PatData!$A$2:$A$2000,1,),"")&lt;&gt;""</f>
        <v>0</v>
      </c>
      <c r="E2217" t="s">
        <v>5873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5874</v>
      </c>
      <c r="B2218" t="s">
        <v>5875</v>
      </c>
      <c r="D2218" t="b">
        <f>IFERROR(VLOOKUP(B2218,PatData!$A$2:$A$2000,1,),"")&lt;&gt;""</f>
        <v>0</v>
      </c>
      <c r="E2218" t="s">
        <v>5876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5877</v>
      </c>
      <c r="B2219" t="s">
        <v>5878</v>
      </c>
      <c r="D2219" t="b">
        <f>IFERROR(VLOOKUP(B2219,PatData!$A$2:$A$2000,1,),"")&lt;&gt;""</f>
        <v>0</v>
      </c>
      <c r="E2219" t="s">
        <v>5879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5880</v>
      </c>
      <c r="B2220" t="s">
        <v>5881</v>
      </c>
      <c r="D2220" t="b">
        <f>IFERROR(VLOOKUP(B2220,PatData!$A$2:$A$2000,1,),"")&lt;&gt;""</f>
        <v>0</v>
      </c>
      <c r="E2220" t="s">
        <v>5882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5883</v>
      </c>
      <c r="B2221" t="s">
        <v>5884</v>
      </c>
      <c r="D2221" t="b">
        <f>IFERROR(VLOOKUP(B2221,PatData!$A$2:$A$2000,1,),"")&lt;&gt;""</f>
        <v>0</v>
      </c>
      <c r="E2221" t="s">
        <v>5885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5886</v>
      </c>
      <c r="B2222" t="s">
        <v>5887</v>
      </c>
      <c r="D2222" t="b">
        <f>IFERROR(VLOOKUP(B2222,PatData!$A$2:$A$2000,1,),"")&lt;&gt;""</f>
        <v>0</v>
      </c>
      <c r="E2222" t="s">
        <v>5888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5889</v>
      </c>
      <c r="B2223" t="s">
        <v>5890</v>
      </c>
      <c r="D2223" t="b">
        <f>IFERROR(VLOOKUP(B2223,PatData!$A$2:$A$2000,1,),"")&lt;&gt;""</f>
        <v>0</v>
      </c>
      <c r="E2223" t="s">
        <v>5891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5892</v>
      </c>
      <c r="B2224" t="s">
        <v>5893</v>
      </c>
      <c r="D2224" t="b">
        <f>IFERROR(VLOOKUP(B2224,PatData!$A$2:$A$2000,1,),"")&lt;&gt;""</f>
        <v>0</v>
      </c>
      <c r="E2224" t="s">
        <v>5894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5895</v>
      </c>
      <c r="B2225" t="s">
        <v>5896</v>
      </c>
      <c r="D2225" t="b">
        <f>IFERROR(VLOOKUP(B2225,PatData!$A$2:$A$2000,1,),"")&lt;&gt;""</f>
        <v>0</v>
      </c>
      <c r="E2225" t="s">
        <v>5897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5898</v>
      </c>
      <c r="B2226" t="s">
        <v>5899</v>
      </c>
      <c r="D2226" t="b">
        <f>IFERROR(VLOOKUP(B2226,PatData!$A$2:$A$2000,1,),"")&lt;&gt;""</f>
        <v>0</v>
      </c>
      <c r="E2226" t="s">
        <v>5900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5901</v>
      </c>
      <c r="B2227" t="s">
        <v>5902</v>
      </c>
      <c r="D2227" t="b">
        <f>IFERROR(VLOOKUP(B2227,PatData!$A$2:$A$2000,1,),"")&lt;&gt;""</f>
        <v>0</v>
      </c>
      <c r="E2227" t="s">
        <v>5903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5904</v>
      </c>
      <c r="B2228" t="s">
        <v>5905</v>
      </c>
      <c r="D2228" t="b">
        <f>IFERROR(VLOOKUP(B2228,PatData!$A$2:$A$2000,1,),"")&lt;&gt;""</f>
        <v>0</v>
      </c>
      <c r="E2228" t="s">
        <v>5906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5907</v>
      </c>
      <c r="B2229" t="s">
        <v>5908</v>
      </c>
      <c r="D2229" t="b">
        <f>IFERROR(VLOOKUP(B2229,PatData!$A$2:$A$2000,1,),"")&lt;&gt;""</f>
        <v>0</v>
      </c>
      <c r="E2229" t="s">
        <v>5909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5910</v>
      </c>
      <c r="B2230" t="s">
        <v>5911</v>
      </c>
      <c r="D2230" t="b">
        <f>IFERROR(VLOOKUP(B2230,PatData!$A$2:$A$2000,1,),"")&lt;&gt;""</f>
        <v>0</v>
      </c>
      <c r="E2230" t="s">
        <v>5912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5913</v>
      </c>
      <c r="B2231" t="s">
        <v>5914</v>
      </c>
      <c r="D2231" t="b">
        <f>IFERROR(VLOOKUP(B2231,PatData!$A$2:$A$2000,1,),"")&lt;&gt;""</f>
        <v>0</v>
      </c>
      <c r="E2231" t="s">
        <v>5915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5916</v>
      </c>
      <c r="B2232" t="s">
        <v>5917</v>
      </c>
      <c r="D2232" t="b">
        <f>IFERROR(VLOOKUP(B2232,PatData!$A$2:$A$2000,1,),"")&lt;&gt;""</f>
        <v>0</v>
      </c>
      <c r="E2232" t="s">
        <v>5918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5919</v>
      </c>
      <c r="B2233" t="s">
        <v>5920</v>
      </c>
      <c r="D2233" t="b">
        <f>IFERROR(VLOOKUP(B2233,PatData!$A$2:$A$2000,1,),"")&lt;&gt;""</f>
        <v>0</v>
      </c>
      <c r="E2233" t="s">
        <v>5921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5922</v>
      </c>
      <c r="B2234" t="s">
        <v>5923</v>
      </c>
      <c r="D2234" t="b">
        <f>IFERROR(VLOOKUP(B2234,PatData!$A$2:$A$2000,1,),"")&lt;&gt;""</f>
        <v>0</v>
      </c>
      <c r="E2234" t="s">
        <v>5924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5925</v>
      </c>
      <c r="B2235" t="s">
        <v>5926</v>
      </c>
      <c r="D2235" t="b">
        <f>IFERROR(VLOOKUP(B2235,PatData!$A$2:$A$2000,1,),"")&lt;&gt;""</f>
        <v>0</v>
      </c>
      <c r="E2235" t="s">
        <v>5927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5928</v>
      </c>
      <c r="B2236" t="s">
        <v>5929</v>
      </c>
      <c r="D2236" t="b">
        <f>IFERROR(VLOOKUP(B2236,PatData!$A$2:$A$2000,1,),"")&lt;&gt;""</f>
        <v>0</v>
      </c>
      <c r="E2236" t="s">
        <v>5930</v>
      </c>
      <c r="F2236" t="b">
        <v>1</v>
      </c>
      <c r="G2236" t="b">
        <v>0</v>
      </c>
      <c r="H2236" t="b">
        <v>0</v>
      </c>
      <c r="I2236" t="b">
        <v>0</v>
      </c>
    </row>
    <row r="2237" spans="1:9" x14ac:dyDescent="0.2">
      <c r="A2237" t="s">
        <v>5931</v>
      </c>
      <c r="B2237" t="s">
        <v>5932</v>
      </c>
      <c r="D2237" t="b">
        <f>IFERROR(VLOOKUP(B2237,PatData!$A$2:$A$2000,1,),"")&lt;&gt;""</f>
        <v>0</v>
      </c>
      <c r="E2237" t="s">
        <v>5933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5934</v>
      </c>
      <c r="B2238" t="s">
        <v>5935</v>
      </c>
      <c r="D2238" t="b">
        <f>IFERROR(VLOOKUP(B2238,PatData!$A$2:$A$2000,1,),"")&lt;&gt;""</f>
        <v>0</v>
      </c>
      <c r="E2238" t="s">
        <v>5936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5937</v>
      </c>
      <c r="B2239" t="s">
        <v>5938</v>
      </c>
      <c r="D2239" t="b">
        <f>IFERROR(VLOOKUP(B2239,PatData!$A$2:$A$2000,1,),"")&lt;&gt;""</f>
        <v>0</v>
      </c>
      <c r="E2239" t="s">
        <v>5939</v>
      </c>
      <c r="F2239" t="b">
        <v>1</v>
      </c>
      <c r="G2239" t="b">
        <v>0</v>
      </c>
      <c r="H2239" t="b">
        <v>0</v>
      </c>
      <c r="I2239" t="b">
        <v>0</v>
      </c>
    </row>
    <row r="2240" spans="1:9" x14ac:dyDescent="0.2">
      <c r="A2240" t="s">
        <v>1221</v>
      </c>
      <c r="B2240" t="s">
        <v>1718</v>
      </c>
      <c r="D2240" t="b">
        <f>IFERROR(VLOOKUP(B2240,PatData!$A$2:$A$2000,1,),"")&lt;&gt;""</f>
        <v>0</v>
      </c>
      <c r="E2240" t="s">
        <v>4777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1222</v>
      </c>
      <c r="B2241" t="s">
        <v>1719</v>
      </c>
      <c r="D2241" t="b">
        <f>IFERROR(VLOOKUP(B2241,PatData!$A$2:$A$2000,1,),"")&lt;&gt;""</f>
        <v>0</v>
      </c>
      <c r="E2241" t="s">
        <v>2799</v>
      </c>
      <c r="F2241" t="b">
        <v>1</v>
      </c>
      <c r="G2241" t="b">
        <v>0</v>
      </c>
      <c r="H2241" t="b">
        <v>0</v>
      </c>
      <c r="I2241" t="b">
        <v>0</v>
      </c>
    </row>
    <row r="2242" spans="1:9" x14ac:dyDescent="0.2">
      <c r="A2242" t="s">
        <v>1223</v>
      </c>
      <c r="B2242" t="s">
        <v>1720</v>
      </c>
      <c r="D2242" t="b">
        <f>IFERROR(VLOOKUP(B2242,PatData!$A$2:$A$2000,1,),"")&lt;&gt;""</f>
        <v>0</v>
      </c>
      <c r="E2242" t="s">
        <v>4778</v>
      </c>
      <c r="F2242" t="b">
        <v>1</v>
      </c>
      <c r="G2242" t="b">
        <v>0</v>
      </c>
      <c r="H2242" t="b">
        <v>0</v>
      </c>
      <c r="I2242" t="b">
        <v>0</v>
      </c>
    </row>
    <row r="2243" spans="1:9" x14ac:dyDescent="0.2">
      <c r="A2243" t="s">
        <v>923</v>
      </c>
      <c r="B2243" t="s">
        <v>1704</v>
      </c>
      <c r="D2243" t="b">
        <f>IFERROR(VLOOKUP(B2243,PatData!$A$2:$A$2000,1,),"")&lt;&gt;""</f>
        <v>0</v>
      </c>
      <c r="E2243" t="s">
        <v>2800</v>
      </c>
      <c r="F2243" t="b">
        <v>1</v>
      </c>
      <c r="G2243" t="b">
        <v>0</v>
      </c>
      <c r="H2243" t="b">
        <v>0</v>
      </c>
      <c r="I2243" t="b">
        <v>0</v>
      </c>
    </row>
    <row r="2244" spans="1:9" ht="140.25" x14ac:dyDescent="0.2">
      <c r="A2244" t="s">
        <v>924</v>
      </c>
      <c r="B2244" t="s">
        <v>1705</v>
      </c>
      <c r="D2244" t="b">
        <f>IFERROR(VLOOKUP(B2244,PatData!$A$2:$A$2000,1,),"")&lt;&gt;""</f>
        <v>0</v>
      </c>
      <c r="E2244" s="9" t="s">
        <v>7087</v>
      </c>
      <c r="F2244" t="b">
        <v>1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4339</v>
      </c>
      <c r="B2245" t="s">
        <v>1706</v>
      </c>
      <c r="D2245" t="b">
        <f>IFERROR(VLOOKUP(B2245,PatData!$A$2:$A$2000,1,),"")&lt;&gt;""</f>
        <v>0</v>
      </c>
      <c r="E2245" t="s">
        <v>4213</v>
      </c>
      <c r="F2245" t="b">
        <v>1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3145</v>
      </c>
      <c r="B2246" t="s">
        <v>3960</v>
      </c>
      <c r="D2246" t="b">
        <f>IFERROR(VLOOKUP(B2246,PatData!$A$2:$A$2000,1,),"")&lt;&gt;""</f>
        <v>0</v>
      </c>
      <c r="E2246">
        <v>0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5176</v>
      </c>
      <c r="B2247" t="s">
        <v>5177</v>
      </c>
      <c r="D2247" t="b">
        <f>IFERROR(VLOOKUP(B2247,PatData!$A$2:$A$2000,1,),"")&lt;&gt;""</f>
        <v>0</v>
      </c>
      <c r="E2247" t="s">
        <v>7609</v>
      </c>
      <c r="F2247" t="b">
        <v>1</v>
      </c>
      <c r="G2247" t="b">
        <v>0</v>
      </c>
      <c r="H2247" t="b">
        <v>0</v>
      </c>
      <c r="I2247" t="b">
        <v>0</v>
      </c>
    </row>
    <row r="2248" spans="1:9" x14ac:dyDescent="0.2">
      <c r="A2248" t="s">
        <v>3146</v>
      </c>
      <c r="B2248" t="s">
        <v>4340</v>
      </c>
      <c r="D2248" t="b">
        <f>IFERROR(VLOOKUP(B2248,PatData!$A$2:$A$2000,1,),"")&lt;&gt;""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3147</v>
      </c>
      <c r="B2249" t="s">
        <v>4341</v>
      </c>
      <c r="D2249" t="b">
        <f>IFERROR(VLOOKUP(B2249,PatData!$A$2:$A$2000,1,),"")&lt;&gt;""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4342</v>
      </c>
      <c r="B2250" t="s">
        <v>4343</v>
      </c>
      <c r="D2250" t="b">
        <f>IFERROR(VLOOKUP(B2250,PatData!$A$2:$A$2000,1,),"")&lt;&gt;""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4344</v>
      </c>
      <c r="B2251" t="s">
        <v>4345</v>
      </c>
      <c r="D2251" t="b">
        <f>IFERROR(VLOOKUP(B2251,PatData!$A$2:$A$2000,1,),"")&lt;&gt;""</f>
        <v>0</v>
      </c>
      <c r="E2251">
        <v>1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4346</v>
      </c>
      <c r="B2252" t="s">
        <v>4347</v>
      </c>
      <c r="D2252" t="b">
        <f>IFERROR(VLOOKUP(B2252,PatData!$A$2:$A$2000,1,),"")&lt;&gt;""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3148</v>
      </c>
      <c r="B2253" t="s">
        <v>4348</v>
      </c>
      <c r="D2253" t="b">
        <f>IFERROR(VLOOKUP(B2253,PatData!$A$2:$A$2000,1,),"")&lt;&gt;""</f>
        <v>0</v>
      </c>
      <c r="E2253">
        <v>1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4217</v>
      </c>
      <c r="B2254" t="s">
        <v>4349</v>
      </c>
      <c r="D2254" t="b">
        <f>IFERROR(VLOOKUP(B2254,PatData!$A$2:$A$2000,1,),"")&lt;&gt;""</f>
        <v>0</v>
      </c>
      <c r="E2254">
        <v>1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4350</v>
      </c>
      <c r="B2255" t="s">
        <v>4351</v>
      </c>
      <c r="D2255" t="b">
        <f>IFERROR(VLOOKUP(B2255,PatData!$A$2:$A$2000,1,),"")&lt;&gt;""</f>
        <v>0</v>
      </c>
      <c r="E2255">
        <v>1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4352</v>
      </c>
      <c r="B2256" t="s">
        <v>4353</v>
      </c>
      <c r="D2256" t="b">
        <f>IFERROR(VLOOKUP(B2256,PatData!$A$2:$A$2000,1,),"")&lt;&gt;""</f>
        <v>0</v>
      </c>
      <c r="E2256">
        <v>1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4354</v>
      </c>
      <c r="B2257" t="s">
        <v>4355</v>
      </c>
      <c r="D2257" t="b">
        <f>IFERROR(VLOOKUP(B2257,PatData!$A$2:$A$2000,1,),"")&lt;&gt;""</f>
        <v>0</v>
      </c>
      <c r="E2257">
        <v>1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3149</v>
      </c>
      <c r="B2258" t="s">
        <v>4356</v>
      </c>
      <c r="D2258" t="b">
        <f>IFERROR(VLOOKUP(B2258,PatData!$A$2:$A$2000,1,),"")&lt;&gt;""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3150</v>
      </c>
      <c r="B2259" t="s">
        <v>4357</v>
      </c>
      <c r="D2259" t="b">
        <f>IFERROR(VLOOKUP(B2259,PatData!$A$2:$A$2000,1,),"")&lt;&gt;""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4358</v>
      </c>
      <c r="B2260" t="s">
        <v>4359</v>
      </c>
      <c r="D2260" t="b">
        <f>IFERROR(VLOOKUP(B2260,PatData!$A$2:$A$2000,1,),"")&lt;&gt;""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4360</v>
      </c>
      <c r="B2261" t="s">
        <v>4361</v>
      </c>
      <c r="D2261" t="b">
        <f>IFERROR(VLOOKUP(B2261,PatData!$A$2:$A$2000,1,),"")&lt;&gt;""</f>
        <v>0</v>
      </c>
      <c r="E2261">
        <v>0</v>
      </c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4362</v>
      </c>
      <c r="B2262" t="s">
        <v>4363</v>
      </c>
      <c r="D2262" t="b">
        <f>IFERROR(VLOOKUP(B2262,PatData!$A$2:$A$2000,1,),"")&lt;&gt;""</f>
        <v>0</v>
      </c>
      <c r="E2262">
        <v>0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4364</v>
      </c>
      <c r="B2263" t="s">
        <v>4365</v>
      </c>
      <c r="D2263" t="b">
        <f>IFERROR(VLOOKUP(B2263,PatData!$A$2:$A$2000,1,),"")&lt;&gt;""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4366</v>
      </c>
      <c r="B2264" t="s">
        <v>4367</v>
      </c>
      <c r="D2264" t="b">
        <f>IFERROR(VLOOKUP(B2264,PatData!$A$2:$A$2000,1,),"")&lt;&gt;""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4368</v>
      </c>
      <c r="B2265" t="s">
        <v>4369</v>
      </c>
      <c r="D2265" t="b">
        <f>IFERROR(VLOOKUP(B2265,PatData!$A$2:$A$2000,1,),"")&lt;&gt;""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4370</v>
      </c>
      <c r="B2266" t="s">
        <v>4371</v>
      </c>
      <c r="D2266" t="b">
        <f>IFERROR(VLOOKUP(B2266,PatData!$A$2:$A$2000,1,),"")&lt;&gt;""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4372</v>
      </c>
      <c r="B2267" t="s">
        <v>4373</v>
      </c>
      <c r="D2267" t="b">
        <f>IFERROR(VLOOKUP(B2267,PatData!$A$2:$A$2000,1,),"")&lt;&gt;""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4374</v>
      </c>
      <c r="B2268" t="s">
        <v>3961</v>
      </c>
      <c r="D2268" t="b">
        <f>IFERROR(VLOOKUP(B2268,PatData!$A$2:$A$2000,1,),"")&lt;&gt;""</f>
        <v>0</v>
      </c>
      <c r="E2268"/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4375</v>
      </c>
      <c r="B2269" t="s">
        <v>3962</v>
      </c>
      <c r="D2269" t="b">
        <f>IFERROR(VLOOKUP(B2269,PatData!$A$2:$A$2000,1,),"")&lt;&gt;""</f>
        <v>0</v>
      </c>
      <c r="E2269"/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3152</v>
      </c>
      <c r="B2270" t="s">
        <v>4376</v>
      </c>
      <c r="D2270" t="b">
        <f>IFERROR(VLOOKUP(B2270,PatData!$A$2:$A$2000,1,),"")&lt;&gt;""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3153</v>
      </c>
      <c r="B2271" t="s">
        <v>4377</v>
      </c>
      <c r="D2271" t="b">
        <f>IFERROR(VLOOKUP(B2271,PatData!$A$2:$A$2000,1,),"")&lt;&gt;""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4378</v>
      </c>
      <c r="B2272" t="s">
        <v>4379</v>
      </c>
      <c r="D2272" t="b">
        <f>IFERROR(VLOOKUP(B2272,PatData!$A$2:$A$2000,1,),"")&lt;&gt;""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4380</v>
      </c>
      <c r="B2273" t="s">
        <v>4381</v>
      </c>
      <c r="D2273" t="b">
        <f>IFERROR(VLOOKUP(B2273,PatData!$A$2:$A$2000,1,),"")&lt;&gt;""</f>
        <v>0</v>
      </c>
      <c r="E2273">
        <v>0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4382</v>
      </c>
      <c r="B2274" t="s">
        <v>4383</v>
      </c>
      <c r="D2274" t="b">
        <f>IFERROR(VLOOKUP(B2274,PatData!$A$2:$A$2000,1,),"")&lt;&gt;""</f>
        <v>0</v>
      </c>
      <c r="E2274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4384</v>
      </c>
      <c r="B2275" t="s">
        <v>4385</v>
      </c>
      <c r="D2275" t="b">
        <f>IFERROR(VLOOKUP(B2275,PatData!$A$2:$A$2000,1,),"")&lt;&gt;""</f>
        <v>0</v>
      </c>
      <c r="E2275">
        <v>0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4386</v>
      </c>
      <c r="B2276" t="s">
        <v>4387</v>
      </c>
      <c r="D2276" t="b">
        <f>IFERROR(VLOOKUP(B2276,PatData!$A$2:$A$2000,1,),"")&lt;&gt;""</f>
        <v>0</v>
      </c>
      <c r="E2276">
        <v>0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4388</v>
      </c>
      <c r="B2277" t="s">
        <v>4389</v>
      </c>
      <c r="D2277" t="b">
        <f>IFERROR(VLOOKUP(B2277,PatData!$A$2:$A$2000,1,),"")&lt;&gt;""</f>
        <v>0</v>
      </c>
      <c r="E2277">
        <v>0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4230</v>
      </c>
      <c r="B2278" t="s">
        <v>4390</v>
      </c>
      <c r="D2278" t="b">
        <f>IFERROR(VLOOKUP(B2278,PatData!$A$2:$A$2000,1,),"")&lt;&gt;""</f>
        <v>0</v>
      </c>
      <c r="E2278">
        <v>0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4229</v>
      </c>
      <c r="B2279" t="s">
        <v>4391</v>
      </c>
      <c r="D2279" t="b">
        <f>IFERROR(VLOOKUP(B2279,PatData!$A$2:$A$2000,1,),"")&lt;&gt;""</f>
        <v>0</v>
      </c>
      <c r="E2279">
        <v>0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3154</v>
      </c>
      <c r="B2280" t="s">
        <v>3963</v>
      </c>
      <c r="D2280" t="b">
        <f>IFERROR(VLOOKUP(B2280,PatData!$A$2:$A$2000,1,),"")&lt;&gt;""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3155</v>
      </c>
      <c r="B2281" t="s">
        <v>3964</v>
      </c>
      <c r="D2281" t="b">
        <f>IFERROR(VLOOKUP(B2281,PatData!$A$2:$A$2000,1,),"")&lt;&gt;""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3156</v>
      </c>
      <c r="B2282" t="s">
        <v>3965</v>
      </c>
      <c r="D2282" t="b">
        <f>IFERROR(VLOOKUP(B2282,PatData!$A$2:$A$2000,1,),"")&lt;&gt;""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3157</v>
      </c>
      <c r="B2283" t="s">
        <v>3966</v>
      </c>
      <c r="D2283" t="b">
        <f>IFERROR(VLOOKUP(B2283,PatData!$A$2:$A$2000,1,),"")&lt;&gt;""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3158</v>
      </c>
      <c r="B2284" t="s">
        <v>3967</v>
      </c>
      <c r="D2284" t="b">
        <f>IFERROR(VLOOKUP(B2284,PatData!$A$2:$A$2000,1,),"")&lt;&gt;""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4392</v>
      </c>
      <c r="B2285" t="s">
        <v>3968</v>
      </c>
      <c r="D2285" t="b">
        <f>IFERROR(VLOOKUP(B2285,PatData!$A$2:$A$2000,1,),"")&lt;&gt;""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4393</v>
      </c>
      <c r="B2286" t="s">
        <v>3969</v>
      </c>
      <c r="D2286" t="b">
        <f>IFERROR(VLOOKUP(B2286,PatData!$A$2:$A$2000,1,),"")&lt;&gt;""</f>
        <v>0</v>
      </c>
      <c r="E2286">
        <v>1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4394</v>
      </c>
      <c r="B2287" t="s">
        <v>3970</v>
      </c>
      <c r="D2287" t="b">
        <f>IFERROR(VLOOKUP(B2287,PatData!$A$2:$A$2000,1,),"")&lt;&gt;""</f>
        <v>0</v>
      </c>
      <c r="E2287">
        <v>1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4395</v>
      </c>
      <c r="B2288" t="s">
        <v>3971</v>
      </c>
      <c r="D2288" t="b">
        <f>IFERROR(VLOOKUP(B2288,PatData!$A$2:$A$2000,1,),"")&lt;&gt;""</f>
        <v>0</v>
      </c>
      <c r="E2288">
        <v>1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4396</v>
      </c>
      <c r="B2289" t="s">
        <v>3972</v>
      </c>
      <c r="D2289" t="b">
        <f>IFERROR(VLOOKUP(B2289,PatData!$A$2:$A$2000,1,),"")&lt;&gt;""</f>
        <v>0</v>
      </c>
      <c r="E2289">
        <v>1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4397</v>
      </c>
      <c r="B2290" t="s">
        <v>3973</v>
      </c>
      <c r="D2290" t="b">
        <f>IFERROR(VLOOKUP(B2290,PatData!$A$2:$A$2000,1,),"")&lt;&gt;""</f>
        <v>0</v>
      </c>
      <c r="E2290">
        <v>1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4398</v>
      </c>
      <c r="B2291" t="s">
        <v>3974</v>
      </c>
      <c r="D2291" t="b">
        <f>IFERROR(VLOOKUP(B2291,PatData!$A$2:$A$2000,1,),"")&lt;&gt;""</f>
        <v>0</v>
      </c>
      <c r="E2291">
        <v>1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4399</v>
      </c>
      <c r="B2292" t="s">
        <v>4400</v>
      </c>
      <c r="D2292" t="b">
        <f>IFERROR(VLOOKUP(B2292,PatData!$A$2:$A$2000,1,),"")&lt;&gt;""</f>
        <v>0</v>
      </c>
      <c r="E2292">
        <v>1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3161</v>
      </c>
      <c r="B2293" t="s">
        <v>3975</v>
      </c>
      <c r="D2293" t="b">
        <f>IFERROR(VLOOKUP(B2293,PatData!$A$2:$A$2000,1,),"")&lt;&gt;""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3162</v>
      </c>
      <c r="B2294" t="s">
        <v>3976</v>
      </c>
      <c r="D2294" t="b">
        <f>IFERROR(VLOOKUP(B2294,PatData!$A$2:$A$2000,1,),"")&lt;&gt;""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3163</v>
      </c>
      <c r="B2295" t="s">
        <v>3977</v>
      </c>
      <c r="D2295" t="b">
        <f>IFERROR(VLOOKUP(B2295,PatData!$A$2:$A$2000,1,),"")&lt;&gt;""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3164</v>
      </c>
      <c r="B2296" t="s">
        <v>3978</v>
      </c>
      <c r="D2296" t="b">
        <f>IFERROR(VLOOKUP(B2296,PatData!$A$2:$A$2000,1,),"")&lt;&gt;""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3165</v>
      </c>
      <c r="B2297" t="s">
        <v>3979</v>
      </c>
      <c r="D2297" t="b">
        <f>IFERROR(VLOOKUP(B2297,PatData!$A$2:$A$2000,1,),"")&lt;&gt;""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4401</v>
      </c>
      <c r="B2298" t="s">
        <v>3980</v>
      </c>
      <c r="D2298" t="b">
        <f>IFERROR(VLOOKUP(B2298,PatData!$A$2:$A$2000,1,),"")&lt;&gt;""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4402</v>
      </c>
      <c r="B2299" t="s">
        <v>3981</v>
      </c>
      <c r="D2299" t="b">
        <f>IFERROR(VLOOKUP(B2299,PatData!$A$2:$A$2000,1,),"")&lt;&gt;""</f>
        <v>0</v>
      </c>
      <c r="E2299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4403</v>
      </c>
      <c r="B2300" t="s">
        <v>3982</v>
      </c>
      <c r="D2300" t="b">
        <f>IFERROR(VLOOKUP(B2300,PatData!$A$2:$A$2000,1,),"")&lt;&gt;""</f>
        <v>0</v>
      </c>
      <c r="E2300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3166</v>
      </c>
      <c r="B2301" t="s">
        <v>3983</v>
      </c>
      <c r="D2301" t="b">
        <f>IFERROR(VLOOKUP(B2301,PatData!$A$2:$A$2000,1,),"")&lt;&gt;""</f>
        <v>0</v>
      </c>
      <c r="E2301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4404</v>
      </c>
      <c r="B2302" t="s">
        <v>3984</v>
      </c>
      <c r="D2302" t="b">
        <f>IFERROR(VLOOKUP(B2302,PatData!$A$2:$A$2000,1,),"")&lt;&gt;""</f>
        <v>0</v>
      </c>
      <c r="E2302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4405</v>
      </c>
      <c r="B2303" t="s">
        <v>3985</v>
      </c>
      <c r="D2303" t="b">
        <f>IFERROR(VLOOKUP(B2303,PatData!$A$2:$A$2000,1,),"")&lt;&gt;""</f>
        <v>0</v>
      </c>
      <c r="E2303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4406</v>
      </c>
      <c r="B2304" t="s">
        <v>3986</v>
      </c>
      <c r="D2304" t="b">
        <f>IFERROR(VLOOKUP(B2304,PatData!$A$2:$A$2000,1,),"")&lt;&gt;""</f>
        <v>0</v>
      </c>
      <c r="E2304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4407</v>
      </c>
      <c r="B2305" t="s">
        <v>4408</v>
      </c>
      <c r="D2305" t="b">
        <f>IFERROR(VLOOKUP(B2305,PatData!$A$2:$A$2000,1,),"")&lt;&gt;""</f>
        <v>0</v>
      </c>
      <c r="E2305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4222</v>
      </c>
      <c r="B2306" t="s">
        <v>3987</v>
      </c>
      <c r="D2306" t="b">
        <f>IFERROR(VLOOKUP(B2306,PatData!$A$2:$A$2000,1,),"")&lt;&gt;""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4223</v>
      </c>
      <c r="B2307" t="s">
        <v>3988</v>
      </c>
      <c r="D2307" t="b">
        <f>IFERROR(VLOOKUP(B2307,PatData!$A$2:$A$2000,1,),"")&lt;&gt;""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4224</v>
      </c>
      <c r="B2308" t="s">
        <v>3989</v>
      </c>
      <c r="D2308" t="b">
        <f>IFERROR(VLOOKUP(B2308,PatData!$A$2:$A$2000,1,),"")&lt;&gt;""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4225</v>
      </c>
      <c r="B2309" t="s">
        <v>3990</v>
      </c>
      <c r="D2309" t="b">
        <f>IFERROR(VLOOKUP(B2309,PatData!$A$2:$A$2000,1,),"")&lt;&gt;""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4226</v>
      </c>
      <c r="B2310" t="s">
        <v>3991</v>
      </c>
      <c r="D2310" t="b">
        <f>IFERROR(VLOOKUP(B2310,PatData!$A$2:$A$2000,1,),"")&lt;&gt;""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4227</v>
      </c>
      <c r="B2311" t="s">
        <v>3992</v>
      </c>
      <c r="D2311" t="b">
        <f>IFERROR(VLOOKUP(B2311,PatData!$A$2:$A$2000,1,),"")&lt;&gt;""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4409</v>
      </c>
      <c r="B2312" t="s">
        <v>3993</v>
      </c>
      <c r="D2312" t="b">
        <f>IFERROR(VLOOKUP(B2312,PatData!$A$2:$A$2000,1,),"")&lt;&gt;""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4410</v>
      </c>
      <c r="B2313" t="s">
        <v>3994</v>
      </c>
      <c r="D2313" t="b">
        <f>IFERROR(VLOOKUP(B2313,PatData!$A$2:$A$2000,1,),"")&lt;&gt;""</f>
        <v>0</v>
      </c>
      <c r="E2313" t="b">
        <v>0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4411</v>
      </c>
      <c r="B2314" t="s">
        <v>3995</v>
      </c>
      <c r="D2314" t="b">
        <f>IFERROR(VLOOKUP(B2314,PatData!$A$2:$A$2000,1,),"")&lt;&gt;""</f>
        <v>0</v>
      </c>
      <c r="E2314" t="b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4412</v>
      </c>
      <c r="B2315" t="s">
        <v>3996</v>
      </c>
      <c r="D2315" t="b">
        <f>IFERROR(VLOOKUP(B2315,PatData!$A$2:$A$2000,1,),"")&lt;&gt;""</f>
        <v>0</v>
      </c>
      <c r="E2315" t="b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4413</v>
      </c>
      <c r="B2316" t="s">
        <v>3997</v>
      </c>
      <c r="D2316" t="b">
        <f>IFERROR(VLOOKUP(B2316,PatData!$A$2:$A$2000,1,),"")&lt;&gt;""</f>
        <v>0</v>
      </c>
      <c r="E2316" t="b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4414</v>
      </c>
      <c r="B2317" t="s">
        <v>3998</v>
      </c>
      <c r="D2317" t="b">
        <f>IFERROR(VLOOKUP(B2317,PatData!$A$2:$A$2000,1,),"")&lt;&gt;""</f>
        <v>0</v>
      </c>
      <c r="E2317" t="b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4415</v>
      </c>
      <c r="B2318" t="s">
        <v>3999</v>
      </c>
      <c r="D2318" t="b">
        <f>IFERROR(VLOOKUP(B2318,PatData!$A$2:$A$2000,1,),"")&lt;&gt;""</f>
        <v>0</v>
      </c>
      <c r="E2318" t="b">
        <v>0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4416</v>
      </c>
      <c r="B2319" t="s">
        <v>4000</v>
      </c>
      <c r="D2319" t="b">
        <f>IFERROR(VLOOKUP(B2319,PatData!$A$2:$A$2000,1,),"")&lt;&gt;""</f>
        <v>0</v>
      </c>
      <c r="E2319" t="b">
        <v>0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4460</v>
      </c>
      <c r="B2320" t="s">
        <v>4461</v>
      </c>
      <c r="D2320" t="b">
        <f>IFERROR(VLOOKUP(B2320,PatData!$A$2:$A$2000,1,),"")&lt;&gt;""</f>
        <v>0</v>
      </c>
      <c r="E2320">
        <v>2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4417</v>
      </c>
      <c r="B2321" t="s">
        <v>4001</v>
      </c>
      <c r="D2321" t="b">
        <f>IFERROR(VLOOKUP(B2321,PatData!$A$2:$A$2000,1,),"")&lt;&gt;""</f>
        <v>0</v>
      </c>
      <c r="E2321">
        <v>0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4418</v>
      </c>
      <c r="B2322" t="s">
        <v>4002</v>
      </c>
      <c r="D2322" t="b">
        <f>IFERROR(VLOOKUP(B2322,PatData!$A$2:$A$2000,1,),"")&lt;&gt;""</f>
        <v>0</v>
      </c>
      <c r="E2322">
        <v>0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4919</v>
      </c>
      <c r="B2323" t="s">
        <v>4003</v>
      </c>
      <c r="D2323" t="b">
        <f>IFERROR(VLOOKUP(B2323,PatData!$A$2:$A$2000,1,),"")&lt;&gt;""</f>
        <v>0</v>
      </c>
      <c r="E2323">
        <v>0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4920</v>
      </c>
      <c r="B2324" t="s">
        <v>4004</v>
      </c>
      <c r="D2324" t="b">
        <f>IFERROR(VLOOKUP(B2324,PatData!$A$2:$A$2000,1,),"")&lt;&gt;""</f>
        <v>0</v>
      </c>
      <c r="E2324">
        <v>0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4419</v>
      </c>
      <c r="B2325" t="s">
        <v>4005</v>
      </c>
      <c r="D2325" t="b">
        <f>IFERROR(VLOOKUP(B2325,PatData!$A$2:$A$2000,1,),"")&lt;&gt;""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4420</v>
      </c>
      <c r="B2326" t="s">
        <v>4006</v>
      </c>
      <c r="D2326" t="b">
        <f>IFERROR(VLOOKUP(B2326,PatData!$A$2:$A$2000,1,),"")&lt;&gt;""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4421</v>
      </c>
      <c r="B2327" t="s">
        <v>4007</v>
      </c>
      <c r="D2327" t="b">
        <f>IFERROR(VLOOKUP(B2327,PatData!$A$2:$A$2000,1,),"")&lt;&gt;""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4422</v>
      </c>
      <c r="B2328" t="s">
        <v>4008</v>
      </c>
      <c r="D2328" t="b">
        <f>IFERROR(VLOOKUP(B2328,PatData!$A$2:$A$2000,1,),"")&lt;&gt;""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4423</v>
      </c>
      <c r="B2329" t="s">
        <v>4009</v>
      </c>
      <c r="D2329" t="b">
        <f>IFERROR(VLOOKUP(B2329,PatData!$A$2:$A$2000,1,),"")&lt;&gt;""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4218</v>
      </c>
      <c r="B2330" t="s">
        <v>4010</v>
      </c>
      <c r="D2330" t="b">
        <f>IFERROR(VLOOKUP(B2330,PatData!$A$2:$A$2000,1,),"")&lt;&gt;""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4219</v>
      </c>
      <c r="B2331" t="s">
        <v>4011</v>
      </c>
      <c r="D2331" t="b">
        <f>IFERROR(VLOOKUP(B2331,PatData!$A$2:$A$2000,1,),"")&lt;&gt;""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4220</v>
      </c>
      <c r="B2332" t="s">
        <v>4012</v>
      </c>
      <c r="D2332" t="b">
        <f>IFERROR(VLOOKUP(B2332,PatData!$A$2:$A$2000,1,),"")&lt;&gt;""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4221</v>
      </c>
      <c r="B2333" t="s">
        <v>4013</v>
      </c>
      <c r="D2333" t="b">
        <f>IFERROR(VLOOKUP(B2333,PatData!$A$2:$A$2000,1,),"")&lt;&gt;""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4424</v>
      </c>
      <c r="B2334" t="s">
        <v>4014</v>
      </c>
      <c r="D2334" t="b">
        <f>IFERROR(VLOOKUP(B2334,PatData!$A$2:$A$2000,1,),"")&lt;&gt;""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4231</v>
      </c>
      <c r="B2335" t="s">
        <v>4015</v>
      </c>
      <c r="D2335" t="b">
        <f>IFERROR(VLOOKUP(B2335,PatData!$A$2:$A$2000,1,),"")&lt;&gt;""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4214</v>
      </c>
      <c r="B2336" t="s">
        <v>4016</v>
      </c>
      <c r="D2336" t="b">
        <f>IFERROR(VLOOKUP(B2336,PatData!$A$2:$A$2000,1,),"")&lt;&gt;""</f>
        <v>0</v>
      </c>
      <c r="E2336">
        <v>1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4425</v>
      </c>
      <c r="B2337" t="s">
        <v>4017</v>
      </c>
      <c r="D2337" t="b">
        <f>IFERROR(VLOOKUP(B2337,PatData!$A$2:$A$2000,1,),"")&lt;&gt;""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4215</v>
      </c>
      <c r="B2338" t="s">
        <v>4018</v>
      </c>
      <c r="D2338" t="b">
        <f>IFERROR(VLOOKUP(B2338,PatData!$A$2:$A$2000,1,),"")&lt;&gt;""</f>
        <v>0</v>
      </c>
      <c r="E2338">
        <v>1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3159</v>
      </c>
      <c r="B2339" t="s">
        <v>4019</v>
      </c>
      <c r="D2339" t="b">
        <f>IFERROR(VLOOKUP(B2339,PatData!$A$2:$A$2000,1,),"")&lt;&gt;""</f>
        <v>0</v>
      </c>
      <c r="E2339">
        <v>1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3143</v>
      </c>
      <c r="B2340" t="s">
        <v>4020</v>
      </c>
      <c r="D2340" t="b">
        <f>IFERROR(VLOOKUP(B2340,PatData!$A$2:$A$2000,1,),"")&lt;&gt;""</f>
        <v>0</v>
      </c>
      <c r="E2340">
        <v>1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4216</v>
      </c>
      <c r="B2341" t="s">
        <v>4021</v>
      </c>
      <c r="D2341" t="b">
        <f>IFERROR(VLOOKUP(B2341,PatData!$A$2:$A$2000,1,),"")&lt;&gt;""</f>
        <v>0</v>
      </c>
      <c r="E2341">
        <v>1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4426</v>
      </c>
      <c r="B2342" t="s">
        <v>4022</v>
      </c>
      <c r="D2342" t="b">
        <f>IFERROR(VLOOKUP(B2342,PatData!$A$2:$A$2000,1,),"")&lt;&gt;""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4427</v>
      </c>
      <c r="B2343" t="s">
        <v>4023</v>
      </c>
      <c r="D2343" t="b">
        <f>IFERROR(VLOOKUP(B2343,PatData!$A$2:$A$2000,1,),"")&lt;&gt;""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3160</v>
      </c>
      <c r="B2344" t="s">
        <v>4024</v>
      </c>
      <c r="D2344" t="b">
        <f>IFERROR(VLOOKUP(B2344,PatData!$A$2:$A$2000,1,),"")&lt;&gt;""</f>
        <v>0</v>
      </c>
      <c r="E2344">
        <v>1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4428</v>
      </c>
      <c r="B2345" t="s">
        <v>4025</v>
      </c>
      <c r="D2345" t="b">
        <f>IFERROR(VLOOKUP(B2345,PatData!$A$2:$A$2000,1,),"")&lt;&gt;""</f>
        <v>0</v>
      </c>
      <c r="E2345">
        <v>2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4429</v>
      </c>
      <c r="B2346" t="s">
        <v>4026</v>
      </c>
      <c r="D2346" t="b">
        <f>IFERROR(VLOOKUP(B2346,PatData!$A$2:$A$2000,1,),"")&lt;&gt;""</f>
        <v>0</v>
      </c>
      <c r="E2346">
        <v>2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4228</v>
      </c>
      <c r="B2347" t="s">
        <v>4027</v>
      </c>
      <c r="D2347" t="b">
        <f>IFERROR(VLOOKUP(B2347,PatData!$A$2:$A$2000,1,),"")&lt;&gt;""</f>
        <v>0</v>
      </c>
      <c r="E2347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3151</v>
      </c>
      <c r="B2348" t="s">
        <v>4028</v>
      </c>
      <c r="D2348" t="b">
        <f>IFERROR(VLOOKUP(B2348,PatData!$A$2:$A$2000,1,),"")&lt;&gt;""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4430</v>
      </c>
      <c r="B2349" t="s">
        <v>4029</v>
      </c>
      <c r="D2349" t="b">
        <f>IFERROR(VLOOKUP(B2349,PatData!$A$2:$A$2000,1,),"")&lt;&gt;""</f>
        <v>0</v>
      </c>
      <c r="E2349">
        <v>1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4431</v>
      </c>
      <c r="B2350" t="s">
        <v>4030</v>
      </c>
      <c r="D2350" t="b">
        <f>IFERROR(VLOOKUP(B2350,PatData!$A$2:$A$2000,1,),"")&lt;&gt;""</f>
        <v>0</v>
      </c>
      <c r="E2350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4432</v>
      </c>
      <c r="B2351" t="s">
        <v>4031</v>
      </c>
      <c r="D2351" t="b">
        <f>IFERROR(VLOOKUP(B2351,PatData!$A$2:$A$2000,1,),"")&lt;&gt;""</f>
        <v>0</v>
      </c>
      <c r="E2351">
        <v>5000</v>
      </c>
      <c r="F2351" t="b">
        <v>0</v>
      </c>
      <c r="G2351" t="b">
        <v>0</v>
      </c>
      <c r="H2351" t="b">
        <v>0</v>
      </c>
      <c r="I2351" t="b">
        <v>0</v>
      </c>
    </row>
    <row r="2352" spans="1:9" x14ac:dyDescent="0.2">
      <c r="A2352" t="s">
        <v>4433</v>
      </c>
      <c r="B2352" t="s">
        <v>4692</v>
      </c>
      <c r="D2352" t="b">
        <f>IFERROR(VLOOKUP(B2352,PatData!$A$2:$A$2000,1,),"")&lt;&gt;""</f>
        <v>0</v>
      </c>
      <c r="E2352">
        <v>5000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4434</v>
      </c>
      <c r="B2353" t="s">
        <v>4033</v>
      </c>
      <c r="D2353" t="b">
        <f>IFERROR(VLOOKUP(B2353,PatData!$A$2:$A$2000,1,),"")&lt;&gt;""</f>
        <v>0</v>
      </c>
      <c r="E2353">
        <v>5000</v>
      </c>
      <c r="F2353" t="b">
        <v>0</v>
      </c>
      <c r="G2353" t="b">
        <v>0</v>
      </c>
      <c r="H2353" t="b">
        <v>0</v>
      </c>
      <c r="I2353" t="b">
        <v>0</v>
      </c>
    </row>
    <row r="2354" spans="1:9" x14ac:dyDescent="0.2">
      <c r="A2354" t="s">
        <v>3144</v>
      </c>
      <c r="B2354" t="s">
        <v>4034</v>
      </c>
      <c r="D2354" t="b">
        <f>IFERROR(VLOOKUP(B2354,PatData!$A$2:$A$2000,1,),"")&lt;&gt;""</f>
        <v>0</v>
      </c>
      <c r="E2354" t="b">
        <v>0</v>
      </c>
      <c r="F2354" t="b">
        <v>0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4435</v>
      </c>
      <c r="B2355" t="s">
        <v>4035</v>
      </c>
      <c r="D2355" t="b">
        <f>IFERROR(VLOOKUP(B2355,PatData!$A$2:$A$2000,1,),"")&lt;&gt;""</f>
        <v>0</v>
      </c>
      <c r="E2355">
        <v>5000</v>
      </c>
      <c r="F2355" t="b">
        <v>0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4436</v>
      </c>
      <c r="B2356" t="s">
        <v>4693</v>
      </c>
      <c r="D2356" t="b">
        <f>IFERROR(VLOOKUP(B2356,PatData!$A$2:$A$2000,1,),"")&lt;&gt;""</f>
        <v>0</v>
      </c>
      <c r="E2356">
        <v>5000</v>
      </c>
      <c r="F2356" t="b">
        <v>0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4437</v>
      </c>
      <c r="B2357" t="s">
        <v>4037</v>
      </c>
      <c r="D2357" t="b">
        <f>IFERROR(VLOOKUP(B2357,PatData!$A$2:$A$2000,1,),"")&lt;&gt;""</f>
        <v>0</v>
      </c>
      <c r="E2357">
        <v>5000</v>
      </c>
      <c r="F2357" t="b">
        <v>0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4467</v>
      </c>
      <c r="B2358" t="s">
        <v>4468</v>
      </c>
      <c r="D2358" t="b">
        <f>IFERROR(VLOOKUP(B2358,PatData!$A$2:$A$2000,1,),"")&lt;&gt;""</f>
        <v>0</v>
      </c>
      <c r="E2358" t="s">
        <v>7610</v>
      </c>
      <c r="F2358" t="b">
        <v>1</v>
      </c>
      <c r="G2358" t="b">
        <v>0</v>
      </c>
      <c r="H2358" t="b">
        <v>0</v>
      </c>
      <c r="I2358" t="b">
        <v>0</v>
      </c>
    </row>
    <row r="2359" spans="1:9" ht="140.25" x14ac:dyDescent="0.2">
      <c r="A2359" t="s">
        <v>7088</v>
      </c>
      <c r="B2359" t="s">
        <v>7089</v>
      </c>
      <c r="D2359" t="b">
        <f>IFERROR(VLOOKUP(B2359,PatData!$A$2:$A$2000,1,),"")&lt;&gt;""</f>
        <v>0</v>
      </c>
      <c r="E2359" s="9" t="s">
        <v>7130</v>
      </c>
      <c r="F2359" t="b">
        <v>0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4469</v>
      </c>
      <c r="B2360" t="s">
        <v>4470</v>
      </c>
      <c r="D2360" t="b">
        <f>IFERROR(VLOOKUP(B2360,PatData!$A$2:$A$2000,1,),"")&lt;&gt;""</f>
        <v>0</v>
      </c>
      <c r="E2360" t="s">
        <v>7611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4438</v>
      </c>
      <c r="B2361" t="s">
        <v>1709</v>
      </c>
      <c r="D2361" t="b">
        <f>IFERROR(VLOOKUP(B2361,PatData!$A$2:$A$2000,1,),"")&lt;&gt;""</f>
        <v>0</v>
      </c>
      <c r="E2361" t="s">
        <v>4716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4439</v>
      </c>
      <c r="B2362" t="s">
        <v>1710</v>
      </c>
      <c r="D2362" t="b">
        <f>IFERROR(VLOOKUP(B2362,PatData!$A$2:$A$2000,1,),"")&lt;&gt;""</f>
        <v>0</v>
      </c>
      <c r="E2362" t="s">
        <v>4717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4440</v>
      </c>
      <c r="B2363" t="s">
        <v>1711</v>
      </c>
      <c r="D2363" t="b">
        <f>IFERROR(VLOOKUP(B2363,PatData!$A$2:$A$2000,1,),"")&lt;&gt;""</f>
        <v>0</v>
      </c>
      <c r="E2363" t="s">
        <v>4718</v>
      </c>
      <c r="F2363" t="b">
        <v>1</v>
      </c>
      <c r="G2363" t="b">
        <v>0</v>
      </c>
      <c r="H2363" t="b">
        <v>0</v>
      </c>
      <c r="I2363" t="b">
        <v>0</v>
      </c>
    </row>
    <row r="2364" spans="1:9" x14ac:dyDescent="0.2">
      <c r="A2364" t="s">
        <v>4441</v>
      </c>
      <c r="B2364" t="s">
        <v>1712</v>
      </c>
      <c r="D2364" t="b">
        <f>IFERROR(VLOOKUP(B2364,PatData!$A$2:$A$2000,1,),"")&lt;&gt;""</f>
        <v>0</v>
      </c>
      <c r="E2364" t="s">
        <v>4719</v>
      </c>
      <c r="F2364" t="b">
        <v>1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4442</v>
      </c>
      <c r="B2365" t="s">
        <v>1713</v>
      </c>
      <c r="D2365" t="b">
        <f>IFERROR(VLOOKUP(B2365,PatData!$A$2:$A$2000,1,),"")&lt;&gt;""</f>
        <v>0</v>
      </c>
      <c r="E2365" t="s">
        <v>4720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4443</v>
      </c>
      <c r="B2366" t="s">
        <v>1714</v>
      </c>
      <c r="D2366" t="b">
        <f>IFERROR(VLOOKUP(B2366,PatData!$A$2:$A$2000,1,),"")&lt;&gt;""</f>
        <v>0</v>
      </c>
      <c r="E2366" t="s">
        <v>4721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4444</v>
      </c>
      <c r="B2367" t="s">
        <v>1715</v>
      </c>
      <c r="D2367" t="b">
        <f>IFERROR(VLOOKUP(B2367,PatData!$A$2:$A$2000,1,),"")&lt;&gt;""</f>
        <v>0</v>
      </c>
      <c r="E2367" t="s">
        <v>4722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4445</v>
      </c>
      <c r="B2368" t="s">
        <v>1716</v>
      </c>
      <c r="D2368" t="b">
        <f>IFERROR(VLOOKUP(B2368,PatData!$A$2:$A$2000,1,),"")&lt;&gt;""</f>
        <v>0</v>
      </c>
      <c r="E2368" t="s">
        <v>4723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4446</v>
      </c>
      <c r="B2369" t="s">
        <v>1717</v>
      </c>
      <c r="D2369" t="b">
        <f>IFERROR(VLOOKUP(B2369,PatData!$A$2:$A$2000,1,),"")&lt;&gt;""</f>
        <v>0</v>
      </c>
      <c r="E2369" t="s">
        <v>4724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4462</v>
      </c>
      <c r="B2370" t="s">
        <v>4463</v>
      </c>
      <c r="D2370" t="b">
        <f>IFERROR(VLOOKUP(B2370,PatData!$A$2:$A$2000,1,),"")&lt;&gt;""</f>
        <v>0</v>
      </c>
      <c r="E2370">
        <v>1</v>
      </c>
      <c r="F2370" t="b">
        <v>0</v>
      </c>
      <c r="G2370" t="b">
        <v>0</v>
      </c>
      <c r="H2370" t="b">
        <v>0</v>
      </c>
      <c r="I2370" t="b">
        <v>0</v>
      </c>
    </row>
    <row r="2371" spans="1:9" x14ac:dyDescent="0.2">
      <c r="A2371" t="s">
        <v>7612</v>
      </c>
      <c r="B2371" t="s">
        <v>5070</v>
      </c>
      <c r="D2371" t="b">
        <f>IFERROR(VLOOKUP(B2371,PatData!$A$2:$A$2000,1,),"")&lt;&gt;""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4471</v>
      </c>
      <c r="B2372" t="s">
        <v>4472</v>
      </c>
      <c r="D2372" t="b">
        <f>IFERROR(VLOOKUP(B2372,PatData!$A$2:$A$2000,1,),"")&lt;&gt;""</f>
        <v>0</v>
      </c>
      <c r="E2372" t="s">
        <v>7611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4681</v>
      </c>
      <c r="B2373" t="s">
        <v>1708</v>
      </c>
      <c r="D2373" t="b">
        <f>IFERROR(VLOOKUP(B2373,PatData!$A$2:$A$2000,1,),"")&lt;&gt;""</f>
        <v>0</v>
      </c>
      <c r="E2373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925</v>
      </c>
      <c r="B2374" t="s">
        <v>911</v>
      </c>
      <c r="D2374" t="b">
        <f>IFERROR(VLOOKUP(B2374,PatData!$A$2:$A$2000,1,),"")&lt;&gt;""</f>
        <v>0</v>
      </c>
      <c r="E2374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7900</v>
      </c>
      <c r="B2375" t="s">
        <v>912</v>
      </c>
      <c r="D2375" t="b">
        <f>IFERROR(VLOOKUP(B2375,PatData!$A$2:$A$2000,1,),"")&lt;&gt;""</f>
        <v>0</v>
      </c>
      <c r="E237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1508</v>
      </c>
      <c r="B2376" t="s">
        <v>913</v>
      </c>
      <c r="D2376" t="b">
        <f>IFERROR(VLOOKUP(B2376,PatData!$A$2:$A$2000,1,),"")&lt;&gt;""</f>
        <v>0</v>
      </c>
      <c r="E2376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5071</v>
      </c>
      <c r="B2377" t="s">
        <v>914</v>
      </c>
      <c r="D2377" t="b">
        <f>IFERROR(VLOOKUP(B2377,PatData!$A$2:$A$2000,1,),"")&lt;&gt;""</f>
        <v>0</v>
      </c>
      <c r="E2377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1509</v>
      </c>
      <c r="B2378" t="s">
        <v>915</v>
      </c>
      <c r="D2378" t="b">
        <f>IFERROR(VLOOKUP(B2378,PatData!$A$2:$A$2000,1,),"")&lt;&gt;""</f>
        <v>0</v>
      </c>
      <c r="E2378" t="s">
        <v>4682</v>
      </c>
      <c r="F2378" t="b">
        <v>1</v>
      </c>
      <c r="G2378" t="b">
        <v>0</v>
      </c>
      <c r="H2378" t="b">
        <v>0</v>
      </c>
      <c r="I2378" t="b">
        <v>0</v>
      </c>
    </row>
    <row r="2379" spans="1:9" x14ac:dyDescent="0.2">
      <c r="A2379" t="s">
        <v>4953</v>
      </c>
      <c r="B2379" t="s">
        <v>916</v>
      </c>
      <c r="D2379" t="b">
        <f>IFERROR(VLOOKUP(B2379,PatData!$A$2:$A$2000,1,),"")&lt;&gt;""</f>
        <v>0</v>
      </c>
      <c r="E2379" s="355" t="s">
        <v>4682</v>
      </c>
      <c r="F2379" t="b">
        <v>1</v>
      </c>
      <c r="G2379" t="b">
        <v>0</v>
      </c>
      <c r="H2379" t="b">
        <v>0</v>
      </c>
      <c r="I2379" t="b">
        <v>0</v>
      </c>
    </row>
    <row r="2380" spans="1:9" x14ac:dyDescent="0.2">
      <c r="A2380" t="s">
        <v>5072</v>
      </c>
      <c r="B2380" t="s">
        <v>917</v>
      </c>
      <c r="D2380" t="b">
        <f>IFERROR(VLOOKUP(B2380,PatData!$A$2:$A$2000,1,),"")&lt;&gt;""</f>
        <v>0</v>
      </c>
      <c r="E2380" s="355" t="s">
        <v>4682</v>
      </c>
      <c r="F2380" t="b">
        <v>1</v>
      </c>
      <c r="G2380" t="b">
        <v>0</v>
      </c>
      <c r="H2380" t="b">
        <v>0</v>
      </c>
      <c r="I2380" t="b">
        <v>0</v>
      </c>
    </row>
    <row r="2381" spans="1:9" x14ac:dyDescent="0.2">
      <c r="A2381" t="s">
        <v>7593</v>
      </c>
      <c r="B2381" t="s">
        <v>918</v>
      </c>
      <c r="D2381" t="b">
        <f>IFERROR(VLOOKUP(B2381,PatData!$A$2:$A$2000,1,),"")&lt;&gt;""</f>
        <v>0</v>
      </c>
      <c r="E2381" s="355" t="s">
        <v>4682</v>
      </c>
      <c r="F2381" t="b">
        <v>1</v>
      </c>
      <c r="G2381" t="b">
        <v>0</v>
      </c>
      <c r="H2381" t="b">
        <v>0</v>
      </c>
      <c r="I2381" t="b">
        <v>0</v>
      </c>
    </row>
    <row r="2382" spans="1:9" x14ac:dyDescent="0.2">
      <c r="A2382" t="s">
        <v>7594</v>
      </c>
      <c r="B2382" t="s">
        <v>919</v>
      </c>
      <c r="D2382" t="b">
        <f>IFERROR(VLOOKUP(B2382,PatData!$A$2:$A$2000,1,),"")&lt;&gt;""</f>
        <v>0</v>
      </c>
      <c r="E2382" s="355" t="s">
        <v>4682</v>
      </c>
      <c r="F2382" t="b">
        <v>1</v>
      </c>
      <c r="G2382" t="b">
        <v>0</v>
      </c>
      <c r="H2382" t="b">
        <v>0</v>
      </c>
      <c r="I2382" t="b">
        <v>0</v>
      </c>
    </row>
    <row r="2383" spans="1:9" x14ac:dyDescent="0.2">
      <c r="A2383" t="s">
        <v>7595</v>
      </c>
      <c r="B2383" t="s">
        <v>7613</v>
      </c>
      <c r="D2383" t="b">
        <f>IFERROR(VLOOKUP(B2383,PatData!$A$2:$A$2000,1,),"")&lt;&gt;""</f>
        <v>0</v>
      </c>
      <c r="E2383" s="355" t="s">
        <v>4682</v>
      </c>
      <c r="F2383" t="b">
        <v>1</v>
      </c>
      <c r="G2383" t="b">
        <v>0</v>
      </c>
      <c r="H2383" t="b">
        <v>0</v>
      </c>
      <c r="I2383" t="b">
        <v>0</v>
      </c>
    </row>
    <row r="2384" spans="1:9" x14ac:dyDescent="0.2">
      <c r="A2384" t="s">
        <v>7614</v>
      </c>
      <c r="B2384" t="s">
        <v>920</v>
      </c>
      <c r="D2384" t="b">
        <f>IFERROR(VLOOKUP(B2384,PatData!$A$2:$A$2000,1,),"")&lt;&gt;""</f>
        <v>0</v>
      </c>
      <c r="E2384" s="355" t="s">
        <v>4682</v>
      </c>
      <c r="F2384" t="b">
        <v>1</v>
      </c>
      <c r="G2384" t="b">
        <v>0</v>
      </c>
      <c r="H2384" t="b">
        <v>0</v>
      </c>
      <c r="I2384" t="b">
        <v>0</v>
      </c>
    </row>
    <row r="2385" spans="1:9" x14ac:dyDescent="0.2">
      <c r="A2385" t="s">
        <v>7598</v>
      </c>
      <c r="B2385" t="s">
        <v>921</v>
      </c>
      <c r="D2385" t="b">
        <f>IFERROR(VLOOKUP(B2385,PatData!$A$2:$A$2000,1,),"")&lt;&gt;""</f>
        <v>0</v>
      </c>
      <c r="E2385" s="355" t="s">
        <v>4682</v>
      </c>
      <c r="F2385" t="b">
        <v>1</v>
      </c>
      <c r="G2385" t="b">
        <v>0</v>
      </c>
      <c r="H2385" t="b">
        <v>0</v>
      </c>
      <c r="I2385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ColWidth="9.140625" defaultRowHeight="12.75" x14ac:dyDescent="0.2"/>
  <cols>
    <col min="1" max="1" width="27.28515625" style="722" customWidth="1"/>
    <col min="2" max="10" width="9.140625" style="722"/>
    <col min="11" max="11" width="9.140625" style="722" customWidth="1"/>
    <col min="12" max="13" width="9.140625" style="722"/>
    <col min="14" max="14" width="54.5703125" style="722" customWidth="1"/>
    <col min="15" max="18" width="9.140625" style="722"/>
    <col min="19" max="19" width="29.85546875" style="722" customWidth="1"/>
    <col min="20" max="16384" width="9.140625" style="722"/>
  </cols>
  <sheetData>
    <row r="1" spans="1:21" x14ac:dyDescent="0.2">
      <c r="B1" s="723" t="s">
        <v>4046</v>
      </c>
    </row>
    <row r="2" spans="1:21" ht="15" x14ac:dyDescent="0.25">
      <c r="B2" s="736">
        <v>2</v>
      </c>
      <c r="C2" s="736">
        <v>3</v>
      </c>
      <c r="D2" s="736">
        <v>4</v>
      </c>
      <c r="E2" s="736">
        <v>5</v>
      </c>
      <c r="F2" s="736">
        <v>6</v>
      </c>
      <c r="G2" s="736">
        <v>7</v>
      </c>
      <c r="H2" s="736">
        <v>8</v>
      </c>
      <c r="I2" s="736">
        <v>9</v>
      </c>
      <c r="J2" s="736">
        <v>10</v>
      </c>
      <c r="K2" s="736">
        <v>11</v>
      </c>
      <c r="L2" s="736">
        <v>12</v>
      </c>
      <c r="M2" s="736">
        <v>13</v>
      </c>
      <c r="N2" s="725">
        <v>14</v>
      </c>
    </row>
    <row r="3" spans="1:21" ht="15" x14ac:dyDescent="0.25">
      <c r="B3" s="736" t="s">
        <v>175</v>
      </c>
      <c r="C3" s="736" t="s">
        <v>144</v>
      </c>
      <c r="D3" s="736" t="s">
        <v>176</v>
      </c>
      <c r="E3" s="736" t="s">
        <v>145</v>
      </c>
      <c r="F3" s="736" t="s">
        <v>170</v>
      </c>
      <c r="G3" s="736" t="s">
        <v>171</v>
      </c>
      <c r="H3" s="736" t="s">
        <v>172</v>
      </c>
      <c r="I3" s="736" t="s">
        <v>177</v>
      </c>
      <c r="J3" s="736" t="s">
        <v>173</v>
      </c>
      <c r="K3" s="736" t="s">
        <v>723</v>
      </c>
      <c r="L3" s="736" t="s">
        <v>724</v>
      </c>
      <c r="M3" s="736" t="s">
        <v>449</v>
      </c>
      <c r="N3" s="737" t="s">
        <v>4903</v>
      </c>
    </row>
    <row r="4" spans="1:21" ht="15" x14ac:dyDescent="0.25">
      <c r="A4" s="726" t="s">
        <v>4058</v>
      </c>
      <c r="B4" s="738" t="str">
        <f t="shared" ref="B4:M4" si="0">VLOOKUP(B3,Tbl_Glob_Conversie,3,FALSE)</f>
        <v>kcal</v>
      </c>
      <c r="C4" s="738" t="str">
        <f t="shared" si="0"/>
        <v>gram</v>
      </c>
      <c r="D4" s="738" t="str">
        <f t="shared" si="0"/>
        <v>gram</v>
      </c>
      <c r="E4" s="738" t="str">
        <f t="shared" si="0"/>
        <v>gram</v>
      </c>
      <c r="F4" s="738" t="str">
        <f t="shared" si="0"/>
        <v>mmol</v>
      </c>
      <c r="G4" s="738" t="str">
        <f t="shared" si="0"/>
        <v>mmol</v>
      </c>
      <c r="H4" s="738" t="str">
        <f t="shared" si="0"/>
        <v>mmol</v>
      </c>
      <c r="I4" s="738" t="str">
        <f t="shared" si="0"/>
        <v>mmol</v>
      </c>
      <c r="J4" s="738" t="str">
        <f t="shared" si="0"/>
        <v>mmol</v>
      </c>
      <c r="K4" s="738" t="str">
        <f t="shared" si="0"/>
        <v>mmol</v>
      </c>
      <c r="L4" s="738" t="str">
        <f t="shared" si="0"/>
        <v>IE</v>
      </c>
      <c r="M4" s="738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2" t="s">
        <v>90</v>
      </c>
      <c r="B6" s="719">
        <v>0</v>
      </c>
      <c r="C6" s="719">
        <v>0.2</v>
      </c>
      <c r="D6" s="718">
        <v>0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4914</v>
      </c>
    </row>
    <row r="7" spans="1:21" x14ac:dyDescent="0.2">
      <c r="A7" s="722" t="s">
        <v>7426</v>
      </c>
      <c r="B7" s="719">
        <v>0</v>
      </c>
      <c r="C7" s="719">
        <v>0</v>
      </c>
      <c r="D7" s="718">
        <v>0</v>
      </c>
      <c r="E7" s="719">
        <v>0</v>
      </c>
      <c r="F7" s="719">
        <v>0</v>
      </c>
      <c r="G7" s="719">
        <v>0</v>
      </c>
      <c r="H7" s="719">
        <v>0.22500000000000001</v>
      </c>
      <c r="I7" s="719">
        <v>0</v>
      </c>
      <c r="J7" s="719">
        <v>0</v>
      </c>
      <c r="K7" s="719">
        <v>0</v>
      </c>
      <c r="L7" s="719">
        <v>0</v>
      </c>
      <c r="M7" s="719">
        <v>0.45</v>
      </c>
      <c r="N7" s="719"/>
    </row>
    <row r="8" spans="1:21" x14ac:dyDescent="0.2">
      <c r="A8" s="722" t="s">
        <v>258</v>
      </c>
      <c r="B8" s="719">
        <v>0</v>
      </c>
      <c r="C8" s="719">
        <v>0</v>
      </c>
      <c r="D8" s="719">
        <v>0</v>
      </c>
      <c r="E8" s="719">
        <v>0</v>
      </c>
      <c r="F8" s="719">
        <v>0</v>
      </c>
      <c r="G8" s="719">
        <v>0</v>
      </c>
      <c r="H8" s="719">
        <v>0.22600000000000001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/>
    </row>
    <row r="9" spans="1:21" x14ac:dyDescent="0.2">
      <c r="A9" s="722" t="s">
        <v>453</v>
      </c>
      <c r="B9" s="719">
        <v>0.4</v>
      </c>
      <c r="C9" s="719">
        <v>0</v>
      </c>
      <c r="D9" s="719">
        <v>0.1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4905</v>
      </c>
    </row>
    <row r="10" spans="1:21" x14ac:dyDescent="0.2">
      <c r="A10" s="722" t="s">
        <v>4826</v>
      </c>
      <c r="B10" s="719">
        <v>0.5</v>
      </c>
      <c r="C10" s="719">
        <v>0</v>
      </c>
      <c r="D10" s="719">
        <v>0.125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 t="s">
        <v>6977</v>
      </c>
      <c r="S10" s="724"/>
      <c r="T10" s="724"/>
      <c r="U10" s="724"/>
    </row>
    <row r="11" spans="1:21" x14ac:dyDescent="0.2">
      <c r="A11" s="722" t="s">
        <v>454</v>
      </c>
      <c r="B11" s="719">
        <v>0.6</v>
      </c>
      <c r="C11" s="719">
        <v>0</v>
      </c>
      <c r="D11" s="718">
        <v>0.15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4906</v>
      </c>
      <c r="S11" s="724"/>
      <c r="U11" s="724"/>
    </row>
    <row r="12" spans="1:21" x14ac:dyDescent="0.2">
      <c r="A12" s="722" t="s">
        <v>4053</v>
      </c>
      <c r="B12" s="719">
        <v>0.7</v>
      </c>
      <c r="C12" s="719">
        <v>0</v>
      </c>
      <c r="D12" s="718">
        <v>0.17499999999999999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/>
      <c r="S12" s="724"/>
      <c r="U12" s="724"/>
    </row>
    <row r="13" spans="1:21" x14ac:dyDescent="0.2">
      <c r="A13" s="724" t="s">
        <v>456</v>
      </c>
      <c r="B13" s="719">
        <v>0.8</v>
      </c>
      <c r="C13" s="719">
        <v>0</v>
      </c>
      <c r="D13" s="718">
        <v>0.2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7876</v>
      </c>
      <c r="S13" s="724"/>
      <c r="T13" s="724"/>
      <c r="U13" s="724"/>
    </row>
    <row r="14" spans="1:21" x14ac:dyDescent="0.2">
      <c r="A14" s="723" t="s">
        <v>457</v>
      </c>
      <c r="B14" s="719">
        <v>1</v>
      </c>
      <c r="C14" s="719">
        <v>0</v>
      </c>
      <c r="D14" s="718">
        <v>0.25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4907</v>
      </c>
      <c r="S14" s="724"/>
      <c r="U14" s="724"/>
    </row>
    <row r="15" spans="1:21" x14ac:dyDescent="0.2">
      <c r="A15" s="722" t="s">
        <v>458</v>
      </c>
      <c r="B15" s="719">
        <v>1.2</v>
      </c>
      <c r="C15" s="719">
        <v>0</v>
      </c>
      <c r="D15" s="718">
        <v>0.3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4908</v>
      </c>
      <c r="S15" s="724"/>
      <c r="U15" s="724"/>
    </row>
    <row r="16" spans="1:21" x14ac:dyDescent="0.2">
      <c r="A16" s="724" t="s">
        <v>459</v>
      </c>
      <c r="B16" s="719">
        <v>1.4</v>
      </c>
      <c r="C16" s="719">
        <v>0</v>
      </c>
      <c r="D16" s="718">
        <v>0.35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4909</v>
      </c>
      <c r="S16" s="724"/>
      <c r="U16" s="724"/>
    </row>
    <row r="17" spans="1:21" x14ac:dyDescent="0.2">
      <c r="A17" s="722" t="s">
        <v>460</v>
      </c>
      <c r="B17" s="719">
        <v>1.6</v>
      </c>
      <c r="C17" s="719">
        <v>0</v>
      </c>
      <c r="D17" s="718">
        <v>0.4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4910</v>
      </c>
      <c r="S17" s="724"/>
      <c r="U17" s="724"/>
    </row>
    <row r="18" spans="1:21" x14ac:dyDescent="0.2">
      <c r="A18" s="722" t="s">
        <v>461</v>
      </c>
      <c r="B18" s="719">
        <v>1.8</v>
      </c>
      <c r="C18" s="719">
        <v>0</v>
      </c>
      <c r="D18" s="719">
        <v>0.45</v>
      </c>
      <c r="E18" s="719">
        <v>0</v>
      </c>
      <c r="F18" s="719">
        <v>0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0</v>
      </c>
      <c r="N18" s="719" t="s">
        <v>4911</v>
      </c>
      <c r="S18" s="724"/>
      <c r="U18" s="724"/>
    </row>
    <row r="19" spans="1:21" x14ac:dyDescent="0.2">
      <c r="A19" s="722" t="s">
        <v>450</v>
      </c>
      <c r="B19" s="719">
        <v>0.2</v>
      </c>
      <c r="C19" s="719">
        <v>0</v>
      </c>
      <c r="D19" s="719">
        <v>0.05</v>
      </c>
      <c r="E19" s="719">
        <v>0</v>
      </c>
      <c r="F19" s="719">
        <v>0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</v>
      </c>
      <c r="N19" s="719" t="s">
        <v>4904</v>
      </c>
      <c r="S19" s="724"/>
      <c r="U19" s="724"/>
    </row>
    <row r="20" spans="1:21" x14ac:dyDescent="0.2">
      <c r="A20" s="739" t="s">
        <v>4054</v>
      </c>
      <c r="B20" s="719">
        <v>0.2</v>
      </c>
      <c r="C20" s="719">
        <v>0</v>
      </c>
      <c r="D20" s="719">
        <v>0.05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4"/>
      <c r="U20" s="724"/>
    </row>
    <row r="21" spans="1:21" x14ac:dyDescent="0.2">
      <c r="A21" s="722" t="s">
        <v>4055</v>
      </c>
      <c r="B21" s="719">
        <v>0.2</v>
      </c>
      <c r="C21" s="719">
        <v>0</v>
      </c>
      <c r="D21" s="719">
        <v>0.05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/>
      <c r="S21" s="724"/>
      <c r="U21" s="724"/>
    </row>
    <row r="22" spans="1:21" x14ac:dyDescent="0.2">
      <c r="A22" s="722" t="s">
        <v>462</v>
      </c>
      <c r="B22" s="719">
        <v>2</v>
      </c>
      <c r="C22" s="719">
        <v>0</v>
      </c>
      <c r="D22" s="719">
        <v>0.5</v>
      </c>
      <c r="E22" s="719">
        <v>0</v>
      </c>
      <c r="F22" s="719">
        <v>0</v>
      </c>
      <c r="G22" s="719">
        <v>0</v>
      </c>
      <c r="H22" s="719">
        <v>0</v>
      </c>
      <c r="I22" s="719">
        <v>0</v>
      </c>
      <c r="J22" s="719">
        <v>0</v>
      </c>
      <c r="K22" s="719">
        <v>0</v>
      </c>
      <c r="L22" s="719">
        <v>0</v>
      </c>
      <c r="M22" s="719">
        <v>0</v>
      </c>
      <c r="N22" s="719" t="s">
        <v>4912</v>
      </c>
      <c r="S22" s="724"/>
      <c r="T22" s="724"/>
      <c r="U22" s="724"/>
    </row>
    <row r="23" spans="1:21" x14ac:dyDescent="0.2">
      <c r="A23" s="724" t="s">
        <v>147</v>
      </c>
      <c r="B23" s="719">
        <v>1.8</v>
      </c>
      <c r="C23" s="719">
        <v>0</v>
      </c>
      <c r="D23" s="719">
        <v>0</v>
      </c>
      <c r="E23" s="719">
        <v>0.2</v>
      </c>
      <c r="F23" s="718">
        <v>0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4"/>
      <c r="T23" s="724"/>
    </row>
    <row r="24" spans="1:21" x14ac:dyDescent="0.2">
      <c r="A24" s="724" t="s">
        <v>433</v>
      </c>
      <c r="B24" s="719">
        <v>1.8</v>
      </c>
      <c r="C24" s="719">
        <v>0</v>
      </c>
      <c r="D24" s="719">
        <v>0</v>
      </c>
      <c r="E24" s="719">
        <v>0.2</v>
      </c>
      <c r="F24" s="718">
        <v>0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6.67</v>
      </c>
      <c r="M24" s="719">
        <v>0</v>
      </c>
      <c r="N24" s="719"/>
      <c r="S24" s="724"/>
      <c r="T24" s="724"/>
    </row>
    <row r="25" spans="1:21" x14ac:dyDescent="0.2">
      <c r="A25" s="724" t="s">
        <v>434</v>
      </c>
      <c r="B25" s="719">
        <v>0</v>
      </c>
      <c r="C25" s="719">
        <v>0</v>
      </c>
      <c r="D25" s="719">
        <v>0</v>
      </c>
      <c r="E25" s="719">
        <v>0</v>
      </c>
      <c r="F25" s="718">
        <v>0</v>
      </c>
      <c r="G25" s="719">
        <v>1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</v>
      </c>
      <c r="N25" s="719"/>
      <c r="T25" s="724"/>
    </row>
    <row r="26" spans="1:21" x14ac:dyDescent="0.2">
      <c r="A26" s="722" t="s">
        <v>168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1</v>
      </c>
      <c r="N26" s="719"/>
      <c r="T26" s="724"/>
    </row>
    <row r="27" spans="1:21" x14ac:dyDescent="0.2">
      <c r="A27" s="722" t="s">
        <v>239</v>
      </c>
      <c r="B27" s="719">
        <v>0</v>
      </c>
      <c r="C27" s="719">
        <v>0</v>
      </c>
      <c r="D27" s="719">
        <v>0</v>
      </c>
      <c r="E27" s="719">
        <v>0</v>
      </c>
      <c r="F27" s="718">
        <v>0.5</v>
      </c>
      <c r="G27" s="719">
        <v>1.25</v>
      </c>
      <c r="H27" s="719">
        <v>0</v>
      </c>
      <c r="I27" s="719">
        <v>1.5</v>
      </c>
      <c r="J27" s="719">
        <v>0</v>
      </c>
      <c r="K27" s="719">
        <v>0</v>
      </c>
      <c r="L27" s="719">
        <v>0</v>
      </c>
      <c r="M27" s="719">
        <v>0</v>
      </c>
      <c r="N27" s="719"/>
      <c r="T27" s="724"/>
    </row>
    <row r="28" spans="1:21" x14ac:dyDescent="0.2">
      <c r="A28" s="722" t="s">
        <v>7427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</v>
      </c>
      <c r="I28" s="719">
        <v>0</v>
      </c>
      <c r="J28" s="719">
        <v>0.5</v>
      </c>
      <c r="K28" s="719">
        <v>0</v>
      </c>
      <c r="L28" s="719">
        <v>0</v>
      </c>
      <c r="M28" s="189">
        <v>1</v>
      </c>
      <c r="N28" s="719"/>
      <c r="T28" s="724"/>
    </row>
    <row r="29" spans="1:21" x14ac:dyDescent="0.2">
      <c r="A29" s="722" t="s">
        <v>7434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</v>
      </c>
      <c r="I29" s="719">
        <v>0</v>
      </c>
      <c r="J29" s="719">
        <v>0.64</v>
      </c>
      <c r="K29" s="719">
        <v>0</v>
      </c>
      <c r="L29" s="719">
        <v>0</v>
      </c>
      <c r="M29" s="719">
        <v>0</v>
      </c>
      <c r="N29" s="719"/>
      <c r="T29" s="724"/>
    </row>
    <row r="30" spans="1:21" x14ac:dyDescent="0.2">
      <c r="A30" s="722" t="s">
        <v>463</v>
      </c>
      <c r="B30" s="719">
        <v>0</v>
      </c>
      <c r="C30" s="719">
        <v>0</v>
      </c>
      <c r="D30" s="719">
        <v>0</v>
      </c>
      <c r="E30" s="719">
        <v>0</v>
      </c>
      <c r="F30" s="718">
        <v>0.5</v>
      </c>
      <c r="G30" s="719">
        <v>0</v>
      </c>
      <c r="H30" s="719">
        <v>0</v>
      </c>
      <c r="I30" s="719">
        <v>0</v>
      </c>
      <c r="J30" s="189">
        <v>0</v>
      </c>
      <c r="K30" s="719">
        <v>0</v>
      </c>
      <c r="L30" s="719">
        <v>0</v>
      </c>
      <c r="M30" s="189">
        <v>0</v>
      </c>
      <c r="N30" s="719"/>
      <c r="T30" s="724"/>
    </row>
    <row r="31" spans="1:21" x14ac:dyDescent="0.2">
      <c r="A31" s="722" t="s">
        <v>46</v>
      </c>
      <c r="B31" s="719">
        <v>0</v>
      </c>
      <c r="C31" s="719">
        <v>0</v>
      </c>
      <c r="D31" s="719">
        <v>0</v>
      </c>
      <c r="E31" s="719">
        <v>0</v>
      </c>
      <c r="F31" s="718">
        <v>1</v>
      </c>
      <c r="G31" s="719">
        <v>0</v>
      </c>
      <c r="H31" s="719">
        <v>0</v>
      </c>
      <c r="I31" s="719">
        <v>0</v>
      </c>
      <c r="J31" s="189">
        <v>0</v>
      </c>
      <c r="K31" s="719">
        <v>0</v>
      </c>
      <c r="L31" s="719">
        <v>0</v>
      </c>
      <c r="M31" s="189">
        <v>0</v>
      </c>
      <c r="N31" s="719"/>
      <c r="T31" s="724"/>
    </row>
    <row r="32" spans="1:21" x14ac:dyDescent="0.2">
      <c r="A32" s="722" t="s">
        <v>4237</v>
      </c>
      <c r="B32" s="719">
        <v>0</v>
      </c>
      <c r="C32" s="719">
        <v>0</v>
      </c>
      <c r="D32" s="719">
        <v>0</v>
      </c>
      <c r="E32" s="719">
        <v>0</v>
      </c>
      <c r="F32" s="719">
        <v>7.7499999999999999E-2</v>
      </c>
      <c r="G32" s="719">
        <v>0</v>
      </c>
      <c r="H32" s="719">
        <v>0</v>
      </c>
      <c r="I32" s="719">
        <v>0</v>
      </c>
      <c r="J32" s="189">
        <v>0</v>
      </c>
      <c r="K32" s="719">
        <v>0</v>
      </c>
      <c r="L32" s="719">
        <v>0</v>
      </c>
      <c r="M32" s="189">
        <v>7.7499999999999999E-2</v>
      </c>
      <c r="N32" s="719"/>
      <c r="T32" s="724"/>
    </row>
    <row r="33" spans="1:14" x14ac:dyDescent="0.2">
      <c r="A33" s="724" t="s">
        <v>233</v>
      </c>
      <c r="B33" s="719">
        <v>0</v>
      </c>
      <c r="C33" s="719">
        <v>0</v>
      </c>
      <c r="D33" s="719">
        <v>0</v>
      </c>
      <c r="E33" s="719">
        <v>0</v>
      </c>
      <c r="F33" s="719">
        <v>0.155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0.155</v>
      </c>
      <c r="N33" s="719" t="s">
        <v>4913</v>
      </c>
    </row>
    <row r="34" spans="1:14" x14ac:dyDescent="0.2">
      <c r="A34" s="722" t="s">
        <v>7866</v>
      </c>
      <c r="B34" s="719">
        <v>0</v>
      </c>
      <c r="C34" s="719">
        <v>0</v>
      </c>
      <c r="D34" s="719">
        <v>0</v>
      </c>
      <c r="E34" s="719">
        <v>0</v>
      </c>
      <c r="F34" s="719">
        <v>0.5</v>
      </c>
      <c r="G34" s="719">
        <v>0</v>
      </c>
      <c r="H34" s="719">
        <v>0</v>
      </c>
      <c r="I34" s="719">
        <v>0</v>
      </c>
      <c r="J34" s="719">
        <v>0</v>
      </c>
      <c r="K34" s="719">
        <v>0</v>
      </c>
      <c r="L34" s="719">
        <v>0</v>
      </c>
      <c r="M34" s="719">
        <v>0.5</v>
      </c>
      <c r="N34" s="719"/>
    </row>
    <row r="35" spans="1:14" x14ac:dyDescent="0.2">
      <c r="A35" s="722" t="s">
        <v>464</v>
      </c>
      <c r="B35" s="719">
        <v>0.28999999999999998</v>
      </c>
      <c r="C35" s="719">
        <v>7.1400000000000005E-2</v>
      </c>
      <c r="D35" s="719">
        <v>0</v>
      </c>
      <c r="E35" s="719">
        <v>0</v>
      </c>
      <c r="F35" s="719">
        <v>5.4300000000000001E-2</v>
      </c>
      <c r="G35" s="719">
        <v>7.1400000000000005E-2</v>
      </c>
      <c r="H35" s="719">
        <v>2.5700000000000001E-2</v>
      </c>
      <c r="I35" s="719">
        <v>3.4299999999999997E-2</v>
      </c>
      <c r="J35" s="719">
        <v>4.2900000000000004E-3</v>
      </c>
      <c r="K35" s="719">
        <v>0</v>
      </c>
      <c r="L35" s="719">
        <v>0</v>
      </c>
      <c r="M35" s="719">
        <v>0.10299999999999999</v>
      </c>
      <c r="N35" s="719"/>
    </row>
    <row r="36" spans="1:14" x14ac:dyDescent="0.2">
      <c r="A36" s="722" t="s">
        <v>66</v>
      </c>
      <c r="B36" s="719">
        <v>0.96</v>
      </c>
      <c r="C36" s="719">
        <v>7.0000000000000007E-2</v>
      </c>
      <c r="D36" s="719">
        <v>0.24</v>
      </c>
      <c r="E36" s="719">
        <v>0</v>
      </c>
      <c r="F36" s="719">
        <v>4.0500000000000001E-2</v>
      </c>
      <c r="G36" s="719">
        <v>2.5700000000000001E-2</v>
      </c>
      <c r="H36" s="719">
        <v>4.1000000000000003E-3</v>
      </c>
      <c r="I36" s="719">
        <v>1.47E-2</v>
      </c>
      <c r="J36" s="719">
        <v>5.0000000000000001E-3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2" t="s">
        <v>234</v>
      </c>
      <c r="B37" s="719">
        <v>0</v>
      </c>
      <c r="C37" s="719">
        <v>0</v>
      </c>
      <c r="D37" s="719">
        <v>0</v>
      </c>
      <c r="E37" s="719">
        <v>0</v>
      </c>
      <c r="F37" s="719">
        <v>0</v>
      </c>
      <c r="G37" s="719">
        <v>0</v>
      </c>
      <c r="H37" s="719">
        <v>0</v>
      </c>
      <c r="I37" s="719">
        <v>0</v>
      </c>
      <c r="J37" s="719">
        <v>0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2" t="s">
        <v>403</v>
      </c>
      <c r="B38" s="719">
        <v>0</v>
      </c>
      <c r="C38" s="719">
        <v>0.1</v>
      </c>
      <c r="D38" s="719">
        <v>0</v>
      </c>
      <c r="E38" s="719">
        <v>0</v>
      </c>
      <c r="F38" s="719">
        <v>0</v>
      </c>
      <c r="G38" s="719">
        <v>0</v>
      </c>
      <c r="H38" s="719">
        <v>0</v>
      </c>
      <c r="I38" s="719">
        <v>0</v>
      </c>
      <c r="J38" s="719">
        <v>0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2" t="s">
        <v>348</v>
      </c>
      <c r="B39" s="719">
        <v>0</v>
      </c>
      <c r="C39" s="719">
        <v>0</v>
      </c>
      <c r="D39" s="719">
        <v>0</v>
      </c>
      <c r="E39" s="719">
        <v>0</v>
      </c>
      <c r="F39" s="719">
        <v>0.13100000000000001</v>
      </c>
      <c r="G39" s="719">
        <v>5.4000000000000003E-3</v>
      </c>
      <c r="H39" s="719">
        <v>1.8E-3</v>
      </c>
      <c r="I39" s="719">
        <v>0</v>
      </c>
      <c r="J39" s="719">
        <v>0</v>
      </c>
      <c r="K39" s="719">
        <v>0</v>
      </c>
      <c r="L39" s="719">
        <v>0</v>
      </c>
      <c r="M39" s="719">
        <v>0.109</v>
      </c>
      <c r="N39" s="719"/>
    </row>
    <row r="40" spans="1:14" x14ac:dyDescent="0.2">
      <c r="A40" s="723" t="s">
        <v>256</v>
      </c>
      <c r="B40" s="719">
        <v>0.3</v>
      </c>
      <c r="C40" s="719">
        <v>7.4300000000000005E-2</v>
      </c>
      <c r="D40" s="719">
        <v>0</v>
      </c>
      <c r="E40" s="719">
        <v>0</v>
      </c>
      <c r="F40" s="719">
        <v>7.1399999999999996E-3</v>
      </c>
      <c r="G40" s="719">
        <v>1.7100000000000001E-2</v>
      </c>
      <c r="H40" s="719">
        <v>2.5700000000000001E-2</v>
      </c>
      <c r="I40" s="719">
        <v>2.1399999999999999E-2</v>
      </c>
      <c r="J40" s="719">
        <v>5.7099999999999998E-3</v>
      </c>
      <c r="K40" s="719">
        <v>0</v>
      </c>
      <c r="L40" s="719">
        <v>0</v>
      </c>
      <c r="M40" s="719">
        <v>6.2899999999999998E-2</v>
      </c>
      <c r="N40" s="719"/>
    </row>
    <row r="41" spans="1:14" x14ac:dyDescent="0.2">
      <c r="A41" s="722" t="s">
        <v>257</v>
      </c>
      <c r="B41" s="719">
        <v>0.32</v>
      </c>
      <c r="C41" s="189">
        <v>0.08</v>
      </c>
      <c r="D41" s="719">
        <v>0</v>
      </c>
      <c r="E41" s="719">
        <v>0</v>
      </c>
      <c r="F41" s="719">
        <v>8.0000000000000002E-3</v>
      </c>
      <c r="G41" s="719">
        <v>0.02</v>
      </c>
      <c r="H41" s="719">
        <v>2.8000000000000001E-2</v>
      </c>
      <c r="I41" s="719">
        <v>2.4E-2</v>
      </c>
      <c r="J41" s="719">
        <v>8.0000000000000002E-3</v>
      </c>
      <c r="K41" s="719">
        <v>0</v>
      </c>
      <c r="L41" s="189">
        <v>0</v>
      </c>
      <c r="M41" s="719">
        <v>7.1999999999999995E-2</v>
      </c>
      <c r="N41" s="719"/>
    </row>
    <row r="42" spans="1:14" x14ac:dyDescent="0.2">
      <c r="A42" s="722" t="s">
        <v>34</v>
      </c>
      <c r="B42" s="719">
        <v>0.35</v>
      </c>
      <c r="C42" s="719">
        <v>8.7999999999999995E-2</v>
      </c>
      <c r="D42" s="719">
        <v>0</v>
      </c>
      <c r="E42" s="719">
        <v>0</v>
      </c>
      <c r="F42" s="719">
        <v>0.01</v>
      </c>
      <c r="G42" s="719">
        <v>2.5000000000000001E-2</v>
      </c>
      <c r="H42" s="719">
        <v>1.7999999999999999E-2</v>
      </c>
      <c r="I42" s="719">
        <v>0.03</v>
      </c>
      <c r="J42" s="719">
        <v>0.01</v>
      </c>
      <c r="K42" s="719">
        <v>0</v>
      </c>
      <c r="L42" s="719">
        <v>0</v>
      </c>
      <c r="M42" s="719">
        <v>5.6000000000000001E-2</v>
      </c>
      <c r="N42" s="719"/>
    </row>
    <row r="43" spans="1:14" x14ac:dyDescent="0.2">
      <c r="A43" s="723" t="s">
        <v>35</v>
      </c>
      <c r="B43" s="719">
        <v>0.33</v>
      </c>
      <c r="C43" s="719">
        <v>8.3000000000000004E-2</v>
      </c>
      <c r="D43" s="719">
        <v>0</v>
      </c>
      <c r="E43" s="719">
        <v>0</v>
      </c>
      <c r="F43" s="719">
        <v>1.2500000000000001E-2</v>
      </c>
      <c r="G43" s="719">
        <v>3.1E-2</v>
      </c>
      <c r="H43" s="719">
        <v>2.5999999999999999E-2</v>
      </c>
      <c r="I43" s="719">
        <v>3.7999999999999999E-2</v>
      </c>
      <c r="J43" s="719">
        <v>1.2500000000000001E-2</v>
      </c>
      <c r="K43" s="719">
        <v>0</v>
      </c>
      <c r="L43" s="719">
        <v>0</v>
      </c>
      <c r="M43" s="719">
        <v>7.4999999999999997E-2</v>
      </c>
      <c r="N43" s="719"/>
    </row>
    <row r="44" spans="1:14" x14ac:dyDescent="0.2">
      <c r="A44" s="722" t="s">
        <v>7633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2" t="s">
        <v>853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2" t="s">
        <v>149</v>
      </c>
      <c r="B46" s="719">
        <v>0</v>
      </c>
      <c r="C46" s="719">
        <v>0</v>
      </c>
      <c r="D46" s="719">
        <v>0</v>
      </c>
      <c r="E46" s="719">
        <v>0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7" spans="1:14" x14ac:dyDescent="0.2">
      <c r="A47" s="722" t="s">
        <v>148</v>
      </c>
      <c r="B47" s="719">
        <v>0</v>
      </c>
      <c r="C47" s="719">
        <v>0</v>
      </c>
      <c r="D47" s="719">
        <v>0</v>
      </c>
      <c r="E47" s="360">
        <v>0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40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122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100</v>
      </c>
      <c r="E18" t="s">
        <v>270</v>
      </c>
      <c r="F18">
        <f>_Pat_Gewicht</f>
        <v>10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100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7371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7372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7373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7237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7238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7239</v>
      </c>
      <c r="B84" s="715" t="str">
        <f t="shared" si="1"/>
        <v>strSql = strSql &amp; "SELECT" &amp; vbNewLine</v>
      </c>
    </row>
    <row r="85" spans="1:2" ht="15" x14ac:dyDescent="0.25">
      <c r="A85" t="s">
        <v>7240</v>
      </c>
      <c r="B85" s="715" t="str">
        <f t="shared" si="1"/>
        <v>strSql = strSql &amp; "u.UserID" &amp; vbNewLine</v>
      </c>
    </row>
    <row r="86" spans="1:2" ht="15" x14ac:dyDescent="0.25">
      <c r="A86" t="s">
        <v>7241</v>
      </c>
      <c r="B86" s="715" t="str">
        <f t="shared" si="1"/>
        <v>strSql = strSql &amp; ", u.Login" &amp; vbNewLine</v>
      </c>
    </row>
    <row r="87" spans="1:2" ht="15" x14ac:dyDescent="0.25">
      <c r="A87" t="s">
        <v>7242</v>
      </c>
      <c r="B87" s="715" t="str">
        <f t="shared" si="1"/>
        <v>strSql = strSql &amp; ", u.FirstName" &amp; vbNewLine</v>
      </c>
    </row>
    <row r="88" spans="1:2" ht="15" x14ac:dyDescent="0.25">
      <c r="A88" t="s">
        <v>7243</v>
      </c>
      <c r="B88" s="715" t="str">
        <f t="shared" si="1"/>
        <v>strSql = strSql &amp; ", u.LastName" &amp; vbNewLine</v>
      </c>
    </row>
    <row r="89" spans="1:2" ht="15" x14ac:dyDescent="0.25">
      <c r="A89" t="s">
        <v>7244</v>
      </c>
      <c r="B89" s="715" t="str">
        <f t="shared" si="1"/>
        <v>strSql = strSql &amp; ", ut.UserTypeName" &amp; vbNewLine</v>
      </c>
    </row>
    <row r="90" spans="1:2" ht="15" x14ac:dyDescent="0.25">
      <c r="A90" t="s">
        <v>7245</v>
      </c>
      <c r="B90" s="715" t="str">
        <f t="shared" si="1"/>
        <v>strSql = strSql &amp; "FROM Users u" &amp; vbNewLine</v>
      </c>
    </row>
    <row r="91" spans="1:2" ht="15" x14ac:dyDescent="0.25">
      <c r="A91" t="s">
        <v>7246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7247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1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>Bunny</v>
      </c>
      <c r="C3" s="704" t="str">
        <f t="shared" ref="C3:C66" si="1">A3&amp;"**"&amp;B3</f>
        <v>Patient.AchterNaam**Bunny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>Bucks</v>
      </c>
      <c r="C4" s="704" t="str">
        <f t="shared" si="1"/>
        <v>Patient.VoorNaam**Bucks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16-jul-2018</v>
      </c>
      <c r="C5" s="704" t="str">
        <f t="shared" si="1"/>
        <v>Patient.GebDat**16-jul-2018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122 dagen</v>
      </c>
      <c r="C6" s="704" t="str">
        <f t="shared" ca="1" si="1"/>
        <v>Patient.Leeftijd**122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>onbepaald</v>
      </c>
      <c r="C7" s="704" t="str">
        <f t="shared" si="1"/>
        <v>Patient.Geslacht**onbepaald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>10 kg</v>
      </c>
      <c r="C8" s="704" t="str">
        <f t="shared" si="1"/>
        <v>Patient.Gewicht**10 kg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>90 cm</v>
      </c>
      <c r="C9" s="704" t="str">
        <f t="shared" si="1"/>
        <v>Patient.Lengte**90 cm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>0,5 m2</v>
      </c>
      <c r="C10" s="704" t="str">
        <f t="shared" si="1"/>
        <v>Patient.BSA**0,5 m2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>Medicament^^fentanyl||Sterkte^^1 mg||Volume^^50 ml||Oplossing^^NaCl 0,9%||Stand^^0 ml/uur||Dosering^^0 microg/kg/uur||Totaal^^0 ml||Advies^^1-5 microg/kg/uur</v>
      </c>
      <c r="C48" s="704" t="str">
        <f t="shared" si="1"/>
        <v>PedMedCont.01**Medicament^^fentanyl||Sterkte^^1 mg||Volume^^50 ml||Oplossing^^NaCl 0,9%||Stand^^0 ml/uur||Dosering^^0 microg/kg/uur||Totaal^^0 ml||Advies^^1-5 microg/kg/uur</v>
      </c>
      <c r="D48" s="152" t="s">
        <v>5119</v>
      </c>
      <c r="E48" s="157" t="s">
        <v>331</v>
      </c>
      <c r="F48" t="s">
        <v>254</v>
      </c>
      <c r="G48" s="151" t="str">
        <f>PedBerMedIV!AF5</f>
        <v>fentanyl</v>
      </c>
      <c r="H48" t="s">
        <v>153</v>
      </c>
      <c r="I48" s="151" t="str">
        <f>PedBerMedIV!AG5</f>
        <v>1 mg</v>
      </c>
      <c r="J48" t="s">
        <v>235</v>
      </c>
      <c r="K48" s="151" t="str">
        <f>PedBerMedIV!AH5</f>
        <v>50 ml</v>
      </c>
      <c r="L48" t="s">
        <v>110</v>
      </c>
      <c r="M48" s="151" t="str">
        <f>PedBerMedIV!AI5</f>
        <v>NaCl 0,9%</v>
      </c>
      <c r="N48" t="s">
        <v>42</v>
      </c>
      <c r="O48" s="151" t="str">
        <f>PedBerMedIV!AJ5</f>
        <v>0 ml/uur</v>
      </c>
      <c r="P48" t="s">
        <v>255</v>
      </c>
      <c r="Q48" s="151" t="str">
        <f>PedBerMedIV!AK5&amp;" "&amp;PedBerMedIV!AL5</f>
        <v>0 microg/kg/uur</v>
      </c>
      <c r="R48" t="s">
        <v>85</v>
      </c>
      <c r="S48" s="151" t="str">
        <f>PedBerMedIV!AM5</f>
        <v>0 ml</v>
      </c>
      <c r="T48" s="152" t="s">
        <v>418</v>
      </c>
      <c r="U48" t="str">
        <f>PedBerMedIV!AN5</f>
        <v>1-5 microg/kg/uur</v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5119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5119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>0 ml/kg</v>
      </c>
      <c r="C144" s="704" t="str">
        <f t="shared" si="11"/>
        <v>NeoIntake.Vocht**0 ml/kg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>0 kcal/kg</v>
      </c>
      <c r="C145" s="704" t="str">
        <f t="shared" si="11"/>
        <v>NeoIntake.Energy**0 kcal/kg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>0 mg/kg/min</v>
      </c>
      <c r="C146" s="704" t="str">
        <f t="shared" si="11"/>
        <v>NeoIntake.Glucose**0 mg/kg/min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>0 gram/kg</v>
      </c>
      <c r="C147" s="704" t="str">
        <f t="shared" si="11"/>
        <v>NeoIntake.Eiwit**0 gram/kg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>0 gram/kg</v>
      </c>
      <c r="C148" s="704" t="str">
        <f t="shared" si="11"/>
        <v>NeoIntake.Vet**0 gram/kg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>0 IE</v>
      </c>
      <c r="C149" s="704" t="str">
        <f t="shared" si="11"/>
        <v>NeoIntake.Vitamine D**0 IE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>0 mmol/kg</v>
      </c>
      <c r="C150" s="704" t="str">
        <f t="shared" si="11"/>
        <v>NeoIntake.IJzer**0 mmol/kg</v>
      </c>
      <c r="D150" s="152" t="s">
        <v>482</v>
      </c>
      <c r="E150" s="152" t="s">
        <v>7137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>0 mmol/kg</v>
      </c>
      <c r="C151" s="704" t="str">
        <f t="shared" si="11"/>
        <v>NeoIntake.Natrium**0 mmol/kg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>0 mmol/kg</v>
      </c>
      <c r="C152" s="704" t="str">
        <f t="shared" si="11"/>
        <v>NeoIntake.Chloor**0 mmol/kg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>0 mmol/kg</v>
      </c>
      <c r="C153" s="704" t="str">
        <f t="shared" si="11"/>
        <v>NeoIntake.Calcium**0 mmol/kg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>0 mmol/kg</v>
      </c>
      <c r="C154" s="704" t="str">
        <f t="shared" si="11"/>
        <v>NeoIntake.Magnesium**0 mmol/kg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>0 mmol/kg</v>
      </c>
      <c r="C155" s="704" t="str">
        <f t="shared" si="11"/>
        <v>NeoIntake.Fosfaat**0 mmol/kg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7862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>Unit 3-2</v>
      </c>
      <c r="C3" s="289"/>
      <c r="D3" s="151" t="str">
        <f t="shared" ref="D3:D66" si="0">A3&amp;"##"&amp;B3</f>
        <v>__1_Bed##Unit 3-2</v>
      </c>
    </row>
    <row r="4" spans="1:6" x14ac:dyDescent="0.2">
      <c r="A4" s="151" t="s">
        <v>886</v>
      </c>
      <c r="B4" s="151" t="str">
        <f>IF(ISBLANK(PatDetails!$B$3),"",PatDetails!$B$3)</f>
        <v>Bunny</v>
      </c>
      <c r="C4" s="289"/>
      <c r="D4" s="151" t="str">
        <f t="shared" si="0"/>
        <v>__2_AchterNaam##Bunny</v>
      </c>
    </row>
    <row r="5" spans="1:6" x14ac:dyDescent="0.2">
      <c r="A5" s="151" t="s">
        <v>887</v>
      </c>
      <c r="B5" s="151" t="str">
        <f>IF(ISBLANK(PatDetails!$B$4),"",PatDetails!$B$4)</f>
        <v>Bucks</v>
      </c>
      <c r="C5" s="289"/>
      <c r="D5" s="151" t="str">
        <f t="shared" si="0"/>
        <v>__3_VoorNaam##Bucks</v>
      </c>
    </row>
    <row r="6" spans="1:6" x14ac:dyDescent="0.2">
      <c r="A6" s="151" t="s">
        <v>888</v>
      </c>
      <c r="B6" s="11">
        <f>IF(ISBLANK(PatDetails!$B$5),"",PatDetails!$B$5)</f>
        <v>43297</v>
      </c>
      <c r="C6" s="43">
        <f>EmptyDate()</f>
        <v>1462</v>
      </c>
      <c r="D6" s="151" t="str">
        <f t="shared" si="0"/>
        <v>__4_GebDatum##43297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7146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7148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7150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7152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7154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7156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7158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7160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7162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7164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7166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7168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7170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7172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7174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7176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7178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7180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7182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7184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7186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7188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7190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7192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7194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7196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7198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7200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7202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7204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7792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7794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7796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7798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7800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7802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7804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7806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7808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7810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7812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7814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7816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7818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7820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7822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7824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7826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7828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7830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7832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7834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7836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7838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7840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7842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7844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7846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7848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7850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7534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7536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7538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7540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7542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7544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7546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7548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7550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7552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7554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7556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7558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7560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7562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7564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7566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7568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7570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7572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7574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7576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7578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7580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7582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7584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7586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7588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7590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7592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7663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7665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7667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7669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7671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7673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7675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7677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7679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7681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7683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7685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7687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7689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7691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7693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7695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7697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7699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7701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7703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7705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7707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7709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7711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7713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7715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7717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7719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7721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7723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7725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7727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7729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7731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7733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7735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7737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7739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7741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7743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7745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7747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7749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7751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7753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7755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7757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7759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7761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7763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7765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7767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7769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7771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7773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7775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7777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7779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7781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7045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7051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>onbepaald</v>
      </c>
      <c r="C1614" s="151"/>
      <c r="D1614" s="151" t="str">
        <f t="shared" si="25"/>
        <v>_Pat_Geslacht##onbepaald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10</v>
      </c>
      <c r="C1617" s="153">
        <v>0</v>
      </c>
      <c r="D1617" s="151" t="str">
        <f t="shared" si="25"/>
        <v>_Pat_Gewicht##10</v>
      </c>
    </row>
    <row r="1618" spans="1:6" x14ac:dyDescent="0.2">
      <c r="A1618" s="151" t="s">
        <v>2746</v>
      </c>
      <c r="B1618">
        <f>IF(ISBLANK(PatDetails!$B$7),"",PatDetails!$B$7)</f>
        <v>90</v>
      </c>
      <c r="C1618" s="153">
        <v>0</v>
      </c>
      <c r="D1618" s="151" t="str">
        <f t="shared" si="25"/>
        <v>_Pat_Lengte##90</v>
      </c>
    </row>
    <row r="1619" spans="1:6" x14ac:dyDescent="0.2">
      <c r="A1619" s="151" t="s">
        <v>2744</v>
      </c>
      <c r="B1619" s="11">
        <f>IF(ISBLANK(PatDetails!$B$10),"",PatDetails!$B$10)</f>
        <v>43297</v>
      </c>
      <c r="C1619" s="43">
        <f>EmptyDate()</f>
        <v>1462</v>
      </c>
      <c r="D1619" s="151" t="str">
        <f t="shared" si="25"/>
        <v>_Pat_OpnDatum##43297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14</v>
      </c>
      <c r="C1867" s="151">
        <v>1</v>
      </c>
      <c r="D1867" s="151" t="str">
        <f t="shared" si="29"/>
        <v>_Ped_MedIV_Keuze_01##14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2</v>
      </c>
      <c r="C1887" s="151">
        <v>1</v>
      </c>
      <c r="D1887" s="151" t="str">
        <f t="shared" si="29"/>
        <v>_Ped_MedIV_OplVlst_01##2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7640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 t="s">
        <v>3475</v>
      </c>
    </row>
    <row r="2" spans="1:7" x14ac:dyDescent="0.2">
      <c r="A2" s="152" t="s">
        <v>385</v>
      </c>
      <c r="B2" t="s">
        <v>7924</v>
      </c>
    </row>
    <row r="3" spans="1:7" s="151" customFormat="1" x14ac:dyDescent="0.2">
      <c r="A3" t="s">
        <v>157</v>
      </c>
      <c r="B3" t="s">
        <v>7921</v>
      </c>
    </row>
    <row r="4" spans="1:7" s="151" customFormat="1" x14ac:dyDescent="0.2">
      <c r="A4" t="s">
        <v>158</v>
      </c>
      <c r="B4" t="s">
        <v>7922</v>
      </c>
    </row>
    <row r="5" spans="1:7" x14ac:dyDescent="0.2">
      <c r="A5" s="152" t="s">
        <v>2808</v>
      </c>
      <c r="B5" s="11">
        <v>43297</v>
      </c>
      <c r="C5" s="2"/>
      <c r="D5" s="2"/>
      <c r="E5" s="2"/>
      <c r="G5" s="2"/>
    </row>
    <row r="6" spans="1:7" x14ac:dyDescent="0.2">
      <c r="A6" t="s">
        <v>207</v>
      </c>
      <c r="B6" s="38">
        <v>10</v>
      </c>
      <c r="C6" s="2"/>
      <c r="D6" s="2"/>
      <c r="E6" s="2"/>
      <c r="G6" s="2"/>
    </row>
    <row r="7" spans="1:7" x14ac:dyDescent="0.2">
      <c r="A7" t="s">
        <v>95</v>
      </c>
      <c r="B7">
        <v>90</v>
      </c>
    </row>
    <row r="8" spans="1:7" s="151" customFormat="1" x14ac:dyDescent="0.2">
      <c r="A8" s="151" t="s">
        <v>5160</v>
      </c>
      <c r="B8" s="151" t="s">
        <v>7923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43297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>0,5 m2</v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43418</v>
      </c>
    </row>
    <row r="16" spans="1:7" x14ac:dyDescent="0.2">
      <c r="A16" t="s">
        <v>341</v>
      </c>
      <c r="B16" s="43">
        <v>43418.700497685182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14-nov-2018</v>
      </c>
      <c r="E18" s="53"/>
    </row>
    <row r="19" spans="1:5" s="151" customFormat="1" x14ac:dyDescent="0.2">
      <c r="A19" s="152" t="s">
        <v>3299</v>
      </c>
      <c r="B19" s="43" t="str">
        <f ca="1">IF(IsEmptyDate(_Pat_OpnDatum),"",DateToString(_Pat_OpnDatum)&amp;" "&amp;B26)</f>
        <v>16-jul-2018 (dag 122)</v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>16-jul-2018</v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>0 jaar en 4 maand(-en)</v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>2 weken en 17 dag(-en)</v>
      </c>
    </row>
    <row r="24" spans="1:5" s="151" customFormat="1" x14ac:dyDescent="0.2">
      <c r="A24" s="152" t="s">
        <v>2805</v>
      </c>
      <c r="B24" s="151" t="str">
        <f ca="1">IF(Var_AfspraakDatum-__4_GebDatum&lt;=28,B23,B22)</f>
        <v>0 jaar en 4 maand(-en)</v>
      </c>
    </row>
    <row r="25" spans="1:5" x14ac:dyDescent="0.2">
      <c r="A25" s="152" t="s">
        <v>3294</v>
      </c>
      <c r="B25" t="str">
        <f>IF(__2_AchterNaam="","",IF(LEN(C25)&gt;40,LEFT(C25,40)&amp;"…",C25))</f>
        <v>Bunny, Bucks</v>
      </c>
      <c r="C25" t="str">
        <f>__2_AchterNaam&amp;", "&amp;__3_VoorNaam</f>
        <v>Bunny, Bucks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122)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 10 kg</v>
      </c>
    </row>
    <row r="28" spans="1:5" x14ac:dyDescent="0.2">
      <c r="A28" s="152" t="s">
        <v>3298</v>
      </c>
      <c r="B28" t="str">
        <f>IF(_Pat_Lengte&gt;0,"Lengte: "&amp;_Pat_Lengte&amp;" cm","Lengte:")</f>
        <v>Lengte: 90 cm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 0,5 m2</v>
      </c>
    </row>
    <row r="30" spans="1:5" x14ac:dyDescent="0.2">
      <c r="A30" s="152" t="s">
        <v>385</v>
      </c>
      <c r="B30" t="str">
        <f>IF(OR(__1_Bed=0,__1_Bed=""),"","Bed: "&amp;__1_Bed)</f>
        <v>Bed: Unit 3-2</v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onbepaald</v>
      </c>
    </row>
    <row r="34" spans="1:2" x14ac:dyDescent="0.2">
      <c r="B34" s="43"/>
    </row>
    <row r="35" spans="1:2" x14ac:dyDescent="0.2">
      <c r="A35" s="152" t="s">
        <v>7248</v>
      </c>
      <c r="B35" t="s">
        <v>7252</v>
      </c>
    </row>
    <row r="36" spans="1:2" x14ac:dyDescent="0.2">
      <c r="A36" s="152" t="s">
        <v>7249</v>
      </c>
      <c r="B36" t="s">
        <v>7253</v>
      </c>
    </row>
    <row r="37" spans="1:2" x14ac:dyDescent="0.2">
      <c r="A37" s="152" t="s">
        <v>7250</v>
      </c>
      <c r="B37" t="s">
        <v>7254</v>
      </c>
    </row>
    <row r="38" spans="1:2" x14ac:dyDescent="0.2">
      <c r="A38" s="152" t="s">
        <v>7251</v>
      </c>
      <c r="B38" s="43" t="s">
        <v>7255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14-nov-2018</v>
      </c>
      <c r="F2" s="570"/>
      <c r="G2" s="571"/>
      <c r="H2" s="569" t="s">
        <v>3460</v>
      </c>
      <c r="I2" s="572" t="str">
        <f ca="1">Txt_Pat_OpnameDat</f>
        <v>16-jul-2018 (dag 122)</v>
      </c>
      <c r="J2" s="573"/>
      <c r="K2" s="697" t="str">
        <f>Txt_Pat_Gewicht</f>
        <v>Gewicht: 10 kg</v>
      </c>
      <c r="L2" s="569"/>
      <c r="M2" s="569" t="str">
        <f>Txt_Pat_Bed</f>
        <v>Bed: Unit 3-2</v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>Bunny, Bucks</v>
      </c>
      <c r="F3" s="574"/>
      <c r="G3" s="574"/>
      <c r="H3" s="569" t="s">
        <v>3461</v>
      </c>
      <c r="I3" s="572" t="str">
        <f ca="1">Txt_Pat_GeboorteDat</f>
        <v>16-jul-2018</v>
      </c>
      <c r="J3" s="573"/>
      <c r="K3" s="697" t="str">
        <f>Txt_Pat_Lengte</f>
        <v>Lengte: 90 cm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>0 jaar en 4 maand(-en)</v>
      </c>
      <c r="J4" s="577"/>
      <c r="K4" s="697" t="str">
        <f>Txt_Pat_Oppervlak</f>
        <v>Lichamelijk oppervlak: 0,5 m2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>verw</v>
      </c>
      <c r="C9" s="462" t="str">
        <f>PedBerMedIV!AE5</f>
        <v/>
      </c>
      <c r="D9" s="598">
        <v>1</v>
      </c>
      <c r="E9" s="466">
        <f>PedBerMedIV!C5</f>
        <v>14</v>
      </c>
      <c r="F9" s="467" t="str">
        <f>PedBerMedIV!AG5</f>
        <v>1 mg</v>
      </c>
      <c r="G9" s="467" t="str">
        <f>PedBerMedIV!AH5</f>
        <v>50 ml</v>
      </c>
      <c r="H9" s="437"/>
      <c r="I9" s="437" t="str">
        <f>PedBerMedIV!AJ5</f>
        <v>0 ml/uur</v>
      </c>
      <c r="J9" s="437">
        <f>PedBerMedIV!AK5</f>
        <v>0</v>
      </c>
      <c r="K9" s="437" t="str">
        <f>PedBerMedIV!AL5</f>
        <v>microg/kg/uur</v>
      </c>
      <c r="L9" s="437" t="str">
        <f>PedBerMedIV!AM5</f>
        <v>0 ml</v>
      </c>
      <c r="M9" s="437" t="str">
        <f>PedBerMedIV!AN5</f>
        <v>1-5 microg/kg/uur</v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21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821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21"/>
      <c r="G32" s="821"/>
      <c r="H32" s="821"/>
      <c r="I32" s="821"/>
      <c r="J32" s="821"/>
      <c r="K32" s="821"/>
      <c r="L32" s="821"/>
      <c r="M32" s="821"/>
      <c r="N32" s="821"/>
      <c r="O32" s="821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21"/>
      <c r="G33" s="821"/>
      <c r="H33" s="821"/>
      <c r="I33" s="821"/>
      <c r="J33" s="821"/>
      <c r="K33" s="821"/>
      <c r="L33" s="821"/>
      <c r="M33" s="821"/>
      <c r="N33" s="821"/>
      <c r="O33" s="821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si="3">VLOOKUP($E36,Tbl_Ped_Totalen, 10,FALSE)</f>
        <v>110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>95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>15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>2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>3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0,5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14</v>
      </c>
      <c r="D5" s="161">
        <v>0</v>
      </c>
      <c r="E5" s="161">
        <v>0</v>
      </c>
      <c r="F5">
        <v>2</v>
      </c>
      <c r="G5">
        <v>0</v>
      </c>
      <c r="H5" s="161">
        <f>IF(C5&gt;1,IF(D5&gt;0,D5,IF(Medicatie_IsEpiduraal(AF5),Medicatie_CalcEpiQty(_Pat_Gewicht),INDEX(Tbl_Ped_MedContIV,C5,H$2))),"")</f>
        <v>1</v>
      </c>
      <c r="I5" s="161">
        <f>IF(C5&gt;1,IF(E5&gt;0,E5,IF(Medicatie_IsEpiduraal(AF5),Medicatie_CalcEpiVol(_Pat_Gewicht), INDEX(Tbl_Ped_MedContIV,C5,I$2))),"")</f>
        <v>50</v>
      </c>
      <c r="J5" s="161">
        <f t="shared" ref="J5:J19" si="0">IF(AND(C5&gt;1,_Pat_Gewicht&gt;0),IF(ContainsCaseInsensitive(INDEX(Tbl_Ped_MedContIV,C5,1),"EPI "),G5/10,FixPrecision(INDEX(Tbl_Ped_MedContIV,C5,J$2)*(G5/10)*(H5/I5)/(_Pat_Gewicht),2)),"")</f>
        <v>0</v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1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>verw</v>
      </c>
      <c r="AE5" t="str">
        <f>IF(NOT(OR(X5,Y5,Z5)),"","stand")</f>
        <v/>
      </c>
      <c r="AF5" t="str">
        <f t="shared" ref="AF5:AF19" si="12">IF(C5&gt;1,INDEX(Tbl_Ped_MedContIV,C5,AF$2),"")</f>
        <v>fentanyl</v>
      </c>
      <c r="AG5" t="str">
        <f t="shared" ref="AG5:AG19" si="13">IF(C5&gt;1,H5&amp;" "&amp;INDEX(Tbl_Ped_MedContIV,$C5,AG$2), "")</f>
        <v>1 mg</v>
      </c>
      <c r="AH5" t="str">
        <f t="shared" ref="AH5:AH19" si="14">IF(AND(C5&gt;1,I5&gt;0),I5&amp;" ml","")</f>
        <v>50 ml</v>
      </c>
      <c r="AI5" t="str">
        <f t="shared" ref="AI5:AI19" si="15">IF((INDEX(Tbl_Ped_MedContIV_OplVl,F5,1)=0),"",INDEX(Tbl_Ped_MedContIV_OplVl,F5,1))</f>
        <v>NaCl 0,9%</v>
      </c>
      <c r="AJ5" t="str">
        <f t="shared" ref="AJ5:AJ19" si="16">IF(C5&gt;1,G5/10&amp;" ml/uur","")</f>
        <v>0 ml/uur</v>
      </c>
      <c r="AK5">
        <f>IF(AND(C5&gt;1,J5&lt;&gt;""),J5*1,"")</f>
        <v>0</v>
      </c>
      <c r="AL5" t="str">
        <f t="shared" ref="AL5:AL19" si="17">IF(C5&gt;1,INDEX(Tbl_Ped_MedContIV,C5,AL$2), "")</f>
        <v>microg/kg/uur</v>
      </c>
      <c r="AM5" t="str">
        <f t="shared" ref="AM5:AM19" si="18">IF(C5&gt;1,24*G5/10&amp;" ml","")</f>
        <v>0 ml</v>
      </c>
      <c r="AN5" t="str">
        <f t="shared" ref="AN5:AN19" si="19">IF(C5&gt;1,INDEX(Tbl_Ped_MedContIV,C5,AN$2),"")</f>
        <v>1-5 microg/kg/uur</v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3" customWidth="1"/>
    <col min="2" max="2" width="33.140625" style="723" customWidth="1"/>
    <col min="3" max="3" width="12" style="723" customWidth="1"/>
    <col min="4" max="4" width="17.5703125" style="723" customWidth="1"/>
    <col min="5" max="18" width="7.140625" style="723" customWidth="1"/>
    <col min="19" max="19" width="16.28515625" style="723" customWidth="1"/>
    <col min="20" max="20" width="26.5703125" style="723" customWidth="1"/>
    <col min="21" max="21" width="12.28515625" style="723" customWidth="1"/>
    <col min="22" max="22" width="8.7109375" style="723" customWidth="1"/>
    <col min="23" max="23" width="9.5703125" style="723" customWidth="1"/>
    <col min="24" max="24" width="15.85546875" style="723" customWidth="1"/>
    <col min="25" max="16384" width="9.140625" style="723"/>
  </cols>
  <sheetData>
    <row r="1" spans="1:26" x14ac:dyDescent="0.2">
      <c r="A1" s="727"/>
      <c r="B1" s="728"/>
      <c r="C1" s="728"/>
      <c r="D1" s="728"/>
      <c r="E1" s="728" t="s">
        <v>4079</v>
      </c>
      <c r="F1" s="728"/>
      <c r="G1" s="728"/>
      <c r="H1" s="728"/>
      <c r="I1" s="728"/>
      <c r="J1" s="728"/>
      <c r="K1" s="728"/>
      <c r="L1" s="728"/>
      <c r="M1" s="728" t="s">
        <v>4080</v>
      </c>
      <c r="N1" s="728"/>
      <c r="O1" s="728"/>
      <c r="P1" s="728"/>
      <c r="Q1" s="728"/>
      <c r="R1" s="728"/>
      <c r="S1" s="728"/>
      <c r="T1" s="728" t="s">
        <v>4068</v>
      </c>
      <c r="U1" s="728"/>
      <c r="V1" s="728"/>
      <c r="W1" s="728"/>
      <c r="X1" s="728"/>
    </row>
    <row r="2" spans="1:26" x14ac:dyDescent="0.2">
      <c r="A2" s="729"/>
      <c r="B2" s="730"/>
      <c r="C2" s="730"/>
      <c r="D2" s="730"/>
      <c r="E2" s="730" t="s">
        <v>353</v>
      </c>
      <c r="F2" s="730"/>
      <c r="G2" s="730" t="s">
        <v>354</v>
      </c>
      <c r="H2" s="730"/>
      <c r="I2" s="730" t="s">
        <v>6978</v>
      </c>
      <c r="J2" s="730"/>
      <c r="K2" s="730" t="s">
        <v>6979</v>
      </c>
      <c r="L2" s="730"/>
      <c r="M2" s="730"/>
      <c r="N2" s="730"/>
      <c r="O2" s="730"/>
      <c r="P2" s="730"/>
      <c r="Q2" s="730"/>
      <c r="R2" s="730"/>
      <c r="S2" s="730"/>
      <c r="T2" s="730"/>
      <c r="U2" s="730" t="s">
        <v>362</v>
      </c>
      <c r="V2" s="730"/>
      <c r="W2" s="730"/>
      <c r="X2" s="730"/>
    </row>
    <row r="3" spans="1:26" s="733" customFormat="1" ht="38.25" x14ac:dyDescent="0.2">
      <c r="A3" s="731"/>
      <c r="B3" s="732" t="s">
        <v>4082</v>
      </c>
      <c r="C3" s="732" t="s">
        <v>3285</v>
      </c>
      <c r="D3" s="732" t="s">
        <v>4084</v>
      </c>
      <c r="E3" s="732" t="s">
        <v>4083</v>
      </c>
      <c r="F3" s="732" t="s">
        <v>365</v>
      </c>
      <c r="G3" s="732" t="s">
        <v>4083</v>
      </c>
      <c r="H3" s="732" t="s">
        <v>365</v>
      </c>
      <c r="I3" s="732" t="s">
        <v>4083</v>
      </c>
      <c r="J3" s="732" t="s">
        <v>365</v>
      </c>
      <c r="K3" s="732" t="s">
        <v>4083</v>
      </c>
      <c r="L3" s="732" t="s">
        <v>365</v>
      </c>
      <c r="M3" s="732" t="s">
        <v>4076</v>
      </c>
      <c r="N3" s="732" t="s">
        <v>4077</v>
      </c>
      <c r="O3" s="732" t="s">
        <v>4078</v>
      </c>
      <c r="P3" s="732" t="s">
        <v>4858</v>
      </c>
      <c r="Q3" s="732" t="s">
        <v>4856</v>
      </c>
      <c r="R3" s="732" t="s">
        <v>4066</v>
      </c>
      <c r="S3" s="732" t="s">
        <v>4086</v>
      </c>
      <c r="T3" s="732" t="s">
        <v>355</v>
      </c>
      <c r="U3" s="732" t="s">
        <v>4083</v>
      </c>
      <c r="V3" s="732" t="s">
        <v>365</v>
      </c>
      <c r="W3" s="732" t="s">
        <v>4732</v>
      </c>
      <c r="X3" s="732" t="s">
        <v>4074</v>
      </c>
      <c r="Z3" s="733" t="s">
        <v>4705</v>
      </c>
    </row>
    <row r="4" spans="1:26" x14ac:dyDescent="0.2">
      <c r="A4" s="729">
        <v>1</v>
      </c>
      <c r="B4" s="730"/>
      <c r="C4" s="730"/>
      <c r="D4" s="730"/>
      <c r="E4" s="730"/>
      <c r="F4" s="730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>
        <v>1</v>
      </c>
      <c r="S4" s="730"/>
      <c r="T4" s="730"/>
      <c r="U4" s="730"/>
      <c r="V4" s="730"/>
      <c r="W4" s="730"/>
      <c r="X4" s="730"/>
      <c r="Z4" s="719"/>
    </row>
    <row r="5" spans="1:26" x14ac:dyDescent="0.2">
      <c r="A5" s="729">
        <f>A4+1</f>
        <v>2</v>
      </c>
      <c r="B5" s="815" t="s">
        <v>159</v>
      </c>
      <c r="C5" s="815" t="s">
        <v>118</v>
      </c>
      <c r="D5" s="815" t="s">
        <v>451</v>
      </c>
      <c r="E5" s="815">
        <v>1</v>
      </c>
      <c r="F5" s="815">
        <v>50</v>
      </c>
      <c r="G5" s="815">
        <v>2</v>
      </c>
      <c r="H5" s="815">
        <v>50</v>
      </c>
      <c r="I5" s="815">
        <v>5</v>
      </c>
      <c r="J5" s="815">
        <v>50</v>
      </c>
      <c r="K5" s="816">
        <v>5</v>
      </c>
      <c r="L5" s="816">
        <v>50</v>
      </c>
      <c r="M5" s="815">
        <v>0.05</v>
      </c>
      <c r="N5" s="815">
        <v>0.5</v>
      </c>
      <c r="O5" s="815">
        <v>1</v>
      </c>
      <c r="P5" s="815">
        <v>0</v>
      </c>
      <c r="Q5" s="815">
        <v>0.1</v>
      </c>
      <c r="R5" s="815">
        <v>0</v>
      </c>
      <c r="S5" s="815"/>
      <c r="T5" s="730" t="str">
        <f t="shared" ref="T5:T35" si="0">IF(ISBLANK(S5),CONCATENATE(M5,"-",N5," ",D5),S5)</f>
        <v>0,05-0,5 microg/kg/min</v>
      </c>
      <c r="U5" s="730">
        <f t="shared" ref="U5:U35" si="1">IF(_Pat_Gewicht&lt;6,E5,IF(_Pat_Gewicht&lt;11,G5,IF(_Pat_Gewicht&lt;40,I5,K5)))</f>
        <v>2</v>
      </c>
      <c r="V5" s="730">
        <f t="shared" ref="V5:V35" si="2">IF(_Pat_Gewicht&lt;6,F5,IF(_Pat_Gewicht&lt;11,H5,IF(_Pat_Gewicht&lt;40,J5,L5)))</f>
        <v>50</v>
      </c>
      <c r="W5" s="730" t="b">
        <f t="shared" ref="W5:W35" si="3">ContainsCaseInsensitive(D5,"kg")</f>
        <v>1</v>
      </c>
      <c r="X5" s="730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29">
        <f t="shared" ref="A6:A35" si="5">A5+1</f>
        <v>3</v>
      </c>
      <c r="B6" s="815" t="s">
        <v>90</v>
      </c>
      <c r="C6" s="815" t="s">
        <v>55</v>
      </c>
      <c r="D6" s="815" t="s">
        <v>282</v>
      </c>
      <c r="E6" s="815">
        <v>0.2</v>
      </c>
      <c r="F6" s="815">
        <v>1</v>
      </c>
      <c r="G6" s="815">
        <v>0.2</v>
      </c>
      <c r="H6" s="815">
        <v>1</v>
      </c>
      <c r="I6" s="815">
        <v>0.2</v>
      </c>
      <c r="J6" s="815">
        <v>1</v>
      </c>
      <c r="K6" s="816">
        <v>0.2</v>
      </c>
      <c r="L6" s="816">
        <v>1</v>
      </c>
      <c r="M6" s="815">
        <v>1</v>
      </c>
      <c r="N6" s="815">
        <v>2</v>
      </c>
      <c r="O6" s="815">
        <v>4</v>
      </c>
      <c r="P6" s="815">
        <v>0</v>
      </c>
      <c r="Q6" s="815">
        <v>0</v>
      </c>
      <c r="R6" s="815">
        <v>1</v>
      </c>
      <c r="S6" s="815"/>
      <c r="T6" s="730" t="str">
        <f t="shared" si="0"/>
        <v>1-2 gram/kg/dag</v>
      </c>
      <c r="U6" s="730">
        <f t="shared" si="1"/>
        <v>0.2</v>
      </c>
      <c r="V6" s="730">
        <f t="shared" si="2"/>
        <v>1</v>
      </c>
      <c r="W6" s="730" t="b">
        <f t="shared" si="3"/>
        <v>1</v>
      </c>
      <c r="X6" s="730">
        <f t="shared" si="4"/>
        <v>24</v>
      </c>
      <c r="Z6" s="360" t="s">
        <v>450</v>
      </c>
    </row>
    <row r="7" spans="1:26" x14ac:dyDescent="0.2">
      <c r="A7" s="729">
        <f t="shared" si="5"/>
        <v>4</v>
      </c>
      <c r="B7" s="815" t="s">
        <v>109</v>
      </c>
      <c r="C7" s="815" t="s">
        <v>118</v>
      </c>
      <c r="D7" s="815" t="s">
        <v>321</v>
      </c>
      <c r="E7" s="815">
        <v>0.2</v>
      </c>
      <c r="F7" s="815">
        <v>50</v>
      </c>
      <c r="G7" s="815">
        <v>0</v>
      </c>
      <c r="H7" s="815">
        <v>0</v>
      </c>
      <c r="I7" s="815">
        <v>0</v>
      </c>
      <c r="J7" s="815">
        <v>0</v>
      </c>
      <c r="K7" s="815">
        <v>0</v>
      </c>
      <c r="L7" s="815">
        <v>0</v>
      </c>
      <c r="M7" s="815">
        <v>10</v>
      </c>
      <c r="N7" s="815">
        <v>50</v>
      </c>
      <c r="O7" s="815">
        <v>100</v>
      </c>
      <c r="P7" s="815">
        <v>0</v>
      </c>
      <c r="Q7" s="815">
        <v>0.02</v>
      </c>
      <c r="R7" s="815">
        <v>0</v>
      </c>
      <c r="S7" s="815"/>
      <c r="T7" s="730" t="str">
        <f t="shared" si="0"/>
        <v>10-50 nanog/kg/min</v>
      </c>
      <c r="U7" s="730">
        <f t="shared" si="1"/>
        <v>0</v>
      </c>
      <c r="V7" s="730">
        <f t="shared" si="2"/>
        <v>0</v>
      </c>
      <c r="W7" s="730" t="b">
        <f t="shared" si="3"/>
        <v>1</v>
      </c>
      <c r="X7" s="730">
        <f t="shared" si="4"/>
        <v>16666.666666666668</v>
      </c>
      <c r="Z7" s="360" t="s">
        <v>453</v>
      </c>
    </row>
    <row r="8" spans="1:26" x14ac:dyDescent="0.2">
      <c r="A8" s="729">
        <f t="shared" si="5"/>
        <v>5</v>
      </c>
      <c r="B8" s="815" t="s">
        <v>329</v>
      </c>
      <c r="C8" s="815" t="s">
        <v>118</v>
      </c>
      <c r="D8" s="815" t="s">
        <v>451</v>
      </c>
      <c r="E8" s="815">
        <v>50</v>
      </c>
      <c r="F8" s="815">
        <v>50</v>
      </c>
      <c r="G8" s="815">
        <v>150</v>
      </c>
      <c r="H8" s="815">
        <v>50</v>
      </c>
      <c r="I8" s="815">
        <v>300</v>
      </c>
      <c r="J8" s="815">
        <v>50</v>
      </c>
      <c r="K8" s="816">
        <v>600</v>
      </c>
      <c r="L8" s="816">
        <v>50</v>
      </c>
      <c r="M8" s="815">
        <v>5</v>
      </c>
      <c r="N8" s="815">
        <v>15</v>
      </c>
      <c r="O8" s="815">
        <v>25</v>
      </c>
      <c r="P8" s="815">
        <v>0.6</v>
      </c>
      <c r="Q8" s="815">
        <v>50</v>
      </c>
      <c r="R8" s="815">
        <v>0</v>
      </c>
      <c r="S8" s="815"/>
      <c r="T8" s="730" t="str">
        <f t="shared" si="0"/>
        <v>5-15 microg/kg/min</v>
      </c>
      <c r="U8" s="730">
        <f t="shared" si="1"/>
        <v>150</v>
      </c>
      <c r="V8" s="730">
        <f t="shared" si="2"/>
        <v>50</v>
      </c>
      <c r="W8" s="730" t="b">
        <f t="shared" si="3"/>
        <v>1</v>
      </c>
      <c r="X8" s="730">
        <f t="shared" si="4"/>
        <v>16.666666666666668</v>
      </c>
    </row>
    <row r="9" spans="1:26" x14ac:dyDescent="0.2">
      <c r="A9" s="729">
        <f t="shared" si="5"/>
        <v>6</v>
      </c>
      <c r="B9" s="815" t="s">
        <v>33</v>
      </c>
      <c r="C9" s="815" t="s">
        <v>118</v>
      </c>
      <c r="D9" s="815" t="s">
        <v>583</v>
      </c>
      <c r="E9" s="815">
        <v>0.15</v>
      </c>
      <c r="F9" s="815">
        <v>50</v>
      </c>
      <c r="G9" s="815">
        <v>0.3</v>
      </c>
      <c r="H9" s="815">
        <v>50</v>
      </c>
      <c r="I9" s="815">
        <v>0.6</v>
      </c>
      <c r="J9" s="815">
        <v>50</v>
      </c>
      <c r="K9" s="816">
        <v>0.6</v>
      </c>
      <c r="L9" s="816">
        <v>50</v>
      </c>
      <c r="M9" s="815">
        <v>0.25</v>
      </c>
      <c r="N9" s="815">
        <v>2</v>
      </c>
      <c r="O9" s="815">
        <v>3</v>
      </c>
      <c r="P9" s="815">
        <v>0</v>
      </c>
      <c r="Q9" s="815">
        <v>0.15</v>
      </c>
      <c r="R9" s="815">
        <v>2</v>
      </c>
      <c r="S9" s="815"/>
      <c r="T9" s="730" t="str">
        <f t="shared" si="0"/>
        <v>0,25-2 microg/kg/uur</v>
      </c>
      <c r="U9" s="730">
        <f t="shared" si="1"/>
        <v>0.3</v>
      </c>
      <c r="V9" s="730">
        <f t="shared" si="2"/>
        <v>50</v>
      </c>
      <c r="W9" s="730" t="b">
        <f t="shared" si="3"/>
        <v>1</v>
      </c>
      <c r="X9" s="730">
        <f t="shared" si="4"/>
        <v>1000</v>
      </c>
    </row>
    <row r="10" spans="1:26" x14ac:dyDescent="0.2">
      <c r="A10" s="729">
        <f t="shared" si="5"/>
        <v>7</v>
      </c>
      <c r="B10" s="815" t="s">
        <v>253</v>
      </c>
      <c r="C10" s="815" t="s">
        <v>118</v>
      </c>
      <c r="D10" s="815" t="s">
        <v>451</v>
      </c>
      <c r="E10" s="815">
        <v>80</v>
      </c>
      <c r="F10" s="815">
        <v>50</v>
      </c>
      <c r="G10" s="815">
        <v>200</v>
      </c>
      <c r="H10" s="815">
        <v>50</v>
      </c>
      <c r="I10" s="815">
        <v>400</v>
      </c>
      <c r="J10" s="815">
        <v>50</v>
      </c>
      <c r="K10" s="816">
        <v>400</v>
      </c>
      <c r="L10" s="816">
        <v>50</v>
      </c>
      <c r="M10" s="815">
        <v>1</v>
      </c>
      <c r="N10" s="815">
        <v>20</v>
      </c>
      <c r="O10" s="815">
        <v>30</v>
      </c>
      <c r="P10" s="815">
        <v>0</v>
      </c>
      <c r="Q10" s="815">
        <v>12.5</v>
      </c>
      <c r="R10" s="815">
        <v>0</v>
      </c>
      <c r="S10" s="815"/>
      <c r="T10" s="730" t="str">
        <f t="shared" si="0"/>
        <v>1-20 microg/kg/min</v>
      </c>
      <c r="U10" s="730">
        <f t="shared" si="1"/>
        <v>200</v>
      </c>
      <c r="V10" s="730">
        <f t="shared" si="2"/>
        <v>50</v>
      </c>
      <c r="W10" s="730" t="b">
        <f t="shared" si="3"/>
        <v>1</v>
      </c>
      <c r="X10" s="730">
        <f t="shared" si="4"/>
        <v>16.666666666666668</v>
      </c>
    </row>
    <row r="11" spans="1:26" x14ac:dyDescent="0.2">
      <c r="A11" s="729">
        <f t="shared" si="5"/>
        <v>8</v>
      </c>
      <c r="B11" s="815" t="s">
        <v>228</v>
      </c>
      <c r="C11" s="815" t="s">
        <v>118</v>
      </c>
      <c r="D11" s="815" t="s">
        <v>451</v>
      </c>
      <c r="E11" s="815">
        <v>80</v>
      </c>
      <c r="F11" s="815">
        <v>50</v>
      </c>
      <c r="G11" s="815">
        <v>200</v>
      </c>
      <c r="H11" s="815">
        <v>50</v>
      </c>
      <c r="I11" s="815">
        <v>400</v>
      </c>
      <c r="J11" s="815">
        <v>50</v>
      </c>
      <c r="K11" s="816">
        <v>400</v>
      </c>
      <c r="L11" s="816">
        <v>50</v>
      </c>
      <c r="M11" s="815">
        <v>1</v>
      </c>
      <c r="N11" s="815">
        <v>20</v>
      </c>
      <c r="O11" s="815">
        <v>30</v>
      </c>
      <c r="P11" s="815">
        <v>0</v>
      </c>
      <c r="Q11" s="815">
        <v>40</v>
      </c>
      <c r="R11" s="815">
        <v>0</v>
      </c>
      <c r="S11" s="815"/>
      <c r="T11" s="730" t="str">
        <f t="shared" si="0"/>
        <v>1-20 microg/kg/min</v>
      </c>
      <c r="U11" s="730">
        <f t="shared" si="1"/>
        <v>200</v>
      </c>
      <c r="V11" s="730">
        <f t="shared" si="2"/>
        <v>50</v>
      </c>
      <c r="W11" s="730" t="b">
        <f t="shared" si="3"/>
        <v>1</v>
      </c>
      <c r="X11" s="730">
        <f t="shared" si="4"/>
        <v>16.666666666666668</v>
      </c>
    </row>
    <row r="12" spans="1:26" x14ac:dyDescent="0.2">
      <c r="A12" s="729">
        <f t="shared" si="5"/>
        <v>9</v>
      </c>
      <c r="B12" s="815" t="s">
        <v>7625</v>
      </c>
      <c r="C12" s="815" t="s">
        <v>119</v>
      </c>
      <c r="D12" s="815" t="s">
        <v>129</v>
      </c>
      <c r="E12" s="815">
        <v>0</v>
      </c>
      <c r="F12" s="815">
        <v>24</v>
      </c>
      <c r="G12" s="815">
        <v>0</v>
      </c>
      <c r="H12" s="815">
        <v>48</v>
      </c>
      <c r="I12" s="815">
        <v>0</v>
      </c>
      <c r="J12" s="815">
        <v>48</v>
      </c>
      <c r="K12" s="815">
        <v>0</v>
      </c>
      <c r="L12" s="816">
        <v>48</v>
      </c>
      <c r="M12" s="815">
        <v>1</v>
      </c>
      <c r="N12" s="815">
        <v>8</v>
      </c>
      <c r="O12" s="815">
        <v>8</v>
      </c>
      <c r="P12" s="815">
        <v>0</v>
      </c>
      <c r="Q12" s="815">
        <v>0</v>
      </c>
      <c r="R12" s="815">
        <v>2</v>
      </c>
      <c r="S12" s="815" t="s">
        <v>4248</v>
      </c>
      <c r="T12" s="730" t="str">
        <f t="shared" si="0"/>
        <v>N.B. Epiduraal, volgens voorschrift anesthesist!</v>
      </c>
      <c r="U12" s="730">
        <f t="shared" si="1"/>
        <v>0</v>
      </c>
      <c r="V12" s="730">
        <f t="shared" si="2"/>
        <v>48</v>
      </c>
      <c r="W12" s="730" t="b">
        <f t="shared" si="3"/>
        <v>0</v>
      </c>
      <c r="X12" s="730">
        <f t="shared" si="4"/>
        <v>1</v>
      </c>
    </row>
    <row r="13" spans="1:26" x14ac:dyDescent="0.2">
      <c r="A13" s="729">
        <f t="shared" si="5"/>
        <v>10</v>
      </c>
      <c r="B13" s="815" t="s">
        <v>7626</v>
      </c>
      <c r="C13" s="815" t="s">
        <v>119</v>
      </c>
      <c r="D13" s="815" t="s">
        <v>129</v>
      </c>
      <c r="E13" s="815">
        <v>0</v>
      </c>
      <c r="F13" s="815">
        <v>24</v>
      </c>
      <c r="G13" s="815">
        <v>0</v>
      </c>
      <c r="H13" s="815">
        <v>48</v>
      </c>
      <c r="I13" s="815">
        <v>0</v>
      </c>
      <c r="J13" s="815">
        <v>48</v>
      </c>
      <c r="K13" s="815">
        <v>0</v>
      </c>
      <c r="L13" s="816">
        <v>48</v>
      </c>
      <c r="M13" s="815">
        <v>1</v>
      </c>
      <c r="N13" s="815">
        <v>8</v>
      </c>
      <c r="O13" s="815">
        <v>8</v>
      </c>
      <c r="P13" s="815">
        <v>0</v>
      </c>
      <c r="Q13" s="815">
        <v>0</v>
      </c>
      <c r="R13" s="815">
        <v>2</v>
      </c>
      <c r="S13" s="815" t="s">
        <v>4248</v>
      </c>
      <c r="T13" s="730" t="str">
        <f t="shared" si="0"/>
        <v>N.B. Epiduraal, volgens voorschrift anesthesist!</v>
      </c>
      <c r="U13" s="730">
        <f t="shared" si="1"/>
        <v>0</v>
      </c>
      <c r="V13" s="730">
        <f t="shared" si="2"/>
        <v>48</v>
      </c>
      <c r="W13" s="730" t="b">
        <f t="shared" si="3"/>
        <v>0</v>
      </c>
      <c r="X13" s="730">
        <f t="shared" si="4"/>
        <v>1</v>
      </c>
    </row>
    <row r="14" spans="1:26" x14ac:dyDescent="0.2">
      <c r="A14" s="729">
        <f t="shared" si="5"/>
        <v>11</v>
      </c>
      <c r="B14" s="815" t="s">
        <v>75</v>
      </c>
      <c r="C14" s="815" t="s">
        <v>118</v>
      </c>
      <c r="D14" s="815" t="s">
        <v>321</v>
      </c>
      <c r="E14" s="815">
        <v>0.2</v>
      </c>
      <c r="F14" s="815">
        <v>50</v>
      </c>
      <c r="G14" s="815">
        <v>0.4</v>
      </c>
      <c r="H14" s="815">
        <v>50</v>
      </c>
      <c r="I14" s="815">
        <v>0.8</v>
      </c>
      <c r="J14" s="815">
        <v>50</v>
      </c>
      <c r="K14" s="816">
        <v>0.8</v>
      </c>
      <c r="L14" s="816">
        <v>50</v>
      </c>
      <c r="M14" s="815">
        <v>0.5</v>
      </c>
      <c r="N14" s="815">
        <v>50</v>
      </c>
      <c r="O14" s="815">
        <v>50</v>
      </c>
      <c r="P14" s="815">
        <v>5.0000000000000001E-3</v>
      </c>
      <c r="Q14" s="815">
        <v>0.01</v>
      </c>
      <c r="R14" s="815">
        <v>1</v>
      </c>
      <c r="S14" s="815"/>
      <c r="T14" s="730" t="str">
        <f t="shared" si="0"/>
        <v>0,5-50 nanog/kg/min</v>
      </c>
      <c r="U14" s="730">
        <f t="shared" si="1"/>
        <v>0.4</v>
      </c>
      <c r="V14" s="730">
        <f t="shared" si="2"/>
        <v>50</v>
      </c>
      <c r="W14" s="730" t="b">
        <f t="shared" si="3"/>
        <v>1</v>
      </c>
      <c r="X14" s="730">
        <f t="shared" si="4"/>
        <v>16666.666666666668</v>
      </c>
    </row>
    <row r="15" spans="1:26" x14ac:dyDescent="0.2">
      <c r="A15" s="729">
        <f t="shared" si="5"/>
        <v>12</v>
      </c>
      <c r="B15" s="815" t="s">
        <v>103</v>
      </c>
      <c r="C15" s="815" t="s">
        <v>118</v>
      </c>
      <c r="D15" s="815" t="s">
        <v>280</v>
      </c>
      <c r="E15" s="815">
        <v>100</v>
      </c>
      <c r="F15" s="815">
        <v>50</v>
      </c>
      <c r="G15" s="815">
        <v>250</v>
      </c>
      <c r="H15" s="815">
        <v>50</v>
      </c>
      <c r="I15" s="815">
        <v>250</v>
      </c>
      <c r="J15" s="815">
        <v>50</v>
      </c>
      <c r="K15" s="816">
        <v>250</v>
      </c>
      <c r="L15" s="816">
        <v>50</v>
      </c>
      <c r="M15" s="815">
        <v>0.5</v>
      </c>
      <c r="N15" s="815">
        <v>1</v>
      </c>
      <c r="O15" s="815">
        <v>2</v>
      </c>
      <c r="P15" s="815">
        <v>0</v>
      </c>
      <c r="Q15" s="815">
        <v>5</v>
      </c>
      <c r="R15" s="815">
        <v>0</v>
      </c>
      <c r="S15" s="815"/>
      <c r="T15" s="730" t="str">
        <f t="shared" si="0"/>
        <v>0,5-1 mg/kg/uur</v>
      </c>
      <c r="U15" s="730">
        <f t="shared" si="1"/>
        <v>250</v>
      </c>
      <c r="V15" s="730">
        <f t="shared" si="2"/>
        <v>50</v>
      </c>
      <c r="W15" s="730" t="b">
        <f t="shared" si="3"/>
        <v>1</v>
      </c>
      <c r="X15" s="730">
        <f t="shared" si="4"/>
        <v>1</v>
      </c>
    </row>
    <row r="16" spans="1:26" x14ac:dyDescent="0.2">
      <c r="A16" s="729">
        <f t="shared" si="5"/>
        <v>13</v>
      </c>
      <c r="B16" s="815" t="s">
        <v>356</v>
      </c>
      <c r="C16" s="815" t="s">
        <v>118</v>
      </c>
      <c r="D16" s="815" t="s">
        <v>363</v>
      </c>
      <c r="E16" s="815">
        <v>500</v>
      </c>
      <c r="F16" s="815">
        <v>50</v>
      </c>
      <c r="G16" s="815">
        <v>500</v>
      </c>
      <c r="H16" s="815">
        <v>50</v>
      </c>
      <c r="I16" s="815">
        <v>500</v>
      </c>
      <c r="J16" s="815">
        <v>50</v>
      </c>
      <c r="K16" s="816">
        <v>500</v>
      </c>
      <c r="L16" s="816">
        <v>50</v>
      </c>
      <c r="M16" s="815">
        <v>0.1</v>
      </c>
      <c r="N16" s="815">
        <v>1</v>
      </c>
      <c r="O16" s="815">
        <v>2</v>
      </c>
      <c r="P16" s="815">
        <v>0</v>
      </c>
      <c r="Q16" s="815">
        <v>10</v>
      </c>
      <c r="R16" s="815">
        <v>0</v>
      </c>
      <c r="S16" s="815"/>
      <c r="T16" s="730" t="str">
        <f t="shared" si="0"/>
        <v>0,1-1 mg/kg/min</v>
      </c>
      <c r="U16" s="730">
        <f t="shared" si="1"/>
        <v>500</v>
      </c>
      <c r="V16" s="730">
        <f t="shared" si="2"/>
        <v>50</v>
      </c>
      <c r="W16" s="730" t="b">
        <f t="shared" si="3"/>
        <v>1</v>
      </c>
      <c r="X16" s="730">
        <f t="shared" si="4"/>
        <v>1.6666666666666666E-2</v>
      </c>
    </row>
    <row r="17" spans="1:24" x14ac:dyDescent="0.2">
      <c r="A17" s="729">
        <f t="shared" si="5"/>
        <v>14</v>
      </c>
      <c r="B17" s="815" t="s">
        <v>370</v>
      </c>
      <c r="C17" s="815" t="s">
        <v>118</v>
      </c>
      <c r="D17" s="815" t="s">
        <v>583</v>
      </c>
      <c r="E17" s="815">
        <v>0.5</v>
      </c>
      <c r="F17" s="815">
        <v>50</v>
      </c>
      <c r="G17" s="815">
        <v>1</v>
      </c>
      <c r="H17" s="815">
        <v>50</v>
      </c>
      <c r="I17" s="815">
        <v>2.5</v>
      </c>
      <c r="J17" s="815">
        <v>50</v>
      </c>
      <c r="K17" s="816">
        <v>2.5</v>
      </c>
      <c r="L17" s="816">
        <v>50</v>
      </c>
      <c r="M17" s="815">
        <v>1</v>
      </c>
      <c r="N17" s="815">
        <v>5</v>
      </c>
      <c r="O17" s="815">
        <v>10</v>
      </c>
      <c r="P17" s="815">
        <v>0</v>
      </c>
      <c r="Q17" s="815">
        <v>0.05</v>
      </c>
      <c r="R17" s="815">
        <v>0</v>
      </c>
      <c r="S17" s="815"/>
      <c r="T17" s="730" t="str">
        <f t="shared" si="0"/>
        <v>1-5 microg/kg/uur</v>
      </c>
      <c r="U17" s="730">
        <f t="shared" si="1"/>
        <v>1</v>
      </c>
      <c r="V17" s="730">
        <f t="shared" si="2"/>
        <v>50</v>
      </c>
      <c r="W17" s="730" t="b">
        <f t="shared" si="3"/>
        <v>1</v>
      </c>
      <c r="X17" s="730">
        <f t="shared" si="4"/>
        <v>1000</v>
      </c>
    </row>
    <row r="18" spans="1:24" x14ac:dyDescent="0.2">
      <c r="A18" s="729">
        <f t="shared" si="5"/>
        <v>15</v>
      </c>
      <c r="B18" s="815" t="s">
        <v>357</v>
      </c>
      <c r="C18" s="815" t="s">
        <v>118</v>
      </c>
      <c r="D18" s="815" t="s">
        <v>451</v>
      </c>
      <c r="E18" s="815">
        <v>1.5</v>
      </c>
      <c r="F18" s="815">
        <v>50</v>
      </c>
      <c r="G18" s="815">
        <v>2.5</v>
      </c>
      <c r="H18" s="815">
        <v>50</v>
      </c>
      <c r="I18" s="815">
        <v>5</v>
      </c>
      <c r="J18" s="815">
        <v>50</v>
      </c>
      <c r="K18" s="816">
        <v>5</v>
      </c>
      <c r="L18" s="816">
        <v>50</v>
      </c>
      <c r="M18" s="815">
        <v>0.05</v>
      </c>
      <c r="N18" s="815">
        <v>5</v>
      </c>
      <c r="O18" s="815">
        <v>10</v>
      </c>
      <c r="P18" s="815">
        <v>0</v>
      </c>
      <c r="Q18" s="815">
        <v>10</v>
      </c>
      <c r="R18" s="815">
        <v>0</v>
      </c>
      <c r="S18" s="815"/>
      <c r="T18" s="730" t="str">
        <f t="shared" si="0"/>
        <v>0,05-5 microg/kg/min</v>
      </c>
      <c r="U18" s="730">
        <f t="shared" si="1"/>
        <v>2.5</v>
      </c>
      <c r="V18" s="730">
        <f t="shared" si="2"/>
        <v>50</v>
      </c>
      <c r="W18" s="730" t="b">
        <f t="shared" si="3"/>
        <v>1</v>
      </c>
      <c r="X18" s="730">
        <f t="shared" si="4"/>
        <v>16.666666666666668</v>
      </c>
    </row>
    <row r="19" spans="1:24" x14ac:dyDescent="0.2">
      <c r="A19" s="729">
        <f t="shared" si="5"/>
        <v>16</v>
      </c>
      <c r="B19" s="815" t="s">
        <v>123</v>
      </c>
      <c r="C19" s="815" t="s">
        <v>118</v>
      </c>
      <c r="D19" s="815" t="s">
        <v>281</v>
      </c>
      <c r="E19" s="815">
        <v>10</v>
      </c>
      <c r="F19" s="815">
        <v>50</v>
      </c>
      <c r="G19" s="815">
        <v>20</v>
      </c>
      <c r="H19" s="815">
        <v>50</v>
      </c>
      <c r="I19" s="815">
        <v>40</v>
      </c>
      <c r="J19" s="815">
        <v>50</v>
      </c>
      <c r="K19" s="816">
        <v>100</v>
      </c>
      <c r="L19" s="816">
        <v>50</v>
      </c>
      <c r="M19" s="815">
        <v>1</v>
      </c>
      <c r="N19" s="815">
        <v>4</v>
      </c>
      <c r="O19" s="815">
        <v>6</v>
      </c>
      <c r="P19" s="815">
        <v>0</v>
      </c>
      <c r="Q19" s="815">
        <v>10</v>
      </c>
      <c r="R19" s="815">
        <v>0</v>
      </c>
      <c r="S19" s="815"/>
      <c r="T19" s="730" t="str">
        <f t="shared" si="0"/>
        <v>1-4 mg/kg/dag</v>
      </c>
      <c r="U19" s="730">
        <f t="shared" si="1"/>
        <v>20</v>
      </c>
      <c r="V19" s="730">
        <f t="shared" si="2"/>
        <v>50</v>
      </c>
      <c r="W19" s="730" t="b">
        <f t="shared" si="3"/>
        <v>1</v>
      </c>
      <c r="X19" s="730">
        <f t="shared" si="4"/>
        <v>24</v>
      </c>
    </row>
    <row r="20" spans="1:24" x14ac:dyDescent="0.2">
      <c r="A20" s="729">
        <f t="shared" si="5"/>
        <v>17</v>
      </c>
      <c r="B20" s="815" t="s">
        <v>138</v>
      </c>
      <c r="C20" s="815" t="s">
        <v>4045</v>
      </c>
      <c r="D20" s="815" t="s">
        <v>139</v>
      </c>
      <c r="E20" s="815">
        <v>5000</v>
      </c>
      <c r="F20" s="815">
        <v>50</v>
      </c>
      <c r="G20" s="815">
        <v>10000</v>
      </c>
      <c r="H20" s="815">
        <v>50</v>
      </c>
      <c r="I20" s="815">
        <v>20000</v>
      </c>
      <c r="J20" s="815">
        <v>50</v>
      </c>
      <c r="K20" s="816">
        <v>20000</v>
      </c>
      <c r="L20" s="816">
        <v>50</v>
      </c>
      <c r="M20" s="815">
        <v>10</v>
      </c>
      <c r="N20" s="815">
        <v>20</v>
      </c>
      <c r="O20" s="815">
        <v>50</v>
      </c>
      <c r="P20" s="815">
        <v>0</v>
      </c>
      <c r="Q20" s="815">
        <v>1000</v>
      </c>
      <c r="R20" s="815">
        <v>0</v>
      </c>
      <c r="S20" s="815"/>
      <c r="T20" s="730" t="str">
        <f t="shared" si="0"/>
        <v>10-20 IE/kg/uur</v>
      </c>
      <c r="U20" s="730">
        <f t="shared" si="1"/>
        <v>10000</v>
      </c>
      <c r="V20" s="730">
        <f t="shared" si="2"/>
        <v>50</v>
      </c>
      <c r="W20" s="730" t="b">
        <f t="shared" si="3"/>
        <v>1</v>
      </c>
      <c r="X20" s="730">
        <f t="shared" si="4"/>
        <v>1</v>
      </c>
    </row>
    <row r="21" spans="1:24" x14ac:dyDescent="0.2">
      <c r="A21" s="729">
        <f t="shared" si="5"/>
        <v>18</v>
      </c>
      <c r="B21" s="815" t="s">
        <v>358</v>
      </c>
      <c r="C21" s="815" t="s">
        <v>4045</v>
      </c>
      <c r="D21" s="815" t="s">
        <v>139</v>
      </c>
      <c r="E21" s="815">
        <v>10</v>
      </c>
      <c r="F21" s="815">
        <v>50</v>
      </c>
      <c r="G21" s="815">
        <v>10</v>
      </c>
      <c r="H21" s="815">
        <v>50</v>
      </c>
      <c r="I21" s="815">
        <v>50</v>
      </c>
      <c r="J21" s="815">
        <v>50</v>
      </c>
      <c r="K21" s="816">
        <v>50</v>
      </c>
      <c r="L21" s="816">
        <v>50</v>
      </c>
      <c r="M21" s="815">
        <v>0.02</v>
      </c>
      <c r="N21" s="815">
        <v>0.125</v>
      </c>
      <c r="O21" s="815">
        <v>2</v>
      </c>
      <c r="P21" s="815">
        <v>0</v>
      </c>
      <c r="Q21" s="815">
        <v>1</v>
      </c>
      <c r="R21" s="815">
        <v>2</v>
      </c>
      <c r="S21" s="815"/>
      <c r="T21" s="730" t="str">
        <f t="shared" si="0"/>
        <v>0,02-0,125 IE/kg/uur</v>
      </c>
      <c r="U21" s="730">
        <f t="shared" si="1"/>
        <v>10</v>
      </c>
      <c r="V21" s="730">
        <f t="shared" si="2"/>
        <v>50</v>
      </c>
      <c r="W21" s="730" t="b">
        <f t="shared" si="3"/>
        <v>1</v>
      </c>
      <c r="X21" s="730">
        <f t="shared" si="4"/>
        <v>1</v>
      </c>
    </row>
    <row r="22" spans="1:24" x14ac:dyDescent="0.2">
      <c r="A22" s="729">
        <f t="shared" si="5"/>
        <v>19</v>
      </c>
      <c r="B22" s="815" t="s">
        <v>304</v>
      </c>
      <c r="C22" s="815" t="s">
        <v>118</v>
      </c>
      <c r="D22" s="815" t="s">
        <v>451</v>
      </c>
      <c r="E22" s="815">
        <v>2</v>
      </c>
      <c r="F22" s="815">
        <v>50</v>
      </c>
      <c r="G22" s="815">
        <v>2</v>
      </c>
      <c r="H22" s="815">
        <v>50</v>
      </c>
      <c r="I22" s="815">
        <v>2</v>
      </c>
      <c r="J22" s="815">
        <v>50</v>
      </c>
      <c r="K22" s="816">
        <v>2</v>
      </c>
      <c r="L22" s="816">
        <v>50</v>
      </c>
      <c r="M22" s="815">
        <v>0.01</v>
      </c>
      <c r="N22" s="815">
        <v>1.5</v>
      </c>
      <c r="O22" s="815">
        <v>3</v>
      </c>
      <c r="P22" s="815">
        <v>0</v>
      </c>
      <c r="Q22" s="815">
        <v>1</v>
      </c>
      <c r="R22" s="815">
        <v>0</v>
      </c>
      <c r="S22" s="815"/>
      <c r="T22" s="730" t="str">
        <f t="shared" si="0"/>
        <v>0,01-1,5 microg/kg/min</v>
      </c>
      <c r="U22" s="730">
        <f t="shared" si="1"/>
        <v>2</v>
      </c>
      <c r="V22" s="730">
        <f t="shared" si="2"/>
        <v>50</v>
      </c>
      <c r="W22" s="730" t="b">
        <f t="shared" si="3"/>
        <v>1</v>
      </c>
      <c r="X22" s="730">
        <f t="shared" si="4"/>
        <v>16.666666666666668</v>
      </c>
    </row>
    <row r="23" spans="1:24" x14ac:dyDescent="0.2">
      <c r="A23" s="729">
        <f t="shared" si="5"/>
        <v>20</v>
      </c>
      <c r="B23" s="815" t="s">
        <v>359</v>
      </c>
      <c r="C23" s="815" t="s">
        <v>118</v>
      </c>
      <c r="D23" s="815" t="s">
        <v>280</v>
      </c>
      <c r="E23" s="815">
        <v>250</v>
      </c>
      <c r="F23" s="815">
        <v>50</v>
      </c>
      <c r="G23" s="815">
        <v>250</v>
      </c>
      <c r="H23" s="815">
        <v>50</v>
      </c>
      <c r="I23" s="815">
        <v>250</v>
      </c>
      <c r="J23" s="815">
        <v>50</v>
      </c>
      <c r="K23" s="816">
        <v>250</v>
      </c>
      <c r="L23" s="816">
        <v>50</v>
      </c>
      <c r="M23" s="815">
        <v>0.25</v>
      </c>
      <c r="N23" s="815">
        <v>3</v>
      </c>
      <c r="O23" s="815">
        <v>4</v>
      </c>
      <c r="P23" s="815">
        <v>0</v>
      </c>
      <c r="Q23" s="815">
        <v>5</v>
      </c>
      <c r="R23" s="815">
        <v>0</v>
      </c>
      <c r="S23" s="815"/>
      <c r="T23" s="730" t="str">
        <f t="shared" si="0"/>
        <v>0,25-3 mg/kg/uur</v>
      </c>
      <c r="U23" s="730">
        <f t="shared" si="1"/>
        <v>250</v>
      </c>
      <c r="V23" s="730">
        <f t="shared" si="2"/>
        <v>50</v>
      </c>
      <c r="W23" s="730" t="b">
        <f t="shared" si="3"/>
        <v>1</v>
      </c>
      <c r="X23" s="730">
        <f t="shared" si="4"/>
        <v>1</v>
      </c>
    </row>
    <row r="24" spans="1:24" x14ac:dyDescent="0.2">
      <c r="A24" s="729">
        <f t="shared" si="5"/>
        <v>21</v>
      </c>
      <c r="B24" s="815" t="s">
        <v>360</v>
      </c>
      <c r="C24" s="815" t="s">
        <v>118</v>
      </c>
      <c r="D24" s="815" t="s">
        <v>280</v>
      </c>
      <c r="E24" s="815">
        <v>500</v>
      </c>
      <c r="F24" s="815">
        <v>50</v>
      </c>
      <c r="G24" s="815">
        <v>1000</v>
      </c>
      <c r="H24" s="815">
        <v>50</v>
      </c>
      <c r="I24" s="815">
        <v>2000</v>
      </c>
      <c r="J24" s="815">
        <v>50</v>
      </c>
      <c r="K24" s="816">
        <v>2000</v>
      </c>
      <c r="L24" s="816">
        <v>50</v>
      </c>
      <c r="M24" s="815">
        <v>3</v>
      </c>
      <c r="N24" s="815">
        <v>20</v>
      </c>
      <c r="O24" s="815">
        <v>25</v>
      </c>
      <c r="P24" s="815">
        <v>1</v>
      </c>
      <c r="Q24" s="815">
        <v>160</v>
      </c>
      <c r="R24" s="815">
        <v>0</v>
      </c>
      <c r="S24" s="815"/>
      <c r="T24" s="730" t="str">
        <f t="shared" si="0"/>
        <v>3-20 mg/kg/uur</v>
      </c>
      <c r="U24" s="730">
        <f t="shared" si="1"/>
        <v>1000</v>
      </c>
      <c r="V24" s="730">
        <f t="shared" si="2"/>
        <v>50</v>
      </c>
      <c r="W24" s="730" t="b">
        <f t="shared" si="3"/>
        <v>1</v>
      </c>
      <c r="X24" s="730">
        <f t="shared" si="4"/>
        <v>1</v>
      </c>
    </row>
    <row r="25" spans="1:24" x14ac:dyDescent="0.2">
      <c r="A25" s="729">
        <f t="shared" si="5"/>
        <v>22</v>
      </c>
      <c r="B25" s="815" t="s">
        <v>275</v>
      </c>
      <c r="C25" s="815" t="s">
        <v>118</v>
      </c>
      <c r="D25" s="815" t="s">
        <v>280</v>
      </c>
      <c r="E25" s="815">
        <v>25</v>
      </c>
      <c r="F25" s="815">
        <v>50</v>
      </c>
      <c r="G25" s="815">
        <v>50</v>
      </c>
      <c r="H25" s="815">
        <v>50</v>
      </c>
      <c r="I25" s="815">
        <v>50</v>
      </c>
      <c r="J25" s="815">
        <v>50</v>
      </c>
      <c r="K25" s="816">
        <v>100</v>
      </c>
      <c r="L25" s="816">
        <v>50</v>
      </c>
      <c r="M25" s="815">
        <v>0.05</v>
      </c>
      <c r="N25" s="815">
        <v>0.5</v>
      </c>
      <c r="O25" s="815">
        <v>1</v>
      </c>
      <c r="P25" s="815">
        <v>0</v>
      </c>
      <c r="Q25" s="815">
        <v>5</v>
      </c>
      <c r="R25" s="815">
        <v>0</v>
      </c>
      <c r="S25" s="815"/>
      <c r="T25" s="730" t="str">
        <f t="shared" si="0"/>
        <v>0,05-0,5 mg/kg/uur</v>
      </c>
      <c r="U25" s="730">
        <f t="shared" si="1"/>
        <v>50</v>
      </c>
      <c r="V25" s="730">
        <f t="shared" si="2"/>
        <v>50</v>
      </c>
      <c r="W25" s="730" t="b">
        <f t="shared" si="3"/>
        <v>1</v>
      </c>
      <c r="X25" s="730">
        <f t="shared" si="4"/>
        <v>1</v>
      </c>
    </row>
    <row r="26" spans="1:24" x14ac:dyDescent="0.2">
      <c r="A26" s="729">
        <f t="shared" si="5"/>
        <v>23</v>
      </c>
      <c r="B26" s="815" t="s">
        <v>361</v>
      </c>
      <c r="C26" s="815" t="s">
        <v>118</v>
      </c>
      <c r="D26" s="815" t="s">
        <v>451</v>
      </c>
      <c r="E26" s="815">
        <v>5</v>
      </c>
      <c r="F26" s="815">
        <v>50</v>
      </c>
      <c r="G26" s="815">
        <v>10</v>
      </c>
      <c r="H26" s="815">
        <v>50</v>
      </c>
      <c r="I26" s="815">
        <v>20</v>
      </c>
      <c r="J26" s="815">
        <v>50</v>
      </c>
      <c r="K26" s="816">
        <v>20</v>
      </c>
      <c r="L26" s="816">
        <v>50</v>
      </c>
      <c r="M26" s="815">
        <v>0.15</v>
      </c>
      <c r="N26" s="815">
        <v>0.5</v>
      </c>
      <c r="O26" s="815">
        <v>0.75</v>
      </c>
      <c r="P26" s="815">
        <v>0</v>
      </c>
      <c r="Q26" s="815">
        <v>1</v>
      </c>
      <c r="R26" s="815">
        <v>0</v>
      </c>
      <c r="S26" s="815"/>
      <c r="T26" s="730" t="str">
        <f t="shared" si="0"/>
        <v>0,15-0,5 microg/kg/min</v>
      </c>
      <c r="U26" s="730">
        <f t="shared" si="1"/>
        <v>10</v>
      </c>
      <c r="V26" s="730">
        <f t="shared" si="2"/>
        <v>50</v>
      </c>
      <c r="W26" s="730" t="b">
        <f t="shared" si="3"/>
        <v>1</v>
      </c>
      <c r="X26" s="730">
        <f t="shared" si="4"/>
        <v>16.666666666666668</v>
      </c>
    </row>
    <row r="27" spans="1:24" x14ac:dyDescent="0.2">
      <c r="A27" s="729">
        <f t="shared" si="5"/>
        <v>24</v>
      </c>
      <c r="B27" s="815" t="s">
        <v>89</v>
      </c>
      <c r="C27" s="815" t="s">
        <v>118</v>
      </c>
      <c r="D27" s="815" t="s">
        <v>281</v>
      </c>
      <c r="E27" s="815">
        <v>2</v>
      </c>
      <c r="F27" s="815">
        <v>50</v>
      </c>
      <c r="G27" s="815">
        <v>5</v>
      </c>
      <c r="H27" s="815">
        <v>50</v>
      </c>
      <c r="I27" s="815">
        <v>10</v>
      </c>
      <c r="J27" s="815">
        <v>50</v>
      </c>
      <c r="K27" s="816">
        <v>50</v>
      </c>
      <c r="L27" s="816">
        <v>50</v>
      </c>
      <c r="M27" s="815">
        <v>0.1</v>
      </c>
      <c r="N27" s="815">
        <v>0.5</v>
      </c>
      <c r="O27" s="815">
        <v>1</v>
      </c>
      <c r="P27" s="815">
        <v>0</v>
      </c>
      <c r="Q27" s="815">
        <v>1</v>
      </c>
      <c r="R27" s="815">
        <v>0</v>
      </c>
      <c r="S27" s="815"/>
      <c r="T27" s="730" t="str">
        <f t="shared" si="0"/>
        <v>0,1-0,5 mg/kg/dag</v>
      </c>
      <c r="U27" s="730">
        <f t="shared" si="1"/>
        <v>5</v>
      </c>
      <c r="V27" s="730">
        <f t="shared" si="2"/>
        <v>50</v>
      </c>
      <c r="W27" s="730" t="b">
        <f t="shared" si="3"/>
        <v>1</v>
      </c>
      <c r="X27" s="730">
        <f t="shared" si="4"/>
        <v>24</v>
      </c>
    </row>
    <row r="28" spans="1:24" x14ac:dyDescent="0.2">
      <c r="A28" s="729">
        <f t="shared" si="5"/>
        <v>25</v>
      </c>
      <c r="B28" s="815" t="s">
        <v>7875</v>
      </c>
      <c r="C28" s="815" t="s">
        <v>369</v>
      </c>
      <c r="D28" s="815" t="s">
        <v>302</v>
      </c>
      <c r="E28" s="815">
        <v>25</v>
      </c>
      <c r="F28" s="815">
        <v>50</v>
      </c>
      <c r="G28" s="815">
        <v>25</v>
      </c>
      <c r="H28" s="815">
        <v>50</v>
      </c>
      <c r="I28" s="815">
        <v>25</v>
      </c>
      <c r="J28" s="815">
        <v>50</v>
      </c>
      <c r="K28" s="816">
        <v>25</v>
      </c>
      <c r="L28" s="816">
        <v>50</v>
      </c>
      <c r="M28" s="815">
        <v>2</v>
      </c>
      <c r="N28" s="815">
        <v>4</v>
      </c>
      <c r="O28" s="815">
        <v>6</v>
      </c>
      <c r="P28" s="815">
        <v>0</v>
      </c>
      <c r="Q28" s="815">
        <v>0</v>
      </c>
      <c r="R28" s="815">
        <v>1</v>
      </c>
      <c r="S28" s="815"/>
      <c r="T28" s="730" t="str">
        <f t="shared" si="0"/>
        <v>2-4 mmol/kg/dag</v>
      </c>
      <c r="U28" s="730">
        <f t="shared" si="1"/>
        <v>25</v>
      </c>
      <c r="V28" s="730">
        <f t="shared" si="2"/>
        <v>50</v>
      </c>
      <c r="W28" s="730" t="b">
        <f t="shared" si="3"/>
        <v>1</v>
      </c>
      <c r="X28" s="730">
        <f t="shared" si="4"/>
        <v>24</v>
      </c>
    </row>
    <row r="29" spans="1:24" x14ac:dyDescent="0.2">
      <c r="A29" s="729">
        <f t="shared" si="5"/>
        <v>26</v>
      </c>
      <c r="B29" s="815" t="s">
        <v>48</v>
      </c>
      <c r="C29" s="815" t="s">
        <v>118</v>
      </c>
      <c r="D29" s="815" t="s">
        <v>451</v>
      </c>
      <c r="E29" s="815">
        <v>10</v>
      </c>
      <c r="F29" s="815">
        <v>50</v>
      </c>
      <c r="G29" s="815">
        <v>20</v>
      </c>
      <c r="H29" s="815">
        <v>50</v>
      </c>
      <c r="I29" s="815">
        <v>40</v>
      </c>
      <c r="J29" s="815">
        <v>50</v>
      </c>
      <c r="K29" s="816">
        <v>40</v>
      </c>
      <c r="L29" s="816">
        <v>50</v>
      </c>
      <c r="M29" s="815">
        <v>0.5</v>
      </c>
      <c r="N29" s="815">
        <v>8</v>
      </c>
      <c r="O29" s="815">
        <v>10</v>
      </c>
      <c r="P29" s="815">
        <v>0</v>
      </c>
      <c r="Q29" s="815">
        <v>10</v>
      </c>
      <c r="R29" s="815">
        <v>0</v>
      </c>
      <c r="S29" s="815"/>
      <c r="T29" s="730" t="str">
        <f t="shared" si="0"/>
        <v>0,5-8 microg/kg/min</v>
      </c>
      <c r="U29" s="730">
        <f t="shared" si="1"/>
        <v>20</v>
      </c>
      <c r="V29" s="730">
        <f t="shared" si="2"/>
        <v>50</v>
      </c>
      <c r="W29" s="730" t="b">
        <f t="shared" si="3"/>
        <v>1</v>
      </c>
      <c r="X29" s="730">
        <f t="shared" si="4"/>
        <v>16.666666666666668</v>
      </c>
    </row>
    <row r="30" spans="1:24" x14ac:dyDescent="0.2">
      <c r="A30" s="729">
        <f t="shared" si="5"/>
        <v>27</v>
      </c>
      <c r="B30" s="815" t="s">
        <v>300</v>
      </c>
      <c r="C30" s="815" t="s">
        <v>118</v>
      </c>
      <c r="D30" s="815" t="s">
        <v>451</v>
      </c>
      <c r="E30" s="815">
        <v>1</v>
      </c>
      <c r="F30" s="815">
        <v>50</v>
      </c>
      <c r="G30" s="815">
        <v>2</v>
      </c>
      <c r="H30" s="815">
        <v>50</v>
      </c>
      <c r="I30" s="815">
        <v>5</v>
      </c>
      <c r="J30" s="815">
        <v>50</v>
      </c>
      <c r="K30" s="816">
        <v>5</v>
      </c>
      <c r="L30" s="816">
        <v>50</v>
      </c>
      <c r="M30" s="815">
        <v>0.05</v>
      </c>
      <c r="N30" s="815">
        <v>0.5</v>
      </c>
      <c r="O30" s="815">
        <v>1</v>
      </c>
      <c r="P30" s="815">
        <v>0</v>
      </c>
      <c r="Q30" s="815">
        <v>1</v>
      </c>
      <c r="R30" s="815">
        <v>0</v>
      </c>
      <c r="S30" s="815"/>
      <c r="T30" s="730" t="str">
        <f t="shared" si="0"/>
        <v>0,05-0,5 microg/kg/min</v>
      </c>
      <c r="U30" s="730">
        <f t="shared" si="1"/>
        <v>2</v>
      </c>
      <c r="V30" s="730">
        <f t="shared" si="2"/>
        <v>50</v>
      </c>
      <c r="W30" s="730" t="b">
        <f t="shared" si="3"/>
        <v>1</v>
      </c>
      <c r="X30" s="730">
        <f t="shared" si="4"/>
        <v>16.666666666666668</v>
      </c>
    </row>
    <row r="31" spans="1:24" x14ac:dyDescent="0.2">
      <c r="A31" s="729">
        <f t="shared" si="5"/>
        <v>28</v>
      </c>
      <c r="B31" s="815" t="s">
        <v>249</v>
      </c>
      <c r="C31" s="815" t="s">
        <v>118</v>
      </c>
      <c r="D31" s="815" t="s">
        <v>280</v>
      </c>
      <c r="E31" s="815">
        <v>10</v>
      </c>
      <c r="F31" s="815">
        <v>1</v>
      </c>
      <c r="G31" s="815">
        <v>10</v>
      </c>
      <c r="H31" s="815">
        <v>1</v>
      </c>
      <c r="I31" s="815">
        <v>10</v>
      </c>
      <c r="J31" s="815">
        <v>1</v>
      </c>
      <c r="K31" s="816">
        <v>10</v>
      </c>
      <c r="L31" s="816">
        <v>1</v>
      </c>
      <c r="M31" s="815">
        <v>1</v>
      </c>
      <c r="N31" s="815">
        <v>4</v>
      </c>
      <c r="O31" s="815">
        <v>4</v>
      </c>
      <c r="P31" s="815">
        <v>0</v>
      </c>
      <c r="Q31" s="815">
        <v>0</v>
      </c>
      <c r="R31" s="815">
        <v>1</v>
      </c>
      <c r="S31" s="815"/>
      <c r="T31" s="730" t="str">
        <f t="shared" si="0"/>
        <v>1-4 mg/kg/uur</v>
      </c>
      <c r="U31" s="730">
        <f t="shared" si="1"/>
        <v>10</v>
      </c>
      <c r="V31" s="730">
        <f t="shared" si="2"/>
        <v>1</v>
      </c>
      <c r="W31" s="730" t="b">
        <f t="shared" si="3"/>
        <v>1</v>
      </c>
      <c r="X31" s="730">
        <f t="shared" si="4"/>
        <v>1</v>
      </c>
    </row>
    <row r="32" spans="1:24" x14ac:dyDescent="0.2">
      <c r="A32" s="729">
        <f t="shared" si="5"/>
        <v>29</v>
      </c>
      <c r="B32" s="815" t="s">
        <v>250</v>
      </c>
      <c r="C32" s="815" t="s">
        <v>118</v>
      </c>
      <c r="D32" s="815" t="s">
        <v>280</v>
      </c>
      <c r="E32" s="815">
        <v>20</v>
      </c>
      <c r="F32" s="815">
        <v>1</v>
      </c>
      <c r="G32" s="815">
        <v>20</v>
      </c>
      <c r="H32" s="815">
        <v>1</v>
      </c>
      <c r="I32" s="815">
        <v>20</v>
      </c>
      <c r="J32" s="815">
        <v>1</v>
      </c>
      <c r="K32" s="816">
        <v>20</v>
      </c>
      <c r="L32" s="816">
        <v>1</v>
      </c>
      <c r="M32" s="815">
        <v>1</v>
      </c>
      <c r="N32" s="815">
        <v>4</v>
      </c>
      <c r="O32" s="815">
        <v>4</v>
      </c>
      <c r="P32" s="815">
        <v>0</v>
      </c>
      <c r="Q32" s="815">
        <v>0</v>
      </c>
      <c r="R32" s="815">
        <v>1</v>
      </c>
      <c r="S32" s="815"/>
      <c r="T32" s="730" t="str">
        <f t="shared" si="0"/>
        <v>1-4 mg/kg/uur</v>
      </c>
      <c r="U32" s="730">
        <f t="shared" si="1"/>
        <v>20</v>
      </c>
      <c r="V32" s="730">
        <f t="shared" si="2"/>
        <v>1</v>
      </c>
      <c r="W32" s="730" t="b">
        <f t="shared" si="3"/>
        <v>1</v>
      </c>
      <c r="X32" s="730">
        <f t="shared" si="4"/>
        <v>1</v>
      </c>
    </row>
    <row r="33" spans="1:24" x14ac:dyDescent="0.2">
      <c r="A33" s="729">
        <f t="shared" si="5"/>
        <v>30</v>
      </c>
      <c r="B33" s="815" t="s">
        <v>206</v>
      </c>
      <c r="C33" s="815" t="s">
        <v>118</v>
      </c>
      <c r="D33" s="815" t="s">
        <v>280</v>
      </c>
      <c r="E33" s="815">
        <v>50</v>
      </c>
      <c r="F33" s="815">
        <v>50</v>
      </c>
      <c r="G33" s="815">
        <v>100</v>
      </c>
      <c r="H33" s="815">
        <v>50</v>
      </c>
      <c r="I33" s="815">
        <v>200</v>
      </c>
      <c r="J33" s="815">
        <v>50</v>
      </c>
      <c r="K33" s="816">
        <v>200</v>
      </c>
      <c r="L33" s="816">
        <v>50</v>
      </c>
      <c r="M33" s="815">
        <v>0.6</v>
      </c>
      <c r="N33" s="815">
        <v>1.2</v>
      </c>
      <c r="O33" s="815">
        <v>2</v>
      </c>
      <c r="P33" s="815">
        <v>0</v>
      </c>
      <c r="Q33" s="815">
        <v>10</v>
      </c>
      <c r="R33" s="815">
        <v>0</v>
      </c>
      <c r="S33" s="815"/>
      <c r="T33" s="730" t="str">
        <f t="shared" si="0"/>
        <v>0,6-1,2 mg/kg/uur</v>
      </c>
      <c r="U33" s="730">
        <f t="shared" si="1"/>
        <v>100</v>
      </c>
      <c r="V33" s="730">
        <f t="shared" si="2"/>
        <v>50</v>
      </c>
      <c r="W33" s="730" t="b">
        <f t="shared" si="3"/>
        <v>1</v>
      </c>
      <c r="X33" s="730">
        <f t="shared" si="4"/>
        <v>1</v>
      </c>
    </row>
    <row r="34" spans="1:24" x14ac:dyDescent="0.2">
      <c r="A34" s="729">
        <f t="shared" si="5"/>
        <v>31</v>
      </c>
      <c r="B34" s="815" t="s">
        <v>26</v>
      </c>
      <c r="C34" s="815" t="s">
        <v>118</v>
      </c>
      <c r="D34" s="815" t="s">
        <v>451</v>
      </c>
      <c r="E34" s="815">
        <v>5</v>
      </c>
      <c r="F34" s="815">
        <v>50</v>
      </c>
      <c r="G34" s="815">
        <v>10</v>
      </c>
      <c r="H34" s="815">
        <v>50</v>
      </c>
      <c r="I34" s="815">
        <v>20</v>
      </c>
      <c r="J34" s="815">
        <v>50</v>
      </c>
      <c r="K34" s="816">
        <v>20</v>
      </c>
      <c r="L34" s="816">
        <v>50</v>
      </c>
      <c r="M34" s="815">
        <v>0.1</v>
      </c>
      <c r="N34" s="815">
        <v>10</v>
      </c>
      <c r="O34" s="815">
        <v>15</v>
      </c>
      <c r="P34" s="815">
        <v>5.0000000000000001E-3</v>
      </c>
      <c r="Q34" s="815">
        <v>0.42</v>
      </c>
      <c r="R34" s="815">
        <v>0</v>
      </c>
      <c r="S34" s="815"/>
      <c r="T34" s="730" t="str">
        <f t="shared" si="0"/>
        <v>0,1-10 microg/kg/min</v>
      </c>
      <c r="U34" s="730">
        <f t="shared" si="1"/>
        <v>10</v>
      </c>
      <c r="V34" s="730">
        <f t="shared" si="2"/>
        <v>50</v>
      </c>
      <c r="W34" s="730" t="b">
        <f t="shared" si="3"/>
        <v>1</v>
      </c>
      <c r="X34" s="730">
        <f t="shared" si="4"/>
        <v>16.666666666666668</v>
      </c>
    </row>
    <row r="35" spans="1:24" x14ac:dyDescent="0.2">
      <c r="A35" s="729">
        <f t="shared" si="5"/>
        <v>32</v>
      </c>
      <c r="B35" s="815" t="s">
        <v>273</v>
      </c>
      <c r="C35" s="815" t="s">
        <v>118</v>
      </c>
      <c r="D35" s="815" t="s">
        <v>280</v>
      </c>
      <c r="E35" s="815">
        <v>1250</v>
      </c>
      <c r="F35" s="815">
        <v>50</v>
      </c>
      <c r="G35" s="815">
        <v>1250</v>
      </c>
      <c r="H35" s="815">
        <v>50</v>
      </c>
      <c r="I35" s="815">
        <v>1250</v>
      </c>
      <c r="J35" s="815">
        <v>50</v>
      </c>
      <c r="K35" s="816">
        <v>1250</v>
      </c>
      <c r="L35" s="816">
        <v>50</v>
      </c>
      <c r="M35" s="815">
        <v>5</v>
      </c>
      <c r="N35" s="815">
        <v>10</v>
      </c>
      <c r="O35" s="815">
        <v>20</v>
      </c>
      <c r="P35" s="815">
        <v>5</v>
      </c>
      <c r="Q35" s="815">
        <v>25</v>
      </c>
      <c r="R35" s="815">
        <v>0</v>
      </c>
      <c r="S35" s="815" t="s">
        <v>340</v>
      </c>
      <c r="T35" s="730" t="str">
        <f t="shared" si="0"/>
        <v>Op geleide van spiegels</v>
      </c>
      <c r="U35" s="730">
        <f t="shared" si="1"/>
        <v>1250</v>
      </c>
      <c r="V35" s="730">
        <f t="shared" si="2"/>
        <v>50</v>
      </c>
      <c r="W35" s="730" t="b">
        <f t="shared" si="3"/>
        <v>1</v>
      </c>
      <c r="X35" s="730">
        <f t="shared" si="4"/>
        <v>1</v>
      </c>
    </row>
    <row r="36" spans="1:24" x14ac:dyDescent="0.2">
      <c r="A36" s="734" t="s">
        <v>4081</v>
      </c>
      <c r="B36" s="735">
        <v>1</v>
      </c>
      <c r="C36" s="735">
        <f>B36+1</f>
        <v>2</v>
      </c>
      <c r="D36" s="735">
        <f t="shared" ref="D36:H36" si="6">C36+1</f>
        <v>3</v>
      </c>
      <c r="E36" s="735">
        <f t="shared" si="6"/>
        <v>4</v>
      </c>
      <c r="F36" s="735">
        <f t="shared" si="6"/>
        <v>5</v>
      </c>
      <c r="G36" s="735">
        <f t="shared" si="6"/>
        <v>6</v>
      </c>
      <c r="H36" s="735">
        <f t="shared" si="6"/>
        <v>7</v>
      </c>
      <c r="I36" s="735">
        <f t="shared" ref="I36" si="7">H36+1</f>
        <v>8</v>
      </c>
      <c r="J36" s="735">
        <f t="shared" ref="J36" si="8">I36+1</f>
        <v>9</v>
      </c>
      <c r="K36" s="735">
        <f t="shared" ref="K36" si="9">J36+1</f>
        <v>10</v>
      </c>
      <c r="L36" s="735">
        <f t="shared" ref="L36" si="10">K36+1</f>
        <v>11</v>
      </c>
      <c r="M36" s="735">
        <f t="shared" ref="M36" si="11">L36+1</f>
        <v>12</v>
      </c>
      <c r="N36" s="735">
        <f t="shared" ref="N36" si="12">M36+1</f>
        <v>13</v>
      </c>
      <c r="O36" s="735">
        <f t="shared" ref="O36" si="13">N36+1</f>
        <v>14</v>
      </c>
      <c r="P36" s="735">
        <f t="shared" ref="P36" si="14">O36+1</f>
        <v>15</v>
      </c>
      <c r="Q36" s="735">
        <f t="shared" ref="Q36" si="15">P36+1</f>
        <v>16</v>
      </c>
      <c r="R36" s="735">
        <f t="shared" ref="R36" si="16">Q36+1</f>
        <v>17</v>
      </c>
      <c r="S36" s="735">
        <f t="shared" ref="S36" si="17">R36+1</f>
        <v>18</v>
      </c>
      <c r="T36" s="735">
        <f t="shared" ref="T36" si="18">S36+1</f>
        <v>19</v>
      </c>
      <c r="U36" s="735">
        <f t="shared" ref="U36" si="19">T36+1</f>
        <v>20</v>
      </c>
      <c r="V36" s="735">
        <f t="shared" ref="V36" si="20">U36+1</f>
        <v>21</v>
      </c>
      <c r="W36" s="735">
        <f t="shared" ref="W36" si="21">V36+1</f>
        <v>22</v>
      </c>
      <c r="X36" s="735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14-nov-2018</v>
      </c>
      <c r="F2" s="569"/>
      <c r="G2" s="579"/>
      <c r="H2" s="573" t="s">
        <v>230</v>
      </c>
      <c r="I2" s="573" t="str">
        <f ca="1">Txt_Pat_OpnameDat</f>
        <v>16-jul-2018 (dag 122)</v>
      </c>
      <c r="J2" s="581"/>
      <c r="K2" s="569"/>
      <c r="L2" s="566" t="str">
        <f>Txt_Pat_Gewicht</f>
        <v>Gewicht: 10 kg</v>
      </c>
      <c r="M2" s="566"/>
      <c r="N2" s="566" t="str">
        <f>Txt_Pat_Bed</f>
        <v>Bed: Unit 3-2</v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>Bunny, Bucks</v>
      </c>
      <c r="F3" s="569"/>
      <c r="G3" s="580"/>
      <c r="H3" s="573" t="s">
        <v>236</v>
      </c>
      <c r="I3" s="573" t="str">
        <f ca="1">Txt_Pat_GeboorteDat</f>
        <v>16-jul-2018</v>
      </c>
      <c r="J3" s="569"/>
      <c r="K3" s="569"/>
      <c r="L3" s="569" t="str">
        <f>Txt_Pat_Lengte</f>
        <v>Lengte: 90 cm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>0 jaar en 4 maand(-en)</v>
      </c>
      <c r="J4" s="569"/>
      <c r="K4" s="569"/>
      <c r="L4" s="569" t="str">
        <f>Txt_Pat_Oppervlak</f>
        <v>Lichamelijk oppervlak: 0,5 m2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22">
        <f>_Ped_Lijn_Opm</f>
        <v>0</v>
      </c>
      <c r="F16" s="823"/>
      <c r="G16" s="823"/>
      <c r="H16" s="823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7417</v>
      </c>
      <c r="K1" s="1" t="s">
        <v>7415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7416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14-nov-2018</v>
      </c>
      <c r="G2" s="571"/>
      <c r="H2" s="569"/>
      <c r="I2" s="573" t="s">
        <v>3460</v>
      </c>
      <c r="J2" s="573"/>
      <c r="K2" s="569" t="str">
        <f ca="1">Txt_Pat_OpnameDat</f>
        <v>16-jul-2018 (dag 122)</v>
      </c>
      <c r="L2" s="566" t="str">
        <f>Txt_Pat_Gewicht</f>
        <v>Gewicht: 10 kg</v>
      </c>
      <c r="M2" s="566"/>
      <c r="N2" s="569" t="str">
        <f>Txt_Pat_Bed</f>
        <v>Bed: Unit 3-2</v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>Bunny, Bucks</v>
      </c>
      <c r="G3" s="574"/>
      <c r="H3" s="569"/>
      <c r="I3" s="573" t="s">
        <v>3461</v>
      </c>
      <c r="J3" s="573"/>
      <c r="K3" s="569" t="str">
        <f ca="1">Txt_Pat_GeboorteDat</f>
        <v>16-jul-2018</v>
      </c>
      <c r="L3" s="566" t="str">
        <f>Txt_Pat_Lengte</f>
        <v>Lengte: 90 cm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>0 jaar en 4 maand(-en)</v>
      </c>
      <c r="L4" s="566" t="str">
        <f>Txt_Pat_Oppervlak</f>
        <v>Lichamelijk oppervlak: 0,5 m2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4">
        <f>_Ped_Ent_Opm</f>
        <v>0</v>
      </c>
      <c r="G18" s="825"/>
      <c r="H18" s="825"/>
      <c r="I18" s="825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0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7867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7867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7428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4">
        <f>_Ped_TPN_Opm</f>
        <v>0</v>
      </c>
      <c r="G39" s="825"/>
      <c r="H39" s="825"/>
      <c r="I39" s="825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si="1">VLOOKUP($E42,Tbl_Ped_Totalen, 10,FALSE)</f>
        <v>110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>95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>15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>2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>3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0,5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7412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7866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7427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7635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7866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>95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4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>IF(N4&gt;2,FixPrecision(HLOOKUP(A4,Tbl_Ped_TPN_Advice,N4,FALSE),2),IF(GlobBerNorm!A18=0,"",GlobBerNorm!A18))&amp;" "&amp;B4&amp;"/kg"</f>
        <v>110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4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>15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4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>2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4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>3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4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0,5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1000</v>
      </c>
      <c r="H22" s="151">
        <v>150</v>
      </c>
      <c r="I22" s="151">
        <f>IF(_Pat_Gewicht&gt;0,(_Pat_Gewicht)*H22,0)</f>
        <v>1500</v>
      </c>
      <c r="J22" s="151">
        <v>2.5</v>
      </c>
      <c r="K22" s="151">
        <f>IF(_Pat_Gewicht&gt;0,(_Pat_Gewicht)*J22,0)</f>
        <v>25</v>
      </c>
      <c r="L22" s="151">
        <v>3</v>
      </c>
      <c r="M22" s="151">
        <f>IF(_Pat_Gewicht&gt;0,(_Pat_Gewicht)*L22,0)</f>
        <v>30</v>
      </c>
      <c r="N22" s="151">
        <v>15.5</v>
      </c>
      <c r="O22" s="151">
        <f>IF(_Pat_Gewicht&gt;0,(_Pat_Gewicht)*N22,0)</f>
        <v>155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1</v>
      </c>
      <c r="F23" s="151">
        <v>95</v>
      </c>
      <c r="G23" s="151">
        <f>IF(_Pat_Gewicht&gt;0,(_Pat_Gewicht)*F23,0)</f>
        <v>950</v>
      </c>
      <c r="H23" s="151">
        <v>110</v>
      </c>
      <c r="I23" s="151">
        <f>IF(_Pat_Gewicht&gt;0,(_Pat_Gewicht)*H23,0)</f>
        <v>1100</v>
      </c>
      <c r="J23" s="151">
        <v>2</v>
      </c>
      <c r="K23" s="151">
        <f>IF(_Pat_Gewicht&gt;0,(_Pat_Gewicht)*J23,0)</f>
        <v>20</v>
      </c>
      <c r="L23" s="151">
        <v>3</v>
      </c>
      <c r="M23" s="151">
        <f>IF(_Pat_Gewicht&gt;0,(_Pat_Gewicht)*L23,0)</f>
        <v>30</v>
      </c>
      <c r="N23" s="151">
        <v>14.5</v>
      </c>
      <c r="O23" s="151">
        <f>IF(_Pat_Gewicht&gt;0,(_Pat_Gewicht)*N23,0)</f>
        <v>145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900</v>
      </c>
      <c r="H24" s="151">
        <v>90</v>
      </c>
      <c r="I24" s="151">
        <f>IF(_Pat_Gewicht&gt;0,(_Pat_Gewicht)*H24,0)</f>
        <v>900</v>
      </c>
      <c r="J24" s="151">
        <v>1.5</v>
      </c>
      <c r="K24" s="151">
        <f>IF(_Pat_Gewicht&gt;0,(_Pat_Gewicht)*J24,0)</f>
        <v>15</v>
      </c>
      <c r="L24" s="151">
        <v>3</v>
      </c>
      <c r="M24" s="151">
        <f>IF(_Pat_Gewicht&gt;0,(_Pat_Gewicht)*L24,0)</f>
        <v>30</v>
      </c>
      <c r="N24" s="151">
        <v>13.5</v>
      </c>
      <c r="O24" s="151">
        <f>IF(_Pat_Gewicht&gt;0,(_Pat_Gewicht)*N24,0)</f>
        <v>135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750</v>
      </c>
      <c r="H25" s="151">
        <v>75</v>
      </c>
      <c r="I25" s="151">
        <f>IF(_Pat_Gewicht&gt;0,(_Pat_Gewicht)*H25,0)</f>
        <v>750</v>
      </c>
      <c r="J25" s="151">
        <v>1.5</v>
      </c>
      <c r="K25" s="151">
        <f>IF(_Pat_Gewicht&gt;0,(_Pat_Gewicht)*J25,0)</f>
        <v>15</v>
      </c>
      <c r="L25" s="151">
        <v>3</v>
      </c>
      <c r="M25" s="151">
        <f>IF(_Pat_Gewicht&gt;0,(_Pat_Gewicht)*L25,0)</f>
        <v>30</v>
      </c>
      <c r="N25" s="151">
        <v>10.5</v>
      </c>
      <c r="O25" s="151">
        <f>IF(_Pat_Gewicht&gt;0,(_Pat_Gewicht)*N25,0)</f>
        <v>105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500</v>
      </c>
      <c r="H26" s="151">
        <v>50</v>
      </c>
      <c r="I26" s="151">
        <f>IF(_Pat_Gewicht&gt;0,(_Pat_Gewicht)*H26,0)</f>
        <v>500</v>
      </c>
      <c r="J26" s="151">
        <v>1</v>
      </c>
      <c r="K26" s="151">
        <f>IF(_Pat_Gewicht&gt;0,(_Pat_Gewicht)*J26,0)</f>
        <v>10</v>
      </c>
      <c r="L26" s="151">
        <v>2</v>
      </c>
      <c r="M26" s="151">
        <f>IF(_Pat_Gewicht&gt;0,(_Pat_Gewicht)*L26,0)</f>
        <v>20</v>
      </c>
      <c r="N26" s="151">
        <v>7</v>
      </c>
      <c r="O26" s="151">
        <f>IF(_Pat_Gewicht&gt;0,(_Pat_Gewicht)*N26,0)</f>
        <v>70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250</v>
      </c>
      <c r="G27" s="151">
        <v>2500</v>
      </c>
      <c r="H27" s="151">
        <f>IF(_Pat_Gewicht&gt;0,I27/(_Pat_Gewicht),0)</f>
        <v>200</v>
      </c>
      <c r="I27" s="151">
        <v>2000</v>
      </c>
      <c r="J27" s="151">
        <f>IF(_Pat_Gewicht&gt;0,K27/(_Pat_Gewicht),0)</f>
        <v>7</v>
      </c>
      <c r="K27" s="151">
        <v>70</v>
      </c>
      <c r="L27" s="151">
        <f>IF(_Pat_Gewicht&gt;0,M27/(_Pat_Gewicht),0)</f>
        <v>10</v>
      </c>
      <c r="M27" s="151">
        <v>100</v>
      </c>
      <c r="N27" s="151">
        <f>IF(_Pat_Gewicht&gt;0,O27/(_Pat_Gewicht),0)</f>
        <v>24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7634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7633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14-nov-2018</v>
      </c>
      <c r="E2" s="571"/>
      <c r="F2" s="569"/>
      <c r="G2" s="568"/>
      <c r="H2" s="573" t="s">
        <v>3460</v>
      </c>
      <c r="I2" s="569"/>
      <c r="J2" s="697" t="str">
        <f ca="1">Txt_Pat_OpnameDat</f>
        <v>16-jul-2018 (dag 122)</v>
      </c>
      <c r="K2" s="697"/>
      <c r="L2" s="697"/>
      <c r="M2" s="697" t="str">
        <f>Txt_Pat_Gewicht</f>
        <v>Gewicht: 10 kg</v>
      </c>
      <c r="N2" s="697"/>
      <c r="O2" s="697" t="str">
        <f>Txt_Pat_Bed</f>
        <v>Bed: Unit 3-2</v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>Bunny, Bucks</v>
      </c>
      <c r="E3" s="574"/>
      <c r="F3" s="569"/>
      <c r="G3" s="568"/>
      <c r="H3" s="573" t="s">
        <v>3461</v>
      </c>
      <c r="I3" s="697"/>
      <c r="J3" s="569" t="str">
        <f ca="1">Txt_Pat_GeboorteDat</f>
        <v>16-jul-2018</v>
      </c>
      <c r="K3" s="697"/>
      <c r="L3" s="697"/>
      <c r="M3" s="697" t="str">
        <f>Txt_Pat_Lengte</f>
        <v>Lengte: 90 cm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>0 jaar en 4 maand(-en)</v>
      </c>
      <c r="K4" s="697"/>
      <c r="L4" s="697"/>
      <c r="M4" s="697" t="str">
        <f>Txt_Pat_Oppervlak</f>
        <v>Lichamelijk oppervlak: 0,5 m2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04"/>
      <c r="C44" s="604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14-nov-2018</v>
      </c>
      <c r="E2" s="590"/>
      <c r="F2" s="592"/>
      <c r="G2" s="590" t="s">
        <v>230</v>
      </c>
      <c r="H2" s="590" t="str">
        <f ca="1">Txt_Pat_OpnameDat</f>
        <v>16-jul-2018 (dag 122)</v>
      </c>
      <c r="I2" s="590" t="str">
        <f>Txt_Pat_Gewicht</f>
        <v>Gewicht: 10 kg</v>
      </c>
      <c r="J2" s="590" t="str">
        <f>Txt_Pat_Bed</f>
        <v>Bed: Unit 3-2</v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>Bunny, Bucks</v>
      </c>
      <c r="E3" s="590"/>
      <c r="F3" s="592"/>
      <c r="G3" s="590" t="s">
        <v>236</v>
      </c>
      <c r="H3" s="590" t="str">
        <f ca="1">Txt_Pat_GeboorteDat</f>
        <v>16-jul-2018</v>
      </c>
      <c r="I3" s="590" t="str">
        <f>Txt_Pat_Lengte</f>
        <v>Lengte: 90 cm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>0 jaar en 4 maand(-en)</v>
      </c>
      <c r="I4" s="590" t="str">
        <f>Txt_Pat_Oppervlak</f>
        <v>Lichamelijk oppervlak: 0,5 m2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9"/>
      <c r="H19" s="829"/>
      <c r="I19" s="829"/>
      <c r="J19" s="829"/>
      <c r="O19" s="348"/>
    </row>
    <row r="20" spans="2:15" ht="18" customHeight="1" thickTop="1" x14ac:dyDescent="0.2">
      <c r="G20" s="829"/>
      <c r="H20" s="829"/>
      <c r="I20" s="829"/>
      <c r="J20" s="829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>Patient: Bunny, Bucks</v>
      </c>
      <c r="C2" s="697"/>
      <c r="D2" s="697"/>
      <c r="E2" s="697" t="str">
        <f ca="1">"Geschatte lengte: "&amp;VLOOKUP(C5+D5/12,PedTblLengte!A2:D45,4)&amp;" cm"</f>
        <v>Geschatte lengte: 60,5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43297</v>
      </c>
      <c r="D3" s="697"/>
      <c r="E3" s="697" t="str">
        <f ca="1">"Geschat gewicht: "&amp;VLOOKUP(C5+D5/12,PedTblGew!A2:T49,20)&amp;" kg"</f>
        <v>Geschat gewicht: 5,505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0</v>
      </c>
      <c r="D5" s="587">
        <f ca="1">TRUNC(((Var_AfspraakDatum-__4_GebDatum)-365*TRUNC((Var_AfspraakDatum-__4_GebDatum)/365,0))/30,0)</f>
        <v>4</v>
      </c>
      <c r="E5" s="587">
        <f>_Pat_Gewicht</f>
        <v>10</v>
      </c>
      <c r="F5" s="587">
        <f>_Pat_Lengte</f>
        <v>90</v>
      </c>
      <c r="G5" s="587">
        <f>ROUND(POWER(E5,0.5378)*POWER(F5,0.3964)*0.024265,2)</f>
        <v>0.5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>50 Joules Asynchroon</v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0,1 mg iv</v>
      </c>
      <c r="E9" s="430" t="str">
        <f>"= "&amp;IF(ROUND(0.01*(E5),2)&gt;1,"1 ml van 1mg = 10 ml (1:10.000)",ROUND(0.1*(E5),1)&amp;" ml van 1mg = 10 ml (1:10.000)")</f>
        <v>= 1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5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2 gram iv</v>
      </c>
      <c r="E11" s="430" t="str">
        <f>"="&amp;" "&amp;IF(2*E5&lt;=250,ROUND(2*E5,0)&amp;" ml glucose 10%","250 ml glucose 10%")</f>
        <v>= 20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200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5 mg iv</v>
      </c>
      <c r="E14" s="437" t="str">
        <f>"= "&amp;IF(0.5*E5&gt;20,"10 ml van een 2 mg/ml oplossing",ROUND(0.5*E5*0.5,1)&amp;" ml van een 2 mg/ml oplossing")</f>
        <v>= 2,5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10 mg iv</v>
      </c>
      <c r="E15" s="430" t="str">
        <f>"= "&amp;IF(ROUND(1*(E5),1)&gt;100,"10 ml"&amp;" van een 1mg/ml oplossing",ROUND(0.1*(E5),1)&amp;" ml"&amp;" van een 10 mg/ml oplossing")</f>
        <v>= 1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0,2 mg iv</v>
      </c>
      <c r="E16" s="833" t="str">
        <f>"= "&amp;IF(ROUND(0.02*(E5),1)&lt;0.1,0.1,IF(ROUND(0.02*(E5),1)&gt;0.5,0.5,ROUND(0.02*(E5),1)))*2&amp;" ml van 0,5 mg/ml (min 0,1 mg)"</f>
        <v>= 0,4 ml van 0,5 mg/ml (min 0,1 mg)</v>
      </c>
      <c r="F16" s="833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4"/>
      <c r="F17" s="834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0,2 mg iv</v>
      </c>
      <c r="E19" s="437" t="str">
        <f>"= "&amp;IF(0.02*E5&gt;1,"10 ml van anexate 0,1 mg/ml",ROUND((0.02*E5)/0.1,1)&amp;" ml van anexate 0,1 mg/ml")</f>
        <v>= 2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0,1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33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4"/>
      <c r="F21" s="834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>alprostadil (Prostin)</v>
      </c>
      <c r="D23" s="437" t="str">
        <f ca="1">IF(C5=0,"0,5 mg in 50 ml NaCl 0.9%","")</f>
        <v>0,5 mg in 50 ml NaCl 0.9%</v>
      </c>
      <c r="E23" s="437" t="str">
        <f ca="1">IF(C5=0,"1 ml/uur = "&amp;ROUND(1000*(0.5/50)*24/(E5)/1.44,0)&amp;" nanog/kg/min iv","")</f>
        <v>1 ml/uur = 17 nanog/kg/min iv</v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200 mg in 50 ml NaCl 0.9%</v>
      </c>
      <c r="E24" s="430" t="str">
        <f>IF(_Pat_Gewicht&gt;0,"1 ml/uur = "&amp;IF(E5&gt;5,ROUND((200/50/E5/60)*1000,1),ROUND(24*ROUND(((E5)*24*60*(10/1000)/(24/50))/50,0)*50/50/1.44/E5,1))&amp;" mcg/kg/min","")</f>
        <v>1 ml/uur = 6,7 mcg/kg/min</v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3 mg in 50 ml NaCl 0.9%</v>
      </c>
      <c r="E25" s="415" t="str">
        <f>IF(_Pat_Gewicht&gt;0,"1 ml/uur = "&amp;IF(E5&gt;5,ROUND((10/50/E5/60)*1000,2),ROUND(24*ROUND((E5)*24*60*(0.1/1000)/(24/50)/5,1)*5/50/1.44/E5,2))&amp;" mcg/kg/min","")</f>
        <v>1 ml/uur = 0,33 mcg/kg/min</v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31" t="s">
        <v>6983</v>
      </c>
      <c r="C27" s="598" t="s">
        <v>329</v>
      </c>
      <c r="D27" s="437" t="str">
        <f>IF(ROUND(E5/2,0)*2&gt;50,"300 mg iv",ROUND(E5*5,0)&amp;" mg iv")</f>
        <v>50 mg iv</v>
      </c>
      <c r="E27" s="437" t="str">
        <f>IF(ROUND(E5/2,0)*2&gt;50,"6 ml van amiodarone 50 mg/ml iv",ROUND(E5*0.1,1)&amp;" ml van amiodarone 50 mg/ml iv")</f>
        <v>1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32"/>
      <c r="C28" s="598" t="s">
        <v>237</v>
      </c>
      <c r="D28" s="415" t="str">
        <f>IF(E5/10&gt;10,"10 ml iv",E5/10 &amp;" ml iv")</f>
        <v>1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30" t="s">
        <v>70</v>
      </c>
      <c r="C30" s="598" t="s">
        <v>79</v>
      </c>
      <c r="D30" s="437" t="str">
        <f>IF((0.5*E5)&gt;10,"10 mg rect",(0.5*E5)&amp;" mg rect")</f>
        <v>5 mg rect</v>
      </c>
      <c r="E30" s="437" t="str">
        <f>"= "&amp;IF((0.5*E5)&gt;10,"5 ml van diazepam 2 mg/ml",ROUND((0.5*E5)/2,1)&amp;" ml van diazepam 2 mg/ml")</f>
        <v>= 2,5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30"/>
      <c r="C31" s="598" t="s">
        <v>205</v>
      </c>
      <c r="D31" s="430" t="str">
        <f>IF((20*E5)&gt;1500,"1500 mg iv",20*E5&amp;" mg iv")</f>
        <v>200 mg iv</v>
      </c>
      <c r="E31" s="83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33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3"/>
      <c r="F32" s="833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1 mg iv</v>
      </c>
      <c r="E33" s="415" t="str">
        <f>"= "&amp;IF((0.1*E5)&gt;15,10,ROUND((0.1*E5),1))&amp;" ml van dormicum 1 mg/ml iv"</f>
        <v>= 1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10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5 gram iv</v>
      </c>
      <c r="E36" s="415" t="str">
        <f>"= "&amp;IF(ROUND((0.5*E5),1)&gt;50,ROUND(50/0.15,0),ROUND((0.5*E5)/0.15,0))&amp;" ml van mannitol 15% in 30 min iv"</f>
        <v>= 33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3,2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40/min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14-nov-2018</v>
      </c>
      <c r="E2" s="215" t="s">
        <v>351</v>
      </c>
      <c r="F2" s="835" t="str">
        <f>Txt_Pat_FullName</f>
        <v>Bunny, Bucks</v>
      </c>
      <c r="G2" s="835"/>
      <c r="H2" s="217" t="str">
        <f>Txt_Pat_Gewicht</f>
        <v>Gewicht: 10 kg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122)</v>
      </c>
      <c r="E3" s="215" t="s">
        <v>349</v>
      </c>
      <c r="F3" s="220" t="str">
        <f ca="1">Txt_Pat_GeboorteDat</f>
        <v>16-jul-2018</v>
      </c>
      <c r="G3" s="208"/>
      <c r="H3" s="217" t="str">
        <f>Txt_Pat_Lengte</f>
        <v>Lengte: 90 cm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>Bed: Unit 3-2</v>
      </c>
      <c r="E4" s="770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 0,5 m2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18"/>
    </row>
    <row r="16" spans="1:12" ht="12.6" customHeight="1" x14ac:dyDescent="0.2">
      <c r="B16" s="217"/>
      <c r="C16" s="217" t="s">
        <v>346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18"/>
    </row>
    <row r="17" spans="1:12" ht="12.6" customHeight="1" x14ac:dyDescent="0.2">
      <c r="B17" s="217"/>
      <c r="C17" s="217" t="s">
        <v>347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18"/>
    </row>
    <row r="18" spans="1:12" ht="12.6" customHeight="1" x14ac:dyDescent="0.2">
      <c r="B18" s="217"/>
      <c r="C18" s="217" t="s">
        <v>108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18"/>
    </row>
    <row r="19" spans="1:12" ht="12.6" customHeight="1" x14ac:dyDescent="0.2">
      <c r="B19" s="217"/>
      <c r="C19" s="227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18"/>
    </row>
    <row r="20" spans="1:12" ht="12.6" customHeight="1" x14ac:dyDescent="0.2">
      <c r="B20" s="217"/>
      <c r="C20" s="227" t="s">
        <v>219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18"/>
    </row>
    <row r="21" spans="1:12" ht="12.6" customHeight="1" x14ac:dyDescent="0.2">
      <c r="A21" s="221"/>
      <c r="B21" s="226"/>
      <c r="C21" s="228"/>
      <c r="D21" s="840"/>
      <c r="E21" s="840"/>
      <c r="F21" s="840"/>
      <c r="G21" s="840"/>
      <c r="H21" s="840"/>
      <c r="I21" s="840"/>
      <c r="J21" s="84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14-nov-2018</v>
      </c>
      <c r="E34" s="215" t="s">
        <v>351</v>
      </c>
      <c r="F34" s="835" t="str">
        <f>Txt_Pat_FullName</f>
        <v>Bunny, Bucks</v>
      </c>
      <c r="G34" s="835"/>
      <c r="H34" s="217" t="str">
        <f>Txt_Pat_Gewicht</f>
        <v>Gewicht: 10 kg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122)</v>
      </c>
      <c r="E35" s="215" t="s">
        <v>349</v>
      </c>
      <c r="F35" s="220" t="str">
        <f ca="1">Txt_Pat_GeboorteDat</f>
        <v>16-jul-2018</v>
      </c>
      <c r="G35" s="494"/>
      <c r="H35" s="217" t="str">
        <f>Txt_Pat_Lengte</f>
        <v>Lengte: 90 cm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>Bed: Unit 3-2</v>
      </c>
      <c r="F36" s="494"/>
      <c r="H36" s="217" t="str">
        <f>Txt_Pat_Oppervlak</f>
        <v>Lichamelijk oppervlak: 0,5 m2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>fentanyl</v>
      </c>
      <c r="E51" s="212" t="str">
        <f>IF(C51="","",PedBerMedIV!AG5&amp;" in "&amp;PedBerMedIV!AH5&amp;" "&amp;PedBerMedIV!AI5)</f>
        <v>1 mg in 50 ml NaCl 0,9%</v>
      </c>
      <c r="G51" s="212" t="str">
        <f>IF(C51="","",PedBerMedIV!AJ5&amp;" ("&amp;PedBerMedIV!AK5&amp;" "&amp;PedBerMedIV!AL5&amp;")")</f>
        <v>0 ml/uur (0 microg/kg/uur)</v>
      </c>
      <c r="J51" s="212" t="str">
        <f>IF(C51="","",PedBerMedIV!AM5)</f>
        <v>0 ml</v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18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14-nov-2018</v>
      </c>
      <c r="E75" s="215" t="s">
        <v>351</v>
      </c>
      <c r="F75" s="835" t="str">
        <f>Txt_Pat_FullName</f>
        <v>Bunny, Bucks</v>
      </c>
      <c r="G75" s="835"/>
      <c r="H75" s="217" t="str">
        <f>Txt_Pat_Gewicht</f>
        <v>Gewicht: 10 kg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122)</v>
      </c>
      <c r="E76" s="215" t="s">
        <v>349</v>
      </c>
      <c r="F76" s="220" t="str">
        <f ca="1">Txt_Pat_GeboorteDat</f>
        <v>16-jul-2018</v>
      </c>
      <c r="G76" s="494"/>
      <c r="H76" s="217" t="str">
        <f>Txt_Pat_Lengte</f>
        <v>Lengte: 90 cm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>Bed: Unit 3-2</v>
      </c>
      <c r="F77" s="494"/>
      <c r="H77" s="217" t="str">
        <f>Txt_Pat_Oppervlak</f>
        <v>Lichamelijk oppervlak: 0,5 m2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>Bunny, Bucks</v>
      </c>
      <c r="E2" s="850" t="str">
        <f ca="1">Txt_Pat_GeboorteDat</f>
        <v>16-jul-2018</v>
      </c>
      <c r="F2" s="850"/>
      <c r="G2" s="209" t="str">
        <f>Txt_Pat_Gewicht</f>
        <v>Gewicht: 10 kg</v>
      </c>
      <c r="H2" s="503"/>
      <c r="O2" s="503" t="s">
        <v>135</v>
      </c>
      <c r="Q2" s="848" t="str">
        <f>IF(OR(_User_Type="Artsen",_User_Type="Supervisor"), _User_LastName&amp;", "&amp;_User_FirstName,"")</f>
        <v/>
      </c>
      <c r="R2" s="848"/>
      <c r="S2" s="848"/>
      <c r="T2" s="848"/>
      <c r="U2" s="848"/>
      <c r="V2" s="848"/>
      <c r="X2" s="497" t="s">
        <v>229</v>
      </c>
      <c r="AA2" s="849">
        <f ca="1">TODAY()</f>
        <v>43418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>Bunny, Bucks</v>
      </c>
      <c r="C25"/>
      <c r="D25"/>
      <c r="E25" t="str">
        <f ca="1">Txt_Pat_GeboorteDat</f>
        <v>16-jul-2018</v>
      </c>
      <c r="F25"/>
      <c r="G25" t="str">
        <f>Txt_Pat_Gewicht</f>
        <v>Gewicht: 10 kg</v>
      </c>
      <c r="H25"/>
      <c r="I25"/>
      <c r="J25"/>
      <c r="K25"/>
      <c r="L25"/>
      <c r="M25"/>
      <c r="N25"/>
      <c r="O25" t="s">
        <v>135</v>
      </c>
      <c r="P25"/>
      <c r="Q25" s="771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51">
        <f ca="1">TODAY()</f>
        <v>43418</v>
      </c>
      <c r="AB25" s="851"/>
      <c r="AC25" s="851"/>
      <c r="AD25" s="851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7437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Bunny, Bucks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3-2</v>
      </c>
      <c r="F5" s="516" t="str">
        <f ca="1">Txt_Pat_GeboorteDat</f>
        <v>16-jul-2018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10 kg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64" t="str">
        <f>IF(G15="","",PedBerTPN!V3)</f>
        <v/>
      </c>
      <c r="B13" s="523" t="s">
        <v>7865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795"/>
    </row>
    <row r="14" spans="1:8" ht="18" customHeight="1" x14ac:dyDescent="0.2">
      <c r="A14" s="865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5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5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5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5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5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1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5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795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65"/>
      <c r="B25" s="525" t="s">
        <v>148</v>
      </c>
      <c r="C25" s="526"/>
      <c r="D25" s="526"/>
      <c r="E25" s="869" t="s">
        <v>218</v>
      </c>
      <c r="F25" s="870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9"/>
      <c r="F26" s="870"/>
      <c r="G26" s="528"/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64" t="str">
        <f>IF(A13="",PedBerTPN!V3,PedBerTPN!V11)</f>
        <v/>
      </c>
      <c r="B30" s="537" t="s">
        <v>7865</v>
      </c>
      <c r="C30" s="538"/>
      <c r="D30" s="538"/>
      <c r="E30" s="538"/>
      <c r="F30" s="796"/>
      <c r="G30" s="524" t="str">
        <f>IF(G13="",PedBerTPN!W9,"")</f>
        <v/>
      </c>
      <c r="H30" s="521"/>
    </row>
    <row r="31" spans="1:9" ht="18" customHeight="1" x14ac:dyDescent="0.2">
      <c r="A31" s="865"/>
      <c r="B31" s="541" t="s">
        <v>312</v>
      </c>
      <c r="C31" s="542"/>
      <c r="D31" s="542"/>
      <c r="E31" s="542"/>
      <c r="F31" s="797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7460</v>
      </c>
      <c r="C32" s="542"/>
      <c r="D32" s="542"/>
      <c r="E32" s="542"/>
      <c r="F32" s="797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7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7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7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7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Bunny, Bucks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3-2</v>
      </c>
      <c r="F5" s="516" t="str">
        <f ca="1">Txt_Pat_GeboorteDat</f>
        <v>16-jul-2018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10 kg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7865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529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6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65"/>
      <c r="B25" s="525" t="s">
        <v>148</v>
      </c>
      <c r="C25" s="526"/>
      <c r="D25" s="526"/>
      <c r="E25" s="882" t="s">
        <v>287</v>
      </c>
      <c r="F25" s="883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53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535"/>
      <c r="H29" s="536"/>
    </row>
    <row r="30" spans="1:9" ht="18" customHeight="1" x14ac:dyDescent="0.2">
      <c r="A30" s="864" t="str">
        <f>IF(A13="",PedBerTPN!V3,PedBerTPN!V11)</f>
        <v/>
      </c>
      <c r="B30" s="537" t="s">
        <v>7865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5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546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4" t="s">
        <v>182</v>
      </c>
      <c r="C38" s="875"/>
      <c r="D38" s="875"/>
      <c r="E38" s="875"/>
      <c r="F38" s="876"/>
      <c r="G38" s="536" t="s">
        <v>183</v>
      </c>
      <c r="H38" s="536"/>
    </row>
    <row r="39" spans="1:9" ht="18" customHeight="1" x14ac:dyDescent="0.2">
      <c r="A39" s="547"/>
      <c r="B39" s="877" t="s">
        <v>184</v>
      </c>
      <c r="C39" s="878"/>
      <c r="D39" s="878"/>
      <c r="E39" s="878"/>
      <c r="F39" s="879"/>
      <c r="G39" s="522" t="s">
        <v>185</v>
      </c>
      <c r="H39" s="521"/>
    </row>
    <row r="40" spans="1:9" ht="18" customHeight="1" x14ac:dyDescent="0.2">
      <c r="A40" s="547"/>
      <c r="B40" s="877" t="s">
        <v>186</v>
      </c>
      <c r="C40" s="878"/>
      <c r="D40" s="878"/>
      <c r="E40" s="878"/>
      <c r="F40" s="879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Bunny, Bucks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3-2</v>
      </c>
      <c r="F5" s="516" t="str">
        <f ca="1">Txt_Pat_GeboorteDat</f>
        <v>16-jul-2018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10 kg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7865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82" t="s">
        <v>7451</v>
      </c>
      <c r="F16" s="883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0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81"/>
      <c r="B25" s="525" t="s">
        <v>148</v>
      </c>
      <c r="C25" s="526"/>
      <c r="D25" s="526"/>
      <c r="E25" s="882" t="s">
        <v>287</v>
      </c>
      <c r="F25" s="883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IF(A13="",PedBerTPN!V3,PedBerTPN!V11)</f>
        <v/>
      </c>
      <c r="B30" s="537" t="s">
        <v>7865</v>
      </c>
      <c r="C30" s="538"/>
      <c r="D30" s="538"/>
      <c r="E30" s="538"/>
      <c r="F30" s="796"/>
      <c r="G30" s="540" t="str">
        <f>IF(G13="",PedBerTPN!W9,"")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797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7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7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7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7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>Bunny, Bucks</v>
      </c>
      <c r="G4" s="164"/>
      <c r="H4" s="515"/>
    </row>
    <row r="5" spans="1:8" ht="12.75" customHeight="1" x14ac:dyDescent="0.2">
      <c r="A5" s="183" t="s">
        <v>385</v>
      </c>
      <c r="B5" s="152" t="str">
        <f>__1_Bed</f>
        <v>Unit 3-2</v>
      </c>
      <c r="F5" s="516" t="str">
        <f ca="1">Txt_Pat_GeboorteDat</f>
        <v>16-jul-2018</v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10 kg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7865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82" t="s">
        <v>7451</v>
      </c>
      <c r="F16" s="883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798" t="str">
        <f>IF(AND(G15&lt;&gt;"",G17="",G18="",G19="",G20=""),PedBerTPN!H8,"")</f>
        <v/>
      </c>
      <c r="C21" s="799"/>
      <c r="D21" s="799"/>
      <c r="E21" s="799"/>
      <c r="F21" s="800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0" t="str">
        <f>PedBerTPN!V16</f>
        <v/>
      </c>
      <c r="B24" s="523" t="str">
        <f>PedBerTPN!H17</f>
        <v/>
      </c>
      <c r="C24" s="785"/>
      <c r="D24" s="785" t="s">
        <v>277</v>
      </c>
      <c r="E24" s="785" t="s">
        <v>132</v>
      </c>
      <c r="F24" s="786" t="s">
        <v>299</v>
      </c>
      <c r="G24" s="524" t="str">
        <f>PedBerTPN!W17</f>
        <v/>
      </c>
      <c r="H24" s="533"/>
    </row>
    <row r="25" spans="1:9" ht="18" customHeight="1" x14ac:dyDescent="0.2">
      <c r="A25" s="881"/>
      <c r="B25" s="525" t="s">
        <v>148</v>
      </c>
      <c r="C25" s="526"/>
      <c r="D25" s="526"/>
      <c r="E25" s="882" t="s">
        <v>287</v>
      </c>
      <c r="F25" s="883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IF(A13="",PedBerTPN!V3,PedBerTPN!V11)</f>
        <v/>
      </c>
      <c r="B30" s="537" t="s">
        <v>7865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>Bunny, Bucks</v>
      </c>
      <c r="G4" s="164"/>
      <c r="H4" s="515"/>
    </row>
    <row r="5" spans="1:9" ht="12.75" customHeight="1" x14ac:dyDescent="0.2">
      <c r="A5" s="183" t="s">
        <v>385</v>
      </c>
      <c r="B5" s="152" t="str">
        <f>__1_Bed</f>
        <v>Unit 3-2</v>
      </c>
      <c r="F5" s="516" t="str">
        <f ca="1">Txt_Pat_GeboorteDat</f>
        <v>16-jul-2018</v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 10 kg</v>
      </c>
      <c r="G6" s="164"/>
      <c r="H6" s="515"/>
    </row>
    <row r="7" spans="1:9" ht="12.75" customHeight="1" x14ac:dyDescent="0.2">
      <c r="A7" s="152" t="s">
        <v>7446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(110-90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9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9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9" ht="18" customHeight="1" x14ac:dyDescent="0.2">
      <c r="A13" s="880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7" t="str">
        <f>PedBerTPN!W5</f>
        <v/>
      </c>
      <c r="H13" s="521"/>
    </row>
    <row r="14" spans="1:9" ht="18" customHeight="1" x14ac:dyDescent="0.2">
      <c r="A14" s="881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88"/>
      <c r="C15" s="788"/>
      <c r="D15" s="788"/>
      <c r="E15" s="788"/>
      <c r="F15" s="788" t="s">
        <v>162</v>
      </c>
      <c r="G15" s="789" t="str">
        <f>G13</f>
        <v/>
      </c>
      <c r="H15" s="521"/>
      <c r="I15" s="805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0"/>
      <c r="H16" s="521"/>
    </row>
    <row r="17" spans="1:9" ht="18" customHeight="1" x14ac:dyDescent="0.2">
      <c r="A17" s="881" t="str">
        <f>PedBerTPN!V6</f>
        <v/>
      </c>
      <c r="B17" s="525" t="s">
        <v>234</v>
      </c>
      <c r="C17" s="526"/>
      <c r="D17" s="526"/>
      <c r="E17" s="785"/>
      <c r="F17" s="786" t="s">
        <v>133</v>
      </c>
      <c r="G17" s="528" t="str">
        <f>PedBerTPN!W6</f>
        <v/>
      </c>
      <c r="H17" s="521"/>
    </row>
    <row r="18" spans="1:9" ht="18" customHeight="1" x14ac:dyDescent="0.2">
      <c r="A18" s="881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4"/>
      <c r="C19" s="784"/>
      <c r="D19" s="784"/>
      <c r="E19" s="868" t="s">
        <v>161</v>
      </c>
      <c r="F19" s="868"/>
      <c r="G19" s="791" t="str">
        <f>IF(G17="","",SUM(PedBerTPN!G6:G7)&amp;" ml")</f>
        <v/>
      </c>
      <c r="H19" s="521"/>
      <c r="I19" s="805">
        <f>StringToDouble(G19)</f>
        <v>0</v>
      </c>
    </row>
    <row r="20" spans="1:9" ht="18" customHeight="1" x14ac:dyDescent="0.2">
      <c r="A20" s="520"/>
      <c r="B20" s="803"/>
      <c r="C20" s="803"/>
      <c r="D20" s="803"/>
      <c r="E20" s="804"/>
      <c r="F20" s="804"/>
      <c r="G20" s="791"/>
      <c r="H20" s="802"/>
    </row>
    <row r="21" spans="1:9" ht="18" customHeight="1" x14ac:dyDescent="0.2">
      <c r="A21" s="520"/>
      <c r="B21" s="803"/>
      <c r="C21" s="803"/>
      <c r="D21" s="803"/>
      <c r="E21" s="804"/>
      <c r="F21" s="804"/>
      <c r="G21" s="791"/>
      <c r="H21" s="802"/>
    </row>
    <row r="22" spans="1:9" ht="18" customHeight="1" x14ac:dyDescent="0.2">
      <c r="A22" s="520"/>
      <c r="B22" s="803"/>
      <c r="C22" s="803"/>
      <c r="D22" s="803"/>
      <c r="E22" s="804"/>
      <c r="F22" s="804"/>
      <c r="G22" s="791"/>
      <c r="H22" s="802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1" t="str">
        <f>PedBerTPN!$V$16</f>
        <v/>
      </c>
      <c r="B24" s="523" t="str">
        <f>PedBerTPN!H17</f>
        <v/>
      </c>
      <c r="C24" s="785"/>
      <c r="D24" s="785" t="s">
        <v>62</v>
      </c>
      <c r="E24" s="785" t="s">
        <v>63</v>
      </c>
      <c r="F24" s="786" t="s">
        <v>64</v>
      </c>
      <c r="G24" s="524" t="str">
        <f>PedBerTPN!$W$17</f>
        <v/>
      </c>
      <c r="H24" s="521"/>
    </row>
    <row r="25" spans="1:9" ht="18" customHeight="1" x14ac:dyDescent="0.2">
      <c r="A25" s="881"/>
      <c r="B25" s="525" t="s">
        <v>148</v>
      </c>
      <c r="C25" s="526"/>
      <c r="D25" s="526"/>
      <c r="E25" s="785"/>
      <c r="F25" s="786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5"/>
      <c r="F26" s="786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PedBerTPN!$W$16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PedBerTPN!V3</f>
        <v/>
      </c>
      <c r="B30" s="537" t="s">
        <v>7865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PedBerTPN!$W$3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7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1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3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>0 ml/kg</v>
      </c>
      <c r="F3" s="662" t="str">
        <f>NeoBerInfB!$AL$56</f>
        <v>0 ml/kg</v>
      </c>
      <c r="G3" s="662" t="str">
        <f>NeoBerInfB!$AL$58</f>
        <v>0 ml/kg</v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>0 gram/kg</v>
      </c>
      <c r="F4" s="662" t="str">
        <f>NeoBerInfB!$AR$56</f>
        <v>0 gram/kg</v>
      </c>
      <c r="G4" s="662" t="str">
        <f>NeoBerInfB!$AR$58</f>
        <v>0 gram/kg</v>
      </c>
      <c r="H4" s="662"/>
      <c r="I4" s="659" t="s">
        <v>122</v>
      </c>
      <c r="J4" s="662" t="str">
        <f>NeoBerInfB!$AM$57</f>
        <v>0 mmol/kg</v>
      </c>
      <c r="K4" s="662" t="str">
        <f>NeoBerInfB!$AM$56</f>
        <v>0 mmol/kg</v>
      </c>
      <c r="L4" s="662" t="str">
        <f>NeoBerInfB!$AM$58</f>
        <v>0 mmol/kg</v>
      </c>
      <c r="M4" s="662" t="str">
        <f>IF(_Glob_Lab_Natrium&gt;0,_Glob_Lab_Natrium,"")</f>
        <v/>
      </c>
      <c r="N4" s="659" t="s">
        <v>416</v>
      </c>
      <c r="O4" s="662" t="str">
        <f>NeoBerInfB!$AV$57</f>
        <v>0 mmol/kg</v>
      </c>
      <c r="P4" s="662" t="str">
        <f>NeoBerInfB!$AV$56</f>
        <v>0 mmol/kg</v>
      </c>
      <c r="Q4" s="662" t="str">
        <f>NeoBerInfB!$AV$58</f>
        <v>0 mmol/kg</v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>0 gram/kg</v>
      </c>
      <c r="F5" s="662" t="str">
        <f>NeoBerInfB!$AT$56</f>
        <v>0 gram/kg</v>
      </c>
      <c r="G5" s="662" t="str">
        <f>NeoBerInfB!$AT$58</f>
        <v>0 gram/kg</v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>0 mmol/kg</v>
      </c>
      <c r="K5" s="662" t="str">
        <f>NeoBerInfB!$AN$56</f>
        <v>0 mmol/kg</v>
      </c>
      <c r="L5" s="662" t="str">
        <f>NeoBerInfB!$AN$58</f>
        <v>0 mmol/kg</v>
      </c>
      <c r="M5" s="662" t="str">
        <f>IF(_Glob_Lab_Kalium&gt;0,_Glob_Lab_Kalium,"")</f>
        <v/>
      </c>
      <c r="N5" s="659" t="s">
        <v>167</v>
      </c>
      <c r="O5" s="662" t="str">
        <f>NeoBerInfB!$AQ$57</f>
        <v>0 mmol/kg</v>
      </c>
      <c r="P5" s="662" t="str">
        <f>NeoBerInfB!$AQ$56</f>
        <v>0 mmol/kg</v>
      </c>
      <c r="Q5" s="662" t="str">
        <f>NeoBerInfB!$AQ$58</f>
        <v>0 mmol/kg</v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>0 mg/kg/min</v>
      </c>
      <c r="F6" s="662" t="str">
        <f>NeoBerInfB!$AS$56</f>
        <v>0 mg/kg/min</v>
      </c>
      <c r="G6" s="662" t="str">
        <f>NeoBerInfB!$AS$58</f>
        <v>0 mg/kg/min</v>
      </c>
      <c r="H6" s="662" t="str">
        <f>IF(_Glob_Lab_Glucose&gt;0,_Glob_Lab_Glucose,"")</f>
        <v/>
      </c>
      <c r="I6" s="659" t="s">
        <v>166</v>
      </c>
      <c r="J6" s="662" t="str">
        <f>NeoBerInfB!$AO$57</f>
        <v>0 mmol/kg</v>
      </c>
      <c r="K6" s="662" t="str">
        <f>NeoBerInfB!$AO$56</f>
        <v>0 mmol/kg</v>
      </c>
      <c r="L6" s="662" t="str">
        <f>NeoBerInfB!$AO$58</f>
        <v>0 mmol/kg</v>
      </c>
      <c r="M6" s="662" t="str">
        <f>IF(_Glob_Lab_Calcium&gt;0,_Glob_Lab_Calcium,"")</f>
        <v/>
      </c>
      <c r="N6" s="662" t="s">
        <v>417</v>
      </c>
      <c r="O6" s="662" t="str">
        <f>NeoBerInfB!$AW$57</f>
        <v>0 IE</v>
      </c>
      <c r="P6" s="662" t="str">
        <f>NeoBerInfB!$AW$56</f>
        <v>0 IE</v>
      </c>
      <c r="Q6" s="662" t="str">
        <f>NeoBerInfB!$AW$58</f>
        <v>0 IE</v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>0 kcal/kg</v>
      </c>
      <c r="F7" s="662" t="str">
        <f>NeoBerInfB!$AU$56</f>
        <v>0 kcal/kg</v>
      </c>
      <c r="G7" s="662" t="str">
        <f>NeoBerInfB!$AU$58</f>
        <v>0 kcal/kg</v>
      </c>
      <c r="H7" s="662"/>
      <c r="I7" s="659" t="s">
        <v>240</v>
      </c>
      <c r="J7" s="662" t="str">
        <f>NeoBerInfB!$AP$57</f>
        <v>0 mmol/kg</v>
      </c>
      <c r="K7" s="662" t="str">
        <f>NeoBerInfB!$AP$56</f>
        <v>0 mmol/kg</v>
      </c>
      <c r="L7" s="662" t="str">
        <f>NeoBerInfB!$AP$58</f>
        <v>0 mmol/kg</v>
      </c>
      <c r="M7" s="662" t="str">
        <f>IF(_Glob_Lab_Magnesium&gt;0,_Glob_Lab_Magnesium,"")</f>
        <v/>
      </c>
      <c r="N7" s="659" t="s">
        <v>723</v>
      </c>
      <c r="O7" s="662" t="str">
        <f>NeoBerInfB!$AX$57</f>
        <v>0 mmol/kg</v>
      </c>
      <c r="P7" s="662" t="str">
        <f>NeoBerInfB!$AX$56</f>
        <v>0 mmol/kg</v>
      </c>
      <c r="Q7" s="662" t="str">
        <f>NeoBerInfB!$AX$58</f>
        <v>0 mmol/kg</v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6" t="str">
        <f>NeoBerInfB!B3</f>
        <v>Actuele Afspraken</v>
      </c>
      <c r="D9" s="886"/>
      <c r="E9" s="886"/>
      <c r="F9" s="886"/>
      <c r="G9" s="886"/>
      <c r="H9" s="646" t="s">
        <v>4499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>0 jaar en 4 maand(-en)</v>
      </c>
      <c r="O9" s="648"/>
      <c r="P9" s="646" t="s">
        <v>4501</v>
      </c>
      <c r="Q9" s="647" t="str">
        <f ca="1">Txt_Pat_GeboorteDat</f>
        <v>16-jul-2018</v>
      </c>
      <c r="R9" s="646"/>
    </row>
    <row r="10" spans="1:18" ht="20.100000000000001" customHeight="1" x14ac:dyDescent="0.2">
      <c r="C10" s="886"/>
      <c r="D10" s="886"/>
      <c r="E10" s="886"/>
      <c r="F10" s="886"/>
      <c r="G10" s="886"/>
      <c r="H10" s="646" t="s">
        <v>27</v>
      </c>
      <c r="I10" s="646" t="str">
        <f>Txt_Pat_FullName</f>
        <v>Bunny, Bucks</v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>10 kg</v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6"/>
      <c r="D11" s="886"/>
      <c r="E11" s="886"/>
      <c r="F11" s="886"/>
      <c r="G11" s="886"/>
      <c r="H11" s="646" t="s">
        <v>229</v>
      </c>
      <c r="I11" s="646" t="str">
        <f ca="1">Txt_Pat_AfspraakDat</f>
        <v>14-nov-2018</v>
      </c>
      <c r="J11" s="651"/>
      <c r="K11" s="646"/>
      <c r="L11" s="646"/>
      <c r="M11" s="646" t="s">
        <v>553</v>
      </c>
      <c r="N11" s="646" t="str">
        <f ca="1">Txt_Pat_OpnameDat</f>
        <v>16-jul-2018 (dag 122)</v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6"/>
      <c r="D12" s="886"/>
      <c r="E12" s="886"/>
      <c r="F12" s="886"/>
      <c r="G12" s="886"/>
      <c r="H12" s="646" t="s">
        <v>386</v>
      </c>
      <c r="I12" s="646" t="str">
        <f>Txt_Pat_Bed</f>
        <v>Bed: Unit 3-2</v>
      </c>
      <c r="J12" s="650"/>
      <c r="K12" s="646"/>
      <c r="L12" s="646"/>
      <c r="M12" s="646" t="s">
        <v>5262</v>
      </c>
      <c r="N12" s="646" t="str">
        <f>Txt_Pat_Geslacht</f>
        <v>onbepaald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1" t="str">
        <f>NeoBerInfB!AI7</f>
        <v/>
      </c>
      <c r="C15" s="638"/>
      <c r="D15" s="638" t="s">
        <v>419</v>
      </c>
      <c r="E15" s="638"/>
      <c r="F15" s="561">
        <f>NeoBerInfB!Q7</f>
        <v>0</v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150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1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1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2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2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2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2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2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2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2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2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2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2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1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1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1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1" t="str">
        <f>NeoBerInfB!AI36</f>
        <v/>
      </c>
      <c r="C42" s="638">
        <v>14</v>
      </c>
      <c r="D42" s="887" t="str">
        <f>IF(Var_Neo_InfB_Cont_MedTekst_1="","",Var_Neo_InfB_Cont_MedTekst_1)</f>
        <v/>
      </c>
      <c r="E42" s="887"/>
      <c r="F42" s="887"/>
      <c r="G42" s="887"/>
      <c r="H42" s="887"/>
      <c r="I42" s="887"/>
      <c r="J42" s="887"/>
      <c r="K42" s="888"/>
      <c r="L42" s="887"/>
      <c r="M42" s="887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1" t="str">
        <f>NeoBerInfB!AI37</f>
        <v/>
      </c>
      <c r="C43" s="638">
        <v>15</v>
      </c>
      <c r="D43" s="889" t="str">
        <f>IF(Var_Neo_InfB_Cont_MedTekst_2="","",Var_Neo_InfB_Cont_MedTekst_2)</f>
        <v/>
      </c>
      <c r="E43" s="889"/>
      <c r="F43" s="889"/>
      <c r="G43" s="889"/>
      <c r="H43" s="889"/>
      <c r="I43" s="889"/>
      <c r="J43" s="889"/>
      <c r="K43" s="889"/>
      <c r="L43" s="889"/>
      <c r="M43" s="889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2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2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1" t="str">
        <f>NeoBerInfB!AI42</f>
        <v/>
      </c>
      <c r="C51" s="638"/>
      <c r="D51" s="638" t="s">
        <v>7866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1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1" t="str">
        <f>NeoBerInfB!AI44</f>
        <v/>
      </c>
      <c r="C53" s="638"/>
      <c r="D53" s="638" t="s">
        <v>7426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1" t="str">
        <f>NeoBerInfB!AI45</f>
        <v/>
      </c>
      <c r="C54" s="638"/>
      <c r="D54" s="638" t="s">
        <v>7427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1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1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1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str">
        <f>IF(G57&lt;&gt;"","("&amp;ROUND(NeoBerInfB!C48/(_Pat_Gewicht),0)&amp;" ml/kg)","")</f>
        <v>(0 ml/kg)</v>
      </c>
      <c r="M57" s="400" t="str">
        <f ca="1">IF(NeoBerInfB!B48&gt;0,NeoBerInfB!B48&amp;" ml","")</f>
        <v>350 ml</v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>350 ml</v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1" t="s">
        <v>4254</v>
      </c>
      <c r="C71" s="644"/>
      <c r="D71" s="644"/>
      <c r="E71" s="643" t="s">
        <v>219</v>
      </c>
      <c r="F71" s="884" t="str">
        <f>IF(_Neo_Lab_Opm=0,"",_Neo_Lab_Opm)</f>
        <v/>
      </c>
      <c r="G71" s="885"/>
      <c r="H71" s="885"/>
      <c r="I71" s="885"/>
      <c r="J71" s="885"/>
      <c r="K71" s="885"/>
      <c r="L71" s="885"/>
      <c r="M71" s="885"/>
      <c r="N71" s="885"/>
      <c r="O71" s="885"/>
      <c r="P71" s="885"/>
      <c r="Q71" s="885"/>
      <c r="R71" s="885"/>
    </row>
    <row r="72" spans="1:18" ht="20.100000000000001" customHeight="1" x14ac:dyDescent="0.2">
      <c r="C72" s="644"/>
      <c r="D72" s="644"/>
      <c r="E72" s="645"/>
      <c r="F72" s="885"/>
      <c r="G72" s="885"/>
      <c r="H72" s="885"/>
      <c r="I72" s="885"/>
      <c r="J72" s="885"/>
      <c r="K72" s="885"/>
      <c r="L72" s="885"/>
      <c r="M72" s="885"/>
      <c r="N72" s="885"/>
      <c r="O72" s="885"/>
      <c r="P72" s="885"/>
      <c r="Q72" s="885"/>
      <c r="R72" s="885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7868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122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150</v>
      </c>
      <c r="C7" s="54">
        <f>D7</f>
        <v>0</v>
      </c>
      <c r="D7" s="54">
        <v>0</v>
      </c>
      <c r="Q7" s="261">
        <f>IF(_Pat_Gewicht&gt;0,IF(B21,C7,ROUND(AL54/(_Pat_Gewicht),1)),"")</f>
        <v>0</v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1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6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7">
        <f t="shared" si="25"/>
        <v>0</v>
      </c>
      <c r="AO23" s="807">
        <f t="shared" si="25"/>
        <v>0</v>
      </c>
      <c r="AP23" s="807">
        <f t="shared" si="25"/>
        <v>0</v>
      </c>
      <c r="AQ23" s="807">
        <f t="shared" si="25"/>
        <v>0</v>
      </c>
      <c r="AR23" s="807">
        <f t="shared" si="25"/>
        <v>0</v>
      </c>
      <c r="AS23" s="807">
        <f t="shared" si="25"/>
        <v>0</v>
      </c>
      <c r="AT23" s="807">
        <f t="shared" si="25"/>
        <v>0</v>
      </c>
      <c r="AU23" s="807">
        <f t="shared" si="25"/>
        <v>0</v>
      </c>
      <c r="AV23" s="807">
        <f t="shared" si="25"/>
        <v>0</v>
      </c>
      <c r="AW23" s="807">
        <f t="shared" si="25"/>
        <v>0</v>
      </c>
      <c r="AX23" s="807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2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08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6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7">
        <f t="shared" si="25"/>
        <v>0</v>
      </c>
      <c r="AN24" s="807">
        <f t="shared" si="25"/>
        <v>0</v>
      </c>
      <c r="AO24" s="807">
        <f t="shared" si="25"/>
        <v>0</v>
      </c>
      <c r="AP24" s="807">
        <f t="shared" si="25"/>
        <v>0</v>
      </c>
      <c r="AQ24" s="807">
        <f t="shared" si="25"/>
        <v>0</v>
      </c>
      <c r="AR24" s="807">
        <f t="shared" si="25"/>
        <v>0</v>
      </c>
      <c r="AS24" s="807">
        <f t="shared" si="25"/>
        <v>0</v>
      </c>
      <c r="AT24" s="807">
        <f t="shared" si="25"/>
        <v>0</v>
      </c>
      <c r="AU24" s="807">
        <f t="shared" si="25"/>
        <v>0</v>
      </c>
      <c r="AV24" s="807">
        <f t="shared" si="25"/>
        <v>0</v>
      </c>
      <c r="AW24" s="807">
        <f t="shared" si="25"/>
        <v>0</v>
      </c>
      <c r="AX24" s="807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2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08" t="b">
        <f t="shared" si="21"/>
        <v>0</v>
      </c>
      <c r="AF25" s="261" t="b">
        <f t="shared" si="32"/>
        <v>0</v>
      </c>
      <c r="AG25" s="703" t="b">
        <f t="shared" si="22"/>
        <v>0</v>
      </c>
      <c r="AH25" s="806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7">
        <f t="shared" si="25"/>
        <v>0</v>
      </c>
      <c r="AN25" s="807">
        <f t="shared" si="25"/>
        <v>0</v>
      </c>
      <c r="AO25" s="807">
        <f t="shared" si="25"/>
        <v>0</v>
      </c>
      <c r="AP25" s="807">
        <f t="shared" si="25"/>
        <v>0</v>
      </c>
      <c r="AQ25" s="807">
        <f t="shared" si="25"/>
        <v>0</v>
      </c>
      <c r="AR25" s="807">
        <f t="shared" si="25"/>
        <v>0</v>
      </c>
      <c r="AS25" s="807">
        <f t="shared" si="25"/>
        <v>0</v>
      </c>
      <c r="AT25" s="807">
        <f t="shared" si="25"/>
        <v>0</v>
      </c>
      <c r="AU25" s="807">
        <f t="shared" si="25"/>
        <v>0</v>
      </c>
      <c r="AV25" s="807">
        <f t="shared" si="25"/>
        <v>0</v>
      </c>
      <c r="AW25" s="807">
        <f t="shared" si="25"/>
        <v>0</v>
      </c>
      <c r="AX25" s="807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2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08" t="b">
        <f t="shared" si="21"/>
        <v>0</v>
      </c>
      <c r="AF26" s="261" t="b">
        <f t="shared" si="32"/>
        <v>0</v>
      </c>
      <c r="AG26" s="703" t="b">
        <f t="shared" si="22"/>
        <v>0</v>
      </c>
      <c r="AH26" s="806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7">
        <f t="shared" si="25"/>
        <v>0</v>
      </c>
      <c r="AN26" s="807">
        <f t="shared" si="25"/>
        <v>0</v>
      </c>
      <c r="AO26" s="807">
        <f t="shared" si="25"/>
        <v>0</v>
      </c>
      <c r="AP26" s="807">
        <f t="shared" si="25"/>
        <v>0</v>
      </c>
      <c r="AQ26" s="807">
        <f t="shared" si="25"/>
        <v>0</v>
      </c>
      <c r="AR26" s="807">
        <f t="shared" si="25"/>
        <v>0</v>
      </c>
      <c r="AS26" s="807">
        <f t="shared" si="25"/>
        <v>0</v>
      </c>
      <c r="AT26" s="807">
        <f t="shared" si="25"/>
        <v>0</v>
      </c>
      <c r="AU26" s="807">
        <f t="shared" si="25"/>
        <v>0</v>
      </c>
      <c r="AV26" s="807">
        <f t="shared" si="25"/>
        <v>0</v>
      </c>
      <c r="AW26" s="807">
        <f t="shared" si="25"/>
        <v>0</v>
      </c>
      <c r="AX26" s="807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2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08" t="b">
        <f t="shared" si="21"/>
        <v>0</v>
      </c>
      <c r="AF27" s="261" t="b">
        <f t="shared" si="32"/>
        <v>0</v>
      </c>
      <c r="AG27" s="703" t="b">
        <f t="shared" si="22"/>
        <v>0</v>
      </c>
      <c r="AH27" s="806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7">
        <f t="shared" si="25"/>
        <v>0</v>
      </c>
      <c r="AN27" s="807">
        <f t="shared" si="25"/>
        <v>0</v>
      </c>
      <c r="AO27" s="807">
        <f t="shared" si="25"/>
        <v>0</v>
      </c>
      <c r="AP27" s="807">
        <f t="shared" si="25"/>
        <v>0</v>
      </c>
      <c r="AQ27" s="807">
        <f t="shared" si="25"/>
        <v>0</v>
      </c>
      <c r="AR27" s="807">
        <f t="shared" si="25"/>
        <v>0</v>
      </c>
      <c r="AS27" s="807">
        <f t="shared" si="25"/>
        <v>0</v>
      </c>
      <c r="AT27" s="807">
        <f t="shared" si="25"/>
        <v>0</v>
      </c>
      <c r="AU27" s="807">
        <f t="shared" si="25"/>
        <v>0</v>
      </c>
      <c r="AV27" s="807">
        <f t="shared" si="25"/>
        <v>0</v>
      </c>
      <c r="AW27" s="807">
        <f t="shared" si="25"/>
        <v>0</v>
      </c>
      <c r="AX27" s="807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2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08" t="b">
        <f t="shared" si="21"/>
        <v>0</v>
      </c>
      <c r="AF28" s="261" t="b">
        <f t="shared" si="32"/>
        <v>0</v>
      </c>
      <c r="AG28" s="703" t="b">
        <f t="shared" si="22"/>
        <v>0</v>
      </c>
      <c r="AH28" s="806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7">
        <f t="shared" si="25"/>
        <v>0</v>
      </c>
      <c r="AN28" s="807">
        <f t="shared" si="25"/>
        <v>0</v>
      </c>
      <c r="AO28" s="807">
        <f t="shared" si="25"/>
        <v>0</v>
      </c>
      <c r="AP28" s="807">
        <f t="shared" si="25"/>
        <v>0</v>
      </c>
      <c r="AQ28" s="807">
        <f t="shared" si="25"/>
        <v>0</v>
      </c>
      <c r="AR28" s="807">
        <f t="shared" si="25"/>
        <v>0</v>
      </c>
      <c r="AS28" s="807">
        <f t="shared" si="25"/>
        <v>0</v>
      </c>
      <c r="AT28" s="807">
        <f t="shared" si="25"/>
        <v>0</v>
      </c>
      <c r="AU28" s="807">
        <f t="shared" si="25"/>
        <v>0</v>
      </c>
      <c r="AV28" s="807">
        <f t="shared" si="25"/>
        <v>0</v>
      </c>
      <c r="AW28" s="807">
        <f t="shared" si="25"/>
        <v>0</v>
      </c>
      <c r="AX28" s="807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2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08" t="b">
        <f t="shared" si="21"/>
        <v>0</v>
      </c>
      <c r="AF29" s="261" t="b">
        <f t="shared" si="32"/>
        <v>0</v>
      </c>
      <c r="AG29" s="703" t="b">
        <f t="shared" si="22"/>
        <v>0</v>
      </c>
      <c r="AH29" s="806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7">
        <f t="shared" si="25"/>
        <v>0</v>
      </c>
      <c r="AN29" s="807">
        <f t="shared" si="25"/>
        <v>0</v>
      </c>
      <c r="AO29" s="807">
        <f t="shared" si="25"/>
        <v>0</v>
      </c>
      <c r="AP29" s="807">
        <f t="shared" si="25"/>
        <v>0</v>
      </c>
      <c r="AQ29" s="807">
        <f t="shared" si="25"/>
        <v>0</v>
      </c>
      <c r="AR29" s="807">
        <f t="shared" si="25"/>
        <v>0</v>
      </c>
      <c r="AS29" s="807">
        <f t="shared" si="25"/>
        <v>0</v>
      </c>
      <c r="AT29" s="807">
        <f t="shared" si="25"/>
        <v>0</v>
      </c>
      <c r="AU29" s="807">
        <f t="shared" si="25"/>
        <v>0</v>
      </c>
      <c r="AV29" s="807">
        <f t="shared" si="25"/>
        <v>0</v>
      </c>
      <c r="AW29" s="807">
        <f t="shared" si="25"/>
        <v>0</v>
      </c>
      <c r="AX29" s="807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2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08" t="b">
        <f t="shared" si="21"/>
        <v>0</v>
      </c>
      <c r="AF30" s="261" t="b">
        <f t="shared" si="32"/>
        <v>0</v>
      </c>
      <c r="AG30" s="703" t="b">
        <f t="shared" si="22"/>
        <v>0</v>
      </c>
      <c r="AH30" s="806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7">
        <f t="shared" si="25"/>
        <v>0</v>
      </c>
      <c r="AN30" s="807">
        <f t="shared" si="25"/>
        <v>0</v>
      </c>
      <c r="AO30" s="807">
        <f t="shared" si="25"/>
        <v>0</v>
      </c>
      <c r="AP30" s="807">
        <f t="shared" si="25"/>
        <v>0</v>
      </c>
      <c r="AQ30" s="807">
        <f t="shared" si="25"/>
        <v>0</v>
      </c>
      <c r="AR30" s="807">
        <f t="shared" si="25"/>
        <v>0</v>
      </c>
      <c r="AS30" s="807">
        <f t="shared" si="25"/>
        <v>0</v>
      </c>
      <c r="AT30" s="807">
        <f t="shared" si="25"/>
        <v>0</v>
      </c>
      <c r="AU30" s="807">
        <f t="shared" si="25"/>
        <v>0</v>
      </c>
      <c r="AV30" s="807">
        <f t="shared" si="25"/>
        <v>0</v>
      </c>
      <c r="AW30" s="807">
        <f t="shared" si="25"/>
        <v>0</v>
      </c>
      <c r="AX30" s="807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2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08" t="b">
        <f t="shared" si="21"/>
        <v>0</v>
      </c>
      <c r="AF31" s="261" t="b">
        <f t="shared" si="32"/>
        <v>0</v>
      </c>
      <c r="AG31" s="703" t="b">
        <f t="shared" si="22"/>
        <v>0</v>
      </c>
      <c r="AH31" s="806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7">
        <f t="shared" si="25"/>
        <v>0</v>
      </c>
      <c r="AN31" s="807">
        <f t="shared" si="25"/>
        <v>0</v>
      </c>
      <c r="AO31" s="807">
        <f t="shared" si="25"/>
        <v>0</v>
      </c>
      <c r="AP31" s="807">
        <f t="shared" si="25"/>
        <v>0</v>
      </c>
      <c r="AQ31" s="807">
        <f t="shared" si="25"/>
        <v>0</v>
      </c>
      <c r="AR31" s="807">
        <f t="shared" si="25"/>
        <v>0</v>
      </c>
      <c r="AS31" s="807">
        <f t="shared" si="25"/>
        <v>0</v>
      </c>
      <c r="AT31" s="807">
        <f t="shared" si="25"/>
        <v>0</v>
      </c>
      <c r="AU31" s="807">
        <f t="shared" si="25"/>
        <v>0</v>
      </c>
      <c r="AV31" s="807">
        <f t="shared" si="25"/>
        <v>0</v>
      </c>
      <c r="AW31" s="807">
        <f t="shared" si="25"/>
        <v>0</v>
      </c>
      <c r="AX31" s="807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2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08" t="b">
        <f t="shared" si="21"/>
        <v>0</v>
      </c>
      <c r="AF32" s="261" t="b">
        <f t="shared" si="32"/>
        <v>0</v>
      </c>
      <c r="AG32" s="703" t="b">
        <f t="shared" si="22"/>
        <v>0</v>
      </c>
      <c r="AH32" s="806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7">
        <f t="shared" si="25"/>
        <v>0</v>
      </c>
      <c r="AN32" s="807">
        <f t="shared" si="25"/>
        <v>0</v>
      </c>
      <c r="AO32" s="807">
        <f t="shared" si="25"/>
        <v>0</v>
      </c>
      <c r="AP32" s="807">
        <f t="shared" si="25"/>
        <v>0</v>
      </c>
      <c r="AQ32" s="807">
        <f t="shared" si="25"/>
        <v>0</v>
      </c>
      <c r="AR32" s="807">
        <f t="shared" si="25"/>
        <v>0</v>
      </c>
      <c r="AS32" s="807">
        <f t="shared" si="25"/>
        <v>0</v>
      </c>
      <c r="AT32" s="807">
        <f t="shared" si="25"/>
        <v>0</v>
      </c>
      <c r="AU32" s="807">
        <f t="shared" si="25"/>
        <v>0</v>
      </c>
      <c r="AV32" s="807">
        <f t="shared" si="25"/>
        <v>0</v>
      </c>
      <c r="AW32" s="807">
        <f t="shared" si="25"/>
        <v>0</v>
      </c>
      <c r="AX32" s="807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2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7">
        <f t="shared" si="25"/>
        <v>0</v>
      </c>
      <c r="AN33" s="807">
        <f t="shared" si="25"/>
        <v>0</v>
      </c>
      <c r="AO33" s="807">
        <f t="shared" si="25"/>
        <v>0</v>
      </c>
      <c r="AP33" s="807">
        <f t="shared" si="25"/>
        <v>0</v>
      </c>
      <c r="AQ33" s="807">
        <f t="shared" si="25"/>
        <v>0</v>
      </c>
      <c r="AR33" s="807">
        <f t="shared" si="25"/>
        <v>0</v>
      </c>
      <c r="AS33" s="807">
        <f t="shared" si="25"/>
        <v>0</v>
      </c>
      <c r="AT33" s="807">
        <f t="shared" si="25"/>
        <v>0</v>
      </c>
      <c r="AU33" s="807">
        <f t="shared" si="25"/>
        <v>0</v>
      </c>
      <c r="AV33" s="807">
        <f t="shared" si="25"/>
        <v>0</v>
      </c>
      <c r="AW33" s="807">
        <f t="shared" si="25"/>
        <v>0</v>
      </c>
      <c r="AX33" s="807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7">
        <f t="shared" si="25"/>
        <v>0</v>
      </c>
      <c r="AN34" s="807">
        <f t="shared" si="25"/>
        <v>0</v>
      </c>
      <c r="AO34" s="807">
        <f t="shared" si="25"/>
        <v>0</v>
      </c>
      <c r="AP34" s="807">
        <f t="shared" si="25"/>
        <v>0</v>
      </c>
      <c r="AQ34" s="807">
        <f t="shared" si="25"/>
        <v>0</v>
      </c>
      <c r="AR34" s="807">
        <f t="shared" si="25"/>
        <v>0</v>
      </c>
      <c r="AS34" s="807">
        <f t="shared" si="25"/>
        <v>0</v>
      </c>
      <c r="AT34" s="807">
        <f t="shared" si="25"/>
        <v>0</v>
      </c>
      <c r="AU34" s="807">
        <f t="shared" si="25"/>
        <v>0</v>
      </c>
      <c r="AV34" s="807">
        <f t="shared" si="25"/>
        <v>0</v>
      </c>
      <c r="AW34" s="807">
        <f t="shared" si="25"/>
        <v>0</v>
      </c>
      <c r="AX34" s="807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7">
        <f t="shared" si="25"/>
        <v>0</v>
      </c>
      <c r="AN35" s="807">
        <f t="shared" si="25"/>
        <v>0</v>
      </c>
      <c r="AO35" s="807">
        <f t="shared" si="25"/>
        <v>0</v>
      </c>
      <c r="AP35" s="807">
        <f t="shared" si="25"/>
        <v>0</v>
      </c>
      <c r="AQ35" s="807">
        <f t="shared" si="25"/>
        <v>0</v>
      </c>
      <c r="AR35" s="807">
        <f t="shared" si="25"/>
        <v>0</v>
      </c>
      <c r="AS35" s="807">
        <f t="shared" si="25"/>
        <v>0</v>
      </c>
      <c r="AT35" s="807">
        <f t="shared" si="25"/>
        <v>0</v>
      </c>
      <c r="AU35" s="807">
        <f t="shared" si="25"/>
        <v>0</v>
      </c>
      <c r="AV35" s="807">
        <f t="shared" si="25"/>
        <v>0</v>
      </c>
      <c r="AW35" s="807">
        <f t="shared" si="25"/>
        <v>0</v>
      </c>
      <c r="AX35" s="807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7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120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7866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2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7426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2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7427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2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2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2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350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2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350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2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>0 ml/kg</v>
      </c>
      <c r="AM56" s="714" t="str">
        <f t="shared" si="49"/>
        <v>0 mmol/kg</v>
      </c>
      <c r="AN56" s="714" t="str">
        <f t="shared" si="49"/>
        <v>0 mmol/kg</v>
      </c>
      <c r="AO56" s="714" t="str">
        <f t="shared" si="49"/>
        <v>0 mmol/kg</v>
      </c>
      <c r="AP56" s="714" t="str">
        <f t="shared" si="49"/>
        <v>0 mmol/kg</v>
      </c>
      <c r="AQ56" s="714" t="str">
        <f t="shared" si="49"/>
        <v>0 mmol/kg</v>
      </c>
      <c r="AR56" s="714" t="str">
        <f t="shared" si="49"/>
        <v>0 gram/kg</v>
      </c>
      <c r="AS56" s="714" t="str">
        <f>IF(_Pat_Gewicht&gt;0,FixPrecision(AS52/1.44/(_Pat_Gewicht),2)&amp;" "&amp;AS$60,"")</f>
        <v>0 mg/kg/min</v>
      </c>
      <c r="AT56" s="714" t="str">
        <f t="shared" ref="AT56:AV58" si="50">IF(_Pat_Gewicht&gt;0,FixPrecision(AT52/(_Pat_Gewicht),2)&amp;" "&amp;AT$60,"")</f>
        <v>0 gram/kg</v>
      </c>
      <c r="AU56" s="714" t="str">
        <f t="shared" si="50"/>
        <v>0 kcal/kg</v>
      </c>
      <c r="AV56" s="714" t="str">
        <f t="shared" si="50"/>
        <v>0 mmol/kg</v>
      </c>
      <c r="AW56" s="714" t="str">
        <f>IF(_Pat_Gewicht&gt;0,FixPrecision(AW52,2)&amp;" "&amp;AW$60,"")</f>
        <v>0 IE</v>
      </c>
      <c r="AX56" s="714" t="str">
        <f>IF(_Pat_Gewicht&gt;0,FixPrecision(AX52/(_Pat_Gewicht),2)&amp;" "&amp;AX$60,"")</f>
        <v>0 mmol/kg</v>
      </c>
    </row>
    <row r="57" spans="1:55" x14ac:dyDescent="0.2">
      <c r="A57" s="54" t="s">
        <v>150</v>
      </c>
      <c r="AL57" s="714" t="str">
        <f t="shared" si="49"/>
        <v>0 ml/kg</v>
      </c>
      <c r="AM57" s="714" t="str">
        <f t="shared" si="49"/>
        <v>0 mmol/kg</v>
      </c>
      <c r="AN57" s="714" t="str">
        <f t="shared" si="49"/>
        <v>0 mmol/kg</v>
      </c>
      <c r="AO57" s="714" t="str">
        <f t="shared" si="49"/>
        <v>0 mmol/kg</v>
      </c>
      <c r="AP57" s="714" t="str">
        <f t="shared" si="49"/>
        <v>0 mmol/kg</v>
      </c>
      <c r="AQ57" s="714" t="str">
        <f t="shared" si="49"/>
        <v>0 mmol/kg</v>
      </c>
      <c r="AR57" s="714" t="str">
        <f t="shared" si="49"/>
        <v>0 gram/kg</v>
      </c>
      <c r="AS57" s="714" t="str">
        <f>IF(_Pat_Gewicht&gt;0,FixPrecision(AS53/1.44/(_Pat_Gewicht),2)&amp;" "&amp;AS$60,"")</f>
        <v>0 mg/kg/min</v>
      </c>
      <c r="AT57" s="714" t="str">
        <f t="shared" si="50"/>
        <v>0 gram/kg</v>
      </c>
      <c r="AU57" s="714" t="str">
        <f t="shared" si="50"/>
        <v>0 kcal/kg</v>
      </c>
      <c r="AV57" s="714" t="str">
        <f t="shared" si="50"/>
        <v>0 mmol/kg</v>
      </c>
      <c r="AW57" s="714" t="str">
        <f>IF(_Pat_Gewicht&gt;0,FixPrecision(AW53,2)&amp;" "&amp;AW$60,"")</f>
        <v>0 IE</v>
      </c>
      <c r="AX57" s="714" t="str">
        <f>IF(_Pat_Gewicht&gt;0,FixPrecision(AX53/(_Pat_Gewicht),2)&amp;" "&amp;AX$60,"")</f>
        <v>0 mmol/kg</v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>0 ml/kg</v>
      </c>
      <c r="AM58" s="714" t="str">
        <f t="shared" si="49"/>
        <v>0 mmol/kg</v>
      </c>
      <c r="AN58" s="714" t="str">
        <f t="shared" si="49"/>
        <v>0 mmol/kg</v>
      </c>
      <c r="AO58" s="714" t="str">
        <f t="shared" si="49"/>
        <v>0 mmol/kg</v>
      </c>
      <c r="AP58" s="714" t="str">
        <f t="shared" si="49"/>
        <v>0 mmol/kg</v>
      </c>
      <c r="AQ58" s="714" t="str">
        <f t="shared" si="49"/>
        <v>0 mmol/kg</v>
      </c>
      <c r="AR58" s="714" t="str">
        <f t="shared" si="49"/>
        <v>0 gram/kg</v>
      </c>
      <c r="AS58" s="714" t="str">
        <f>IF(_Pat_Gewicht&gt;0,FixPrecision(AS54/1.44/(_Pat_Gewicht),2)&amp;" "&amp;AS$60,"")</f>
        <v>0 mg/kg/min</v>
      </c>
      <c r="AT58" s="714" t="str">
        <f t="shared" si="50"/>
        <v>0 gram/kg</v>
      </c>
      <c r="AU58" s="714" t="str">
        <f t="shared" si="50"/>
        <v>0 kcal/kg</v>
      </c>
      <c r="AV58" s="714" t="str">
        <f t="shared" si="50"/>
        <v>0 mmol/kg</v>
      </c>
      <c r="AW58" s="714" t="str">
        <f>IF(_Pat_Gewicht&gt;0,FixPrecision(AW54,2)&amp;" "&amp;AW$60,"")</f>
        <v>0 IE</v>
      </c>
      <c r="AX58" s="714" t="str">
        <f>IF(_Pat_Gewicht&gt;0,FixPrecision(AX54/(_Pat_Gewicht),2)&amp;" "&amp;AX$60,"")</f>
        <v>0 mmol/kg</v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 t="str">
        <f>__1_Bed</f>
        <v>Unit 3-2</v>
      </c>
    </row>
    <row r="2" spans="1:16" x14ac:dyDescent="0.2">
      <c r="A2" s="104" t="s">
        <v>6923</v>
      </c>
      <c r="C2" s="106" t="str">
        <f>__3_VoorNaam&amp;" "&amp;__2_AchterNaam</f>
        <v>Bucks Bunny</v>
      </c>
      <c r="G2" s="104" t="s">
        <v>229</v>
      </c>
      <c r="I2" s="890">
        <f ca="1">TODAY()</f>
        <v>43418</v>
      </c>
      <c r="J2" s="890"/>
      <c r="K2" s="890"/>
      <c r="L2" s="104" t="s">
        <v>6925</v>
      </c>
      <c r="M2" s="891">
        <f ca="1">NOW()</f>
        <v>43418.724578935187</v>
      </c>
      <c r="N2" s="891"/>
    </row>
    <row r="3" spans="1:16" x14ac:dyDescent="0.2">
      <c r="A3" s="104" t="s">
        <v>6926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10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2" t="s">
        <v>401</v>
      </c>
      <c r="N5" s="893"/>
      <c r="O5" s="894" t="s">
        <v>5089</v>
      </c>
      <c r="P5" s="895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7865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6" t="str">
        <f>StringReplaceEPI( IF(A24&lt;&gt;"",IF(NeoBerInfB!B23&gt;1,INDEX(Tbl_Neo_MedIV,NeoBerInfB!B23,1),""),""))</f>
        <v/>
      </c>
      <c r="D24" s="897"/>
      <c r="E24" s="897"/>
      <c r="F24" s="897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1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6" t="str">
        <f>StringReplaceEPI( IF(A27&lt;&gt;"",IF(NeoBerInfB!B24&gt;1,INDEX(Tbl_Neo_MedIV,NeoBerInfB!B24,1),""),""))</f>
        <v/>
      </c>
      <c r="D27" s="897"/>
      <c r="E27" s="897"/>
      <c r="F27" s="897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1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6" t="str">
        <f>StringReplaceEPI( IF(A30&lt;&gt;"",IF(NeoBerInfB!B25&gt;1,INDEX(Tbl_Neo_MedIV,NeoBerInfB!B25,1),""),""))</f>
        <v/>
      </c>
      <c r="D30" s="897"/>
      <c r="E30" s="897"/>
      <c r="F30" s="897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1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6" t="str">
        <f>StringReplaceEPI( IF(A33&lt;&gt;"",IF(NeoBerInfB!B26&gt;1,INDEX(Tbl_Neo_MedIV,NeoBerInfB!B26,1),""),""))</f>
        <v/>
      </c>
      <c r="D33" s="897"/>
      <c r="E33" s="897"/>
      <c r="F33" s="897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1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6" t="str">
        <f>StringReplaceEPI( IF(A36&lt;&gt;"",IF(NeoBerInfB!B27&gt;1,INDEX(Tbl_Neo_MedIV,NeoBerInfB!B27,1),""),""))</f>
        <v/>
      </c>
      <c r="D36" s="897"/>
      <c r="E36" s="897"/>
      <c r="F36" s="897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1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6" t="str">
        <f>StringReplaceEPI(IF(A39&lt;&gt;"",IF(NeoBerInfB!B28&gt;1,INDEX(Tbl_Neo_MedIV,NeoBerInfB!B28,1),""),""))</f>
        <v/>
      </c>
      <c r="D39" s="897"/>
      <c r="E39" s="897"/>
      <c r="F39" s="897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1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6" t="str">
        <f>StringReplaceEPI(IF(A42&lt;&gt;"",IF(NeoBerInfB!B29&gt;1,INDEX(Tbl_Neo_MedIV,NeoBerInfB!B29,1),""),""))</f>
        <v/>
      </c>
      <c r="D42" s="897"/>
      <c r="E42" s="897"/>
      <c r="F42" s="897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1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6" t="str">
        <f>StringReplaceEPI(IF(A45&lt;&gt;"",IF(NeoBerInfB!B30&gt;1,INDEX(Tbl_Neo_MedIV,NeoBerInfB!B30,1),""),""))</f>
        <v/>
      </c>
      <c r="D45" s="897"/>
      <c r="E45" s="897"/>
      <c r="F45" s="897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1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6" t="str">
        <f>StringReplaceEPI(IF(A48&lt;&gt;"",IF(NeoBerInfB!B31&gt;1,INDEX(Tbl_Neo_MedIV,NeoBerInfB!B31,1),""),""))</f>
        <v/>
      </c>
      <c r="D48" s="897"/>
      <c r="E48" s="897"/>
      <c r="F48" s="897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1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6" t="str">
        <f>StringReplaceEPI(IF(A51&lt;&gt;"",IF(NeoBerInfB!B32&gt;1,INDEX(Tbl_Neo_MedIV,NeoBerInfB!B32,1),""),""))</f>
        <v/>
      </c>
      <c r="D51" s="897"/>
      <c r="E51" s="897"/>
      <c r="F51" s="897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1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/>
  </sheetViews>
  <sheetFormatPr defaultColWidth="9.140625" defaultRowHeight="12.75" x14ac:dyDescent="0.2"/>
  <cols>
    <col min="1" max="1" width="9.140625" style="746"/>
    <col min="2" max="2" width="30.7109375" style="746" bestFit="1" customWidth="1"/>
    <col min="3" max="3" width="12.7109375" style="746" customWidth="1"/>
    <col min="4" max="4" width="18.7109375" style="746" customWidth="1"/>
    <col min="5" max="6" width="9.140625" style="746"/>
    <col min="7" max="11" width="11" style="746" customWidth="1"/>
    <col min="12" max="12" width="8.5703125" style="746" customWidth="1"/>
    <col min="13" max="13" width="22.5703125" style="746" customWidth="1"/>
    <col min="14" max="15" width="6.85546875" style="746" customWidth="1"/>
    <col min="16" max="16" width="37.85546875" style="746" customWidth="1"/>
    <col min="17" max="18" width="9.140625" style="746"/>
    <col min="19" max="19" width="107.42578125" style="746" customWidth="1"/>
    <col min="20" max="20" width="26" style="746" customWidth="1"/>
    <col min="21" max="16384" width="9.140625" style="746"/>
  </cols>
  <sheetData>
    <row r="1" spans="1:22" ht="38.25" x14ac:dyDescent="0.2">
      <c r="B1" s="812">
        <v>1</v>
      </c>
      <c r="C1" s="812">
        <f>B1+1</f>
        <v>2</v>
      </c>
      <c r="D1" s="812">
        <f t="shared" ref="D1:T1" si="0">C1+1</f>
        <v>3</v>
      </c>
      <c r="E1" s="812">
        <f t="shared" si="0"/>
        <v>4</v>
      </c>
      <c r="F1" s="812">
        <f t="shared" si="0"/>
        <v>5</v>
      </c>
      <c r="G1" s="812">
        <f t="shared" si="0"/>
        <v>6</v>
      </c>
      <c r="H1" s="812">
        <f t="shared" si="0"/>
        <v>7</v>
      </c>
      <c r="I1" s="812">
        <f t="shared" si="0"/>
        <v>8</v>
      </c>
      <c r="J1" s="812">
        <f t="shared" si="0"/>
        <v>9</v>
      </c>
      <c r="K1" s="812">
        <f t="shared" si="0"/>
        <v>10</v>
      </c>
      <c r="L1" s="812">
        <f t="shared" si="0"/>
        <v>11</v>
      </c>
      <c r="M1" s="812">
        <f t="shared" si="0"/>
        <v>12</v>
      </c>
      <c r="N1" s="812">
        <f t="shared" si="0"/>
        <v>13</v>
      </c>
      <c r="O1" s="812">
        <f t="shared" si="0"/>
        <v>14</v>
      </c>
      <c r="P1" s="812">
        <f t="shared" si="0"/>
        <v>15</v>
      </c>
      <c r="Q1" s="812">
        <f t="shared" si="0"/>
        <v>16</v>
      </c>
      <c r="R1" s="812">
        <f t="shared" si="0"/>
        <v>17</v>
      </c>
      <c r="S1" s="812">
        <f t="shared" si="0"/>
        <v>18</v>
      </c>
      <c r="T1" s="812">
        <f t="shared" si="0"/>
        <v>19</v>
      </c>
      <c r="U1" s="747" t="s">
        <v>6948</v>
      </c>
    </row>
    <row r="2" spans="1:22" ht="38.25" x14ac:dyDescent="0.2">
      <c r="A2" s="748"/>
      <c r="B2" s="749" t="s">
        <v>446</v>
      </c>
      <c r="C2" s="749" t="s">
        <v>3285</v>
      </c>
      <c r="D2" s="749" t="s">
        <v>4085</v>
      </c>
      <c r="E2" s="749" t="s">
        <v>4863</v>
      </c>
      <c r="F2" s="749" t="s">
        <v>4864</v>
      </c>
      <c r="G2" s="749" t="s">
        <v>830</v>
      </c>
      <c r="H2" s="749" t="s">
        <v>831</v>
      </c>
      <c r="I2" s="749" t="s">
        <v>829</v>
      </c>
      <c r="J2" s="749" t="s">
        <v>4858</v>
      </c>
      <c r="K2" s="749" t="s">
        <v>4856</v>
      </c>
      <c r="L2" s="749" t="s">
        <v>832</v>
      </c>
      <c r="M2" s="749" t="s">
        <v>4086</v>
      </c>
      <c r="N2" s="749" t="s">
        <v>4915</v>
      </c>
      <c r="O2" s="749" t="s">
        <v>42</v>
      </c>
      <c r="P2" s="749" t="s">
        <v>4876</v>
      </c>
      <c r="Q2" s="749" t="s">
        <v>6949</v>
      </c>
      <c r="R2" s="749" t="s">
        <v>4900</v>
      </c>
      <c r="S2" s="749" t="s">
        <v>4877</v>
      </c>
      <c r="T2" s="749" t="s">
        <v>447</v>
      </c>
      <c r="U2" s="748" t="s">
        <v>4038</v>
      </c>
      <c r="V2" s="746" t="s">
        <v>4081</v>
      </c>
    </row>
    <row r="3" spans="1:22" x14ac:dyDescent="0.2">
      <c r="A3" s="748">
        <v>1</v>
      </c>
      <c r="B3" s="748"/>
      <c r="C3" s="748"/>
      <c r="D3" s="748"/>
      <c r="E3" s="748"/>
      <c r="F3" s="748"/>
      <c r="G3" s="748"/>
      <c r="H3" s="748"/>
      <c r="L3" s="746">
        <v>1</v>
      </c>
      <c r="T3" s="748"/>
      <c r="V3" s="746">
        <v>1</v>
      </c>
    </row>
    <row r="4" spans="1:22" ht="114.75" x14ac:dyDescent="0.2">
      <c r="A4" s="748">
        <f>A3+1</f>
        <v>2</v>
      </c>
      <c r="B4" s="745" t="s">
        <v>159</v>
      </c>
      <c r="C4" s="745" t="s">
        <v>118</v>
      </c>
      <c r="D4" s="745" t="s">
        <v>451</v>
      </c>
      <c r="E4" s="745">
        <v>0.1</v>
      </c>
      <c r="F4" s="745">
        <v>1</v>
      </c>
      <c r="G4" s="745">
        <v>0.05</v>
      </c>
      <c r="H4" s="745">
        <v>0.1</v>
      </c>
      <c r="I4" s="743">
        <v>0.501</v>
      </c>
      <c r="J4" s="743">
        <v>0</v>
      </c>
      <c r="K4" s="743">
        <v>0.1</v>
      </c>
      <c r="L4" s="743">
        <v>3</v>
      </c>
      <c r="M4" s="814" t="s">
        <v>5090</v>
      </c>
      <c r="N4" s="743">
        <v>12</v>
      </c>
      <c r="O4" s="743">
        <v>0.5</v>
      </c>
      <c r="P4" s="743" t="s">
        <v>4878</v>
      </c>
      <c r="Q4" s="743">
        <v>1</v>
      </c>
      <c r="R4" s="743" t="s">
        <v>4879</v>
      </c>
      <c r="S4" s="743" t="s">
        <v>7112</v>
      </c>
      <c r="T4" s="813" t="s">
        <v>5090</v>
      </c>
      <c r="U4" s="746">
        <f t="shared" ref="U4:U25" si="1">HLOOKUP(C4,Tbl_Glob_Conv_EenhCont,VLOOKUP(D4,Tbl_Glob_Conv_EenhCont,2,FALSE),FALSE)</f>
        <v>16.666666666666668</v>
      </c>
      <c r="V4" s="746">
        <f>V3+1</f>
        <v>2</v>
      </c>
    </row>
    <row r="5" spans="1:22" ht="114.75" x14ac:dyDescent="0.2">
      <c r="A5" s="748">
        <f t="shared" ref="A5:A26" si="2">A4+1</f>
        <v>3</v>
      </c>
      <c r="B5" s="745" t="s">
        <v>109</v>
      </c>
      <c r="C5" s="745" t="s">
        <v>118</v>
      </c>
      <c r="D5" s="745" t="s">
        <v>321</v>
      </c>
      <c r="E5" s="745">
        <v>0.5</v>
      </c>
      <c r="F5" s="745">
        <v>1</v>
      </c>
      <c r="G5" s="745">
        <v>10</v>
      </c>
      <c r="H5" s="745">
        <v>200</v>
      </c>
      <c r="I5" s="743">
        <v>200.01</v>
      </c>
      <c r="J5" s="743">
        <v>1.5E-3</v>
      </c>
      <c r="K5" s="743">
        <v>0.02</v>
      </c>
      <c r="L5" s="743">
        <v>3</v>
      </c>
      <c r="M5" s="814" t="s">
        <v>5091</v>
      </c>
      <c r="N5" s="743">
        <v>12</v>
      </c>
      <c r="O5" s="743">
        <v>0.5</v>
      </c>
      <c r="P5" s="743" t="s">
        <v>4880</v>
      </c>
      <c r="Q5" s="743">
        <v>1</v>
      </c>
      <c r="R5" s="743" t="s">
        <v>4879</v>
      </c>
      <c r="S5" s="743" t="s">
        <v>7113</v>
      </c>
      <c r="T5" s="813" t="s">
        <v>5091</v>
      </c>
      <c r="U5" s="746">
        <f t="shared" si="1"/>
        <v>16666.666666666668</v>
      </c>
      <c r="V5" s="746">
        <f t="shared" ref="V5:V26" si="3">V4+1</f>
        <v>3</v>
      </c>
    </row>
    <row r="6" spans="1:22" ht="114.75" x14ac:dyDescent="0.2">
      <c r="A6" s="748">
        <f t="shared" si="2"/>
        <v>4</v>
      </c>
      <c r="B6" s="745" t="s">
        <v>329</v>
      </c>
      <c r="C6" s="745" t="s">
        <v>118</v>
      </c>
      <c r="D6" s="745" t="s">
        <v>451</v>
      </c>
      <c r="E6" s="745">
        <v>50</v>
      </c>
      <c r="F6" s="745">
        <v>1</v>
      </c>
      <c r="G6" s="745">
        <v>5</v>
      </c>
      <c r="H6" s="745">
        <v>15</v>
      </c>
      <c r="I6" s="743">
        <v>15.01</v>
      </c>
      <c r="J6" s="743">
        <v>0.6</v>
      </c>
      <c r="K6" s="743">
        <v>50</v>
      </c>
      <c r="L6" s="743">
        <v>3</v>
      </c>
      <c r="M6" s="814" t="s">
        <v>5092</v>
      </c>
      <c r="N6" s="743">
        <v>12</v>
      </c>
      <c r="O6" s="743">
        <v>0.5</v>
      </c>
      <c r="P6" s="743" t="s">
        <v>4881</v>
      </c>
      <c r="Q6" s="743">
        <v>1</v>
      </c>
      <c r="R6" s="743" t="s">
        <v>4879</v>
      </c>
      <c r="S6" s="743" t="s">
        <v>7114</v>
      </c>
      <c r="T6" s="813" t="s">
        <v>5092</v>
      </c>
      <c r="U6" s="746">
        <f t="shared" si="1"/>
        <v>16.666666666666668</v>
      </c>
      <c r="V6" s="746">
        <f t="shared" si="3"/>
        <v>4</v>
      </c>
    </row>
    <row r="7" spans="1:22" ht="102" x14ac:dyDescent="0.2">
      <c r="A7" s="748">
        <f t="shared" si="2"/>
        <v>5</v>
      </c>
      <c r="B7" s="745" t="s">
        <v>7622</v>
      </c>
      <c r="C7" s="745" t="s">
        <v>119</v>
      </c>
      <c r="D7" s="745" t="s">
        <v>6947</v>
      </c>
      <c r="E7" s="745">
        <v>1</v>
      </c>
      <c r="F7" s="745">
        <v>1</v>
      </c>
      <c r="G7" s="745">
        <v>2</v>
      </c>
      <c r="H7" s="745">
        <v>4</v>
      </c>
      <c r="I7" s="743">
        <v>4.01</v>
      </c>
      <c r="J7" s="743">
        <v>0</v>
      </c>
      <c r="K7" s="743">
        <v>0</v>
      </c>
      <c r="L7" s="743">
        <v>12</v>
      </c>
      <c r="M7" s="814" t="s">
        <v>7623</v>
      </c>
      <c r="N7" s="743">
        <v>24</v>
      </c>
      <c r="O7" s="743">
        <v>1</v>
      </c>
      <c r="P7" s="743" t="s">
        <v>7649</v>
      </c>
      <c r="Q7" s="743">
        <v>1</v>
      </c>
      <c r="R7" s="743" t="s">
        <v>4879</v>
      </c>
      <c r="S7" s="743" t="s">
        <v>7650</v>
      </c>
      <c r="T7" s="813" t="s">
        <v>7623</v>
      </c>
      <c r="U7" s="746">
        <f t="shared" si="1"/>
        <v>24</v>
      </c>
      <c r="V7" s="746">
        <f t="shared" si="3"/>
        <v>5</v>
      </c>
    </row>
    <row r="8" spans="1:22" ht="114.75" x14ac:dyDescent="0.2">
      <c r="A8" s="748">
        <f t="shared" si="2"/>
        <v>6</v>
      </c>
      <c r="B8" s="745" t="s">
        <v>33</v>
      </c>
      <c r="C8" s="745" t="s">
        <v>118</v>
      </c>
      <c r="D8" s="745" t="s">
        <v>583</v>
      </c>
      <c r="E8" s="745">
        <v>0.15</v>
      </c>
      <c r="F8" s="745">
        <v>1</v>
      </c>
      <c r="G8" s="745">
        <v>0.25</v>
      </c>
      <c r="H8" s="745">
        <v>2</v>
      </c>
      <c r="I8" s="743">
        <v>2.0099999999999998</v>
      </c>
      <c r="J8" s="743">
        <v>0</v>
      </c>
      <c r="K8" s="743">
        <v>0.15</v>
      </c>
      <c r="L8" s="743">
        <v>12</v>
      </c>
      <c r="M8" s="814" t="s">
        <v>5093</v>
      </c>
      <c r="N8" s="743">
        <v>12</v>
      </c>
      <c r="O8" s="743">
        <v>0.5</v>
      </c>
      <c r="P8" s="743" t="s">
        <v>4882</v>
      </c>
      <c r="Q8" s="743">
        <v>1</v>
      </c>
      <c r="R8" s="743" t="s">
        <v>4879</v>
      </c>
      <c r="S8" s="743" t="s">
        <v>7115</v>
      </c>
      <c r="T8" s="813" t="s">
        <v>5093</v>
      </c>
      <c r="U8" s="746">
        <f t="shared" si="1"/>
        <v>1000</v>
      </c>
      <c r="V8" s="746">
        <f t="shared" si="3"/>
        <v>6</v>
      </c>
    </row>
    <row r="9" spans="1:22" ht="114.75" x14ac:dyDescent="0.2">
      <c r="A9" s="748">
        <f t="shared" si="2"/>
        <v>7</v>
      </c>
      <c r="B9" s="745" t="s">
        <v>253</v>
      </c>
      <c r="C9" s="745" t="s">
        <v>118</v>
      </c>
      <c r="D9" s="745" t="s">
        <v>451</v>
      </c>
      <c r="E9" s="745">
        <v>12.5</v>
      </c>
      <c r="F9" s="745">
        <v>1</v>
      </c>
      <c r="G9" s="745">
        <v>2</v>
      </c>
      <c r="H9" s="745">
        <v>20</v>
      </c>
      <c r="I9" s="743">
        <v>20.010000000000002</v>
      </c>
      <c r="J9" s="743">
        <v>0</v>
      </c>
      <c r="K9" s="743">
        <v>12.5</v>
      </c>
      <c r="L9" s="743">
        <v>3</v>
      </c>
      <c r="M9" s="814" t="s">
        <v>5094</v>
      </c>
      <c r="N9" s="743">
        <v>12</v>
      </c>
      <c r="O9" s="743">
        <v>0.5</v>
      </c>
      <c r="P9" s="743" t="s">
        <v>4883</v>
      </c>
      <c r="Q9" s="743">
        <v>1</v>
      </c>
      <c r="R9" s="743" t="s">
        <v>4879</v>
      </c>
      <c r="S9" s="743" t="s">
        <v>7116</v>
      </c>
      <c r="T9" s="813" t="s">
        <v>5094</v>
      </c>
      <c r="U9" s="746">
        <f t="shared" si="1"/>
        <v>16.666666666666668</v>
      </c>
      <c r="V9" s="746">
        <f t="shared" si="3"/>
        <v>7</v>
      </c>
    </row>
    <row r="10" spans="1:22" s="747" customFormat="1" ht="114.75" x14ac:dyDescent="0.2">
      <c r="A10" s="748">
        <f t="shared" si="2"/>
        <v>8</v>
      </c>
      <c r="B10" s="750" t="s">
        <v>228</v>
      </c>
      <c r="C10" s="745" t="s">
        <v>118</v>
      </c>
      <c r="D10" s="751" t="s">
        <v>451</v>
      </c>
      <c r="E10" s="750">
        <v>40</v>
      </c>
      <c r="F10" s="750">
        <v>1</v>
      </c>
      <c r="G10" s="745">
        <v>1</v>
      </c>
      <c r="H10" s="745">
        <v>20</v>
      </c>
      <c r="I10" s="744">
        <v>20.010000000000002</v>
      </c>
      <c r="J10" s="744">
        <v>0</v>
      </c>
      <c r="K10" s="744">
        <v>40</v>
      </c>
      <c r="L10" s="744">
        <v>3</v>
      </c>
      <c r="M10" s="814" t="s">
        <v>5095</v>
      </c>
      <c r="N10" s="744">
        <v>12</v>
      </c>
      <c r="O10" s="743">
        <v>0.5</v>
      </c>
      <c r="P10" s="744" t="s">
        <v>4884</v>
      </c>
      <c r="Q10" s="744">
        <v>1</v>
      </c>
      <c r="R10" s="744" t="s">
        <v>4879</v>
      </c>
      <c r="S10" s="744" t="s">
        <v>7117</v>
      </c>
      <c r="T10" s="813" t="s">
        <v>5095</v>
      </c>
      <c r="U10" s="746">
        <f t="shared" si="1"/>
        <v>16.666666666666668</v>
      </c>
      <c r="V10" s="746">
        <f t="shared" si="3"/>
        <v>8</v>
      </c>
    </row>
    <row r="11" spans="1:22" ht="102" x14ac:dyDescent="0.2">
      <c r="A11" s="748">
        <f t="shared" si="2"/>
        <v>9</v>
      </c>
      <c r="B11" s="745" t="s">
        <v>5111</v>
      </c>
      <c r="C11" s="745" t="s">
        <v>118</v>
      </c>
      <c r="D11" s="745" t="s">
        <v>280</v>
      </c>
      <c r="E11" s="745">
        <v>20</v>
      </c>
      <c r="F11" s="745">
        <v>1</v>
      </c>
      <c r="G11" s="745">
        <v>0.5</v>
      </c>
      <c r="H11" s="745">
        <v>2</v>
      </c>
      <c r="I11" s="745">
        <v>2.0099999999999998</v>
      </c>
      <c r="J11" s="743">
        <v>2</v>
      </c>
      <c r="K11" s="752">
        <v>2</v>
      </c>
      <c r="L11" s="743">
        <v>2</v>
      </c>
      <c r="M11" s="814" t="s">
        <v>5096</v>
      </c>
      <c r="N11" s="745">
        <v>12</v>
      </c>
      <c r="O11" s="745">
        <v>0.5</v>
      </c>
      <c r="P11" s="745" t="s">
        <v>7871</v>
      </c>
      <c r="Q11" s="745">
        <v>1</v>
      </c>
      <c r="R11" s="745" t="s">
        <v>4879</v>
      </c>
      <c r="S11" s="745" t="s">
        <v>7872</v>
      </c>
      <c r="T11" s="813" t="s">
        <v>5096</v>
      </c>
      <c r="U11" s="746">
        <f t="shared" si="1"/>
        <v>1</v>
      </c>
      <c r="V11" s="746">
        <f t="shared" si="3"/>
        <v>9</v>
      </c>
    </row>
    <row r="12" spans="1:22" ht="25.5" x14ac:dyDescent="0.2">
      <c r="A12" s="748">
        <f t="shared" si="2"/>
        <v>10</v>
      </c>
      <c r="B12" s="745" t="s">
        <v>75</v>
      </c>
      <c r="C12" s="745" t="s">
        <v>118</v>
      </c>
      <c r="D12" s="745" t="s">
        <v>321</v>
      </c>
      <c r="E12" s="745">
        <v>0.01</v>
      </c>
      <c r="F12" s="745">
        <v>1</v>
      </c>
      <c r="G12" s="745">
        <v>5</v>
      </c>
      <c r="H12" s="745">
        <v>40</v>
      </c>
      <c r="I12" s="745">
        <v>40.01</v>
      </c>
      <c r="J12" s="743">
        <v>5.0000000000000001E-3</v>
      </c>
      <c r="K12" s="752">
        <v>0.01</v>
      </c>
      <c r="L12" s="743">
        <v>1</v>
      </c>
      <c r="M12" s="814" t="s">
        <v>5097</v>
      </c>
      <c r="N12" s="745">
        <v>12</v>
      </c>
      <c r="O12" s="745">
        <v>0.5</v>
      </c>
      <c r="P12" s="745" t="s">
        <v>4885</v>
      </c>
      <c r="Q12" s="745">
        <v>1</v>
      </c>
      <c r="R12" s="745" t="s">
        <v>4879</v>
      </c>
      <c r="S12" s="745" t="s">
        <v>7118</v>
      </c>
      <c r="T12" s="813" t="s">
        <v>5097</v>
      </c>
      <c r="U12" s="746">
        <f t="shared" si="1"/>
        <v>16666.666666666668</v>
      </c>
      <c r="V12" s="746">
        <f t="shared" si="3"/>
        <v>10</v>
      </c>
    </row>
    <row r="13" spans="1:22" ht="89.25" x14ac:dyDescent="0.2">
      <c r="A13" s="748">
        <f t="shared" si="2"/>
        <v>11</v>
      </c>
      <c r="B13" s="745" t="s">
        <v>356</v>
      </c>
      <c r="C13" s="745" t="s">
        <v>118</v>
      </c>
      <c r="D13" s="745" t="s">
        <v>363</v>
      </c>
      <c r="E13" s="745">
        <v>10</v>
      </c>
      <c r="F13" s="745">
        <v>1</v>
      </c>
      <c r="G13" s="745">
        <v>0.1</v>
      </c>
      <c r="H13" s="745">
        <v>1</v>
      </c>
      <c r="I13" s="743">
        <v>1.01</v>
      </c>
      <c r="J13" s="743">
        <v>0</v>
      </c>
      <c r="K13" s="743">
        <v>10</v>
      </c>
      <c r="L13" s="743">
        <v>3</v>
      </c>
      <c r="M13" s="814" t="s">
        <v>5098</v>
      </c>
      <c r="N13" s="745">
        <v>12</v>
      </c>
      <c r="O13" s="745">
        <v>0.5</v>
      </c>
      <c r="P13" s="743" t="s">
        <v>4886</v>
      </c>
      <c r="Q13" s="743">
        <v>1</v>
      </c>
      <c r="R13" s="743" t="s">
        <v>4879</v>
      </c>
      <c r="S13" s="743" t="s">
        <v>7119</v>
      </c>
      <c r="T13" s="813" t="s">
        <v>5098</v>
      </c>
      <c r="U13" s="746">
        <f t="shared" si="1"/>
        <v>1.6666666666666666E-2</v>
      </c>
      <c r="V13" s="746">
        <f t="shared" si="3"/>
        <v>11</v>
      </c>
    </row>
    <row r="14" spans="1:22" ht="114.75" x14ac:dyDescent="0.2">
      <c r="A14" s="748">
        <f t="shared" si="2"/>
        <v>12</v>
      </c>
      <c r="B14" s="745" t="s">
        <v>123</v>
      </c>
      <c r="C14" s="745" t="s">
        <v>118</v>
      </c>
      <c r="D14" s="745" t="s">
        <v>281</v>
      </c>
      <c r="E14" s="745">
        <v>10</v>
      </c>
      <c r="F14" s="745">
        <v>1</v>
      </c>
      <c r="G14" s="745">
        <v>1</v>
      </c>
      <c r="H14" s="745">
        <v>4</v>
      </c>
      <c r="I14" s="743">
        <v>4.01</v>
      </c>
      <c r="J14" s="743">
        <v>0.1</v>
      </c>
      <c r="K14" s="743">
        <v>10</v>
      </c>
      <c r="L14" s="743">
        <v>3</v>
      </c>
      <c r="M14" s="814" t="s">
        <v>5099</v>
      </c>
      <c r="N14" s="745">
        <v>12</v>
      </c>
      <c r="O14" s="745">
        <v>0.5</v>
      </c>
      <c r="P14" s="743" t="s">
        <v>4887</v>
      </c>
      <c r="Q14" s="743">
        <v>1</v>
      </c>
      <c r="R14" s="743" t="s">
        <v>4879</v>
      </c>
      <c r="S14" s="743" t="s">
        <v>7120</v>
      </c>
      <c r="T14" s="813" t="s">
        <v>5099</v>
      </c>
      <c r="U14" s="746">
        <f t="shared" si="1"/>
        <v>24</v>
      </c>
      <c r="V14" s="746">
        <f t="shared" si="3"/>
        <v>12</v>
      </c>
    </row>
    <row r="15" spans="1:22" ht="25.5" x14ac:dyDescent="0.2">
      <c r="A15" s="748">
        <f t="shared" si="2"/>
        <v>13</v>
      </c>
      <c r="B15" s="744" t="s">
        <v>358</v>
      </c>
      <c r="C15" s="745" t="s">
        <v>4045</v>
      </c>
      <c r="D15" s="753" t="s">
        <v>139</v>
      </c>
      <c r="E15" s="745">
        <v>1</v>
      </c>
      <c r="F15" s="745">
        <v>1</v>
      </c>
      <c r="G15" s="745">
        <v>0.01</v>
      </c>
      <c r="H15" s="745">
        <v>0.1</v>
      </c>
      <c r="I15" s="743">
        <v>0.10100000000000001</v>
      </c>
      <c r="J15" s="743">
        <v>0</v>
      </c>
      <c r="K15" s="743">
        <v>1</v>
      </c>
      <c r="L15" s="743">
        <v>12</v>
      </c>
      <c r="M15" s="814" t="s">
        <v>5100</v>
      </c>
      <c r="N15" s="745">
        <v>12</v>
      </c>
      <c r="O15" s="745">
        <v>0.5</v>
      </c>
      <c r="P15" s="743" t="s">
        <v>4888</v>
      </c>
      <c r="Q15" s="743">
        <v>1</v>
      </c>
      <c r="R15" s="743" t="s">
        <v>4879</v>
      </c>
      <c r="S15" s="743" t="s">
        <v>7653</v>
      </c>
      <c r="T15" s="813" t="s">
        <v>5100</v>
      </c>
      <c r="U15" s="746">
        <f t="shared" si="1"/>
        <v>1</v>
      </c>
      <c r="V15" s="746">
        <f t="shared" si="3"/>
        <v>13</v>
      </c>
    </row>
    <row r="16" spans="1:22" ht="114.75" x14ac:dyDescent="0.2">
      <c r="A16" s="748">
        <f t="shared" si="2"/>
        <v>14</v>
      </c>
      <c r="B16" s="744" t="s">
        <v>304</v>
      </c>
      <c r="C16" s="745" t="s">
        <v>118</v>
      </c>
      <c r="D16" s="753" t="s">
        <v>451</v>
      </c>
      <c r="E16" s="745">
        <v>1</v>
      </c>
      <c r="F16" s="745">
        <v>1</v>
      </c>
      <c r="G16" s="745">
        <v>0.01</v>
      </c>
      <c r="H16" s="745">
        <v>1.5</v>
      </c>
      <c r="I16" s="743">
        <v>1.5009999999999999</v>
      </c>
      <c r="J16" s="743">
        <v>0</v>
      </c>
      <c r="K16" s="743">
        <v>1</v>
      </c>
      <c r="L16" s="743">
        <v>3</v>
      </c>
      <c r="M16" s="814" t="s">
        <v>5101</v>
      </c>
      <c r="N16" s="745">
        <v>12</v>
      </c>
      <c r="O16" s="745">
        <v>0.5</v>
      </c>
      <c r="P16" s="743" t="s">
        <v>4889</v>
      </c>
      <c r="Q16" s="743">
        <v>1</v>
      </c>
      <c r="R16" s="743" t="s">
        <v>4879</v>
      </c>
      <c r="S16" s="743" t="s">
        <v>7121</v>
      </c>
      <c r="T16" s="813" t="s">
        <v>5101</v>
      </c>
      <c r="U16" s="746">
        <f t="shared" si="1"/>
        <v>16.666666666666668</v>
      </c>
      <c r="V16" s="746">
        <f t="shared" si="3"/>
        <v>14</v>
      </c>
    </row>
    <row r="17" spans="1:22" ht="102" x14ac:dyDescent="0.2">
      <c r="A17" s="748">
        <f t="shared" si="2"/>
        <v>15</v>
      </c>
      <c r="B17" s="744" t="s">
        <v>359</v>
      </c>
      <c r="C17" s="745" t="s">
        <v>118</v>
      </c>
      <c r="D17" s="753" t="s">
        <v>280</v>
      </c>
      <c r="E17" s="745">
        <v>5</v>
      </c>
      <c r="F17" s="745">
        <v>1</v>
      </c>
      <c r="G17" s="745">
        <v>0.25</v>
      </c>
      <c r="H17" s="745">
        <v>3</v>
      </c>
      <c r="I17" s="743">
        <v>3.01</v>
      </c>
      <c r="J17" s="743">
        <v>0</v>
      </c>
      <c r="K17" s="743">
        <v>5</v>
      </c>
      <c r="L17" s="743">
        <v>3</v>
      </c>
      <c r="M17" s="814" t="s">
        <v>5102</v>
      </c>
      <c r="N17" s="745">
        <v>12</v>
      </c>
      <c r="O17" s="745">
        <v>0.5</v>
      </c>
      <c r="P17" s="743" t="s">
        <v>4890</v>
      </c>
      <c r="Q17" s="743">
        <v>1</v>
      </c>
      <c r="R17" s="743" t="s">
        <v>4879</v>
      </c>
      <c r="S17" s="743" t="s">
        <v>7122</v>
      </c>
      <c r="T17" s="813" t="s">
        <v>5102</v>
      </c>
      <c r="U17" s="746">
        <f t="shared" si="1"/>
        <v>1</v>
      </c>
      <c r="V17" s="746">
        <f t="shared" si="3"/>
        <v>15</v>
      </c>
    </row>
    <row r="18" spans="1:22" ht="114.75" x14ac:dyDescent="0.2">
      <c r="A18" s="748">
        <f t="shared" si="2"/>
        <v>16</v>
      </c>
      <c r="B18" s="744" t="s">
        <v>4246</v>
      </c>
      <c r="C18" s="745" t="s">
        <v>118</v>
      </c>
      <c r="D18" s="753" t="s">
        <v>280</v>
      </c>
      <c r="E18" s="745">
        <v>20</v>
      </c>
      <c r="F18" s="745">
        <v>1</v>
      </c>
      <c r="G18" s="745">
        <v>5</v>
      </c>
      <c r="H18" s="745">
        <v>7</v>
      </c>
      <c r="I18" s="743">
        <v>7.01</v>
      </c>
      <c r="J18" s="743">
        <v>0</v>
      </c>
      <c r="K18" s="743">
        <v>20</v>
      </c>
      <c r="L18" s="743">
        <v>3</v>
      </c>
      <c r="M18" s="814" t="s">
        <v>5103</v>
      </c>
      <c r="N18" s="745">
        <v>48</v>
      </c>
      <c r="O18" s="745">
        <v>2</v>
      </c>
      <c r="P18" s="743" t="s">
        <v>4891</v>
      </c>
      <c r="Q18" s="743">
        <v>1</v>
      </c>
      <c r="R18" s="743" t="s">
        <v>4879</v>
      </c>
      <c r="S18" s="743" t="s">
        <v>7123</v>
      </c>
      <c r="T18" s="813" t="s">
        <v>5103</v>
      </c>
      <c r="U18" s="746">
        <f t="shared" si="1"/>
        <v>1</v>
      </c>
      <c r="V18" s="746">
        <f t="shared" si="3"/>
        <v>16</v>
      </c>
    </row>
    <row r="19" spans="1:22" ht="114.75" x14ac:dyDescent="0.2">
      <c r="A19" s="748">
        <f t="shared" si="2"/>
        <v>17</v>
      </c>
      <c r="B19" s="745" t="s">
        <v>275</v>
      </c>
      <c r="C19" s="745" t="s">
        <v>118</v>
      </c>
      <c r="D19" s="745" t="s">
        <v>280</v>
      </c>
      <c r="E19" s="745">
        <v>5</v>
      </c>
      <c r="F19" s="745">
        <v>1</v>
      </c>
      <c r="G19" s="745">
        <v>0.05</v>
      </c>
      <c r="H19" s="745">
        <v>5</v>
      </c>
      <c r="I19" s="743">
        <v>5.01</v>
      </c>
      <c r="J19" s="743">
        <v>0</v>
      </c>
      <c r="K19" s="743">
        <v>5</v>
      </c>
      <c r="L19" s="743">
        <v>3</v>
      </c>
      <c r="M19" s="814" t="s">
        <v>5104</v>
      </c>
      <c r="N19" s="745">
        <v>12</v>
      </c>
      <c r="O19" s="745">
        <v>0.5</v>
      </c>
      <c r="P19" s="745" t="s">
        <v>4892</v>
      </c>
      <c r="Q19" s="745">
        <v>1</v>
      </c>
      <c r="R19" s="745" t="s">
        <v>4879</v>
      </c>
      <c r="S19" s="745" t="s">
        <v>7124</v>
      </c>
      <c r="T19" s="813" t="s">
        <v>5104</v>
      </c>
      <c r="U19" s="746">
        <f t="shared" si="1"/>
        <v>1</v>
      </c>
      <c r="V19" s="746">
        <f t="shared" si="3"/>
        <v>17</v>
      </c>
    </row>
    <row r="20" spans="1:22" ht="114.75" x14ac:dyDescent="0.2">
      <c r="A20" s="748">
        <f t="shared" si="2"/>
        <v>18</v>
      </c>
      <c r="B20" s="744" t="s">
        <v>361</v>
      </c>
      <c r="C20" s="745" t="s">
        <v>118</v>
      </c>
      <c r="D20" s="753" t="s">
        <v>451</v>
      </c>
      <c r="E20" s="745">
        <v>1</v>
      </c>
      <c r="F20" s="745">
        <v>1</v>
      </c>
      <c r="G20" s="745">
        <v>0.25</v>
      </c>
      <c r="H20" s="745">
        <v>0.75</v>
      </c>
      <c r="I20" s="743">
        <v>0.75009999999999999</v>
      </c>
      <c r="J20" s="743">
        <v>0</v>
      </c>
      <c r="K20" s="743">
        <v>1</v>
      </c>
      <c r="L20" s="743">
        <v>3</v>
      </c>
      <c r="M20" s="814" t="s">
        <v>5105</v>
      </c>
      <c r="N20" s="745">
        <v>12</v>
      </c>
      <c r="O20" s="745">
        <v>0.5</v>
      </c>
      <c r="P20" s="743" t="s">
        <v>4893</v>
      </c>
      <c r="Q20" s="743">
        <v>1</v>
      </c>
      <c r="R20" s="743" t="s">
        <v>4879</v>
      </c>
      <c r="S20" s="743" t="s">
        <v>7125</v>
      </c>
      <c r="T20" s="813" t="s">
        <v>5105</v>
      </c>
      <c r="U20" s="746">
        <f t="shared" si="1"/>
        <v>16.666666666666668</v>
      </c>
      <c r="V20" s="746">
        <f t="shared" si="3"/>
        <v>18</v>
      </c>
    </row>
    <row r="21" spans="1:22" ht="114.75" x14ac:dyDescent="0.2">
      <c r="A21" s="748">
        <f t="shared" si="2"/>
        <v>19</v>
      </c>
      <c r="B21" s="744" t="s">
        <v>89</v>
      </c>
      <c r="C21" s="745" t="s">
        <v>118</v>
      </c>
      <c r="D21" s="753" t="s">
        <v>281</v>
      </c>
      <c r="E21" s="745">
        <v>1</v>
      </c>
      <c r="F21" s="745">
        <v>1</v>
      </c>
      <c r="G21" s="745">
        <v>0.125</v>
      </c>
      <c r="H21" s="745">
        <v>0.5</v>
      </c>
      <c r="I21" s="743">
        <v>0.501</v>
      </c>
      <c r="J21" s="743">
        <v>0</v>
      </c>
      <c r="K21" s="743">
        <v>1</v>
      </c>
      <c r="L21" s="743">
        <v>3</v>
      </c>
      <c r="M21" s="814" t="s">
        <v>5106</v>
      </c>
      <c r="N21" s="745">
        <v>12</v>
      </c>
      <c r="O21" s="745">
        <v>0.5</v>
      </c>
      <c r="P21" s="743" t="s">
        <v>7136</v>
      </c>
      <c r="Q21" s="743">
        <v>1</v>
      </c>
      <c r="R21" s="743" t="s">
        <v>4879</v>
      </c>
      <c r="S21" s="743" t="s">
        <v>7126</v>
      </c>
      <c r="T21" s="813" t="s">
        <v>5106</v>
      </c>
      <c r="U21" s="746">
        <f t="shared" si="1"/>
        <v>24</v>
      </c>
      <c r="V21" s="746">
        <f t="shared" si="3"/>
        <v>19</v>
      </c>
    </row>
    <row r="22" spans="1:22" ht="114.75" x14ac:dyDescent="0.2">
      <c r="A22" s="748">
        <f t="shared" si="2"/>
        <v>20</v>
      </c>
      <c r="B22" s="744" t="s">
        <v>4247</v>
      </c>
      <c r="C22" s="745" t="s">
        <v>118</v>
      </c>
      <c r="D22" s="753" t="s">
        <v>451</v>
      </c>
      <c r="E22" s="745">
        <v>1</v>
      </c>
      <c r="F22" s="745">
        <v>1</v>
      </c>
      <c r="G22" s="745">
        <v>0.5</v>
      </c>
      <c r="H22" s="745">
        <v>2</v>
      </c>
      <c r="I22" s="743">
        <v>2.0099999999999998</v>
      </c>
      <c r="J22" s="743">
        <v>0</v>
      </c>
      <c r="K22" s="743">
        <v>1</v>
      </c>
      <c r="L22" s="743">
        <v>3</v>
      </c>
      <c r="M22" s="814" t="s">
        <v>5107</v>
      </c>
      <c r="N22" s="745">
        <v>12</v>
      </c>
      <c r="O22" s="745">
        <v>0.5</v>
      </c>
      <c r="P22" s="743" t="s">
        <v>4894</v>
      </c>
      <c r="Q22" s="743">
        <v>1</v>
      </c>
      <c r="R22" s="743" t="s">
        <v>4879</v>
      </c>
      <c r="S22" s="743" t="s">
        <v>7127</v>
      </c>
      <c r="T22" s="813" t="s">
        <v>5107</v>
      </c>
      <c r="U22" s="746">
        <f t="shared" si="1"/>
        <v>16.666666666666668</v>
      </c>
      <c r="V22" s="746">
        <f t="shared" si="3"/>
        <v>20</v>
      </c>
    </row>
    <row r="23" spans="1:22" ht="114.75" x14ac:dyDescent="0.2">
      <c r="A23" s="748">
        <f t="shared" si="2"/>
        <v>21</v>
      </c>
      <c r="B23" s="745" t="s">
        <v>48</v>
      </c>
      <c r="C23" s="745" t="s">
        <v>118</v>
      </c>
      <c r="D23" s="745" t="s">
        <v>451</v>
      </c>
      <c r="E23" s="745">
        <v>25</v>
      </c>
      <c r="F23" s="745">
        <v>1</v>
      </c>
      <c r="G23" s="745">
        <v>0.5</v>
      </c>
      <c r="H23" s="745">
        <v>8</v>
      </c>
      <c r="I23" s="743">
        <v>8.01</v>
      </c>
      <c r="J23" s="743">
        <v>0</v>
      </c>
      <c r="K23" s="743">
        <v>25</v>
      </c>
      <c r="L23" s="743">
        <v>3</v>
      </c>
      <c r="M23" s="814" t="s">
        <v>5108</v>
      </c>
      <c r="N23" s="745">
        <v>12</v>
      </c>
      <c r="O23" s="745">
        <v>0.5</v>
      </c>
      <c r="P23" s="743" t="s">
        <v>7873</v>
      </c>
      <c r="Q23" s="743">
        <v>1</v>
      </c>
      <c r="R23" s="743" t="s">
        <v>4879</v>
      </c>
      <c r="S23" s="743" t="s">
        <v>7874</v>
      </c>
      <c r="T23" s="813" t="s">
        <v>5108</v>
      </c>
      <c r="U23" s="746">
        <f t="shared" si="1"/>
        <v>16.666666666666668</v>
      </c>
      <c r="V23" s="746">
        <f t="shared" si="3"/>
        <v>21</v>
      </c>
    </row>
    <row r="24" spans="1:22" ht="114.75" x14ac:dyDescent="0.2">
      <c r="A24" s="748">
        <f t="shared" si="2"/>
        <v>22</v>
      </c>
      <c r="B24" s="744" t="s">
        <v>300</v>
      </c>
      <c r="C24" s="745" t="s">
        <v>118</v>
      </c>
      <c r="D24" s="753" t="s">
        <v>451</v>
      </c>
      <c r="E24" s="745">
        <v>1</v>
      </c>
      <c r="F24" s="745">
        <v>1</v>
      </c>
      <c r="G24" s="745">
        <v>0.05</v>
      </c>
      <c r="H24" s="745">
        <v>2</v>
      </c>
      <c r="I24" s="743">
        <v>2.0099999999999998</v>
      </c>
      <c r="J24" s="743">
        <v>0</v>
      </c>
      <c r="K24" s="743">
        <v>1</v>
      </c>
      <c r="L24" s="743">
        <v>3</v>
      </c>
      <c r="M24" s="814" t="s">
        <v>5109</v>
      </c>
      <c r="N24" s="745">
        <v>12</v>
      </c>
      <c r="O24" s="745">
        <v>0.5</v>
      </c>
      <c r="P24" s="743" t="s">
        <v>4895</v>
      </c>
      <c r="Q24" s="743">
        <v>1</v>
      </c>
      <c r="R24" s="743" t="s">
        <v>4879</v>
      </c>
      <c r="S24" s="743" t="s">
        <v>7128</v>
      </c>
      <c r="T24" s="813" t="s">
        <v>5109</v>
      </c>
      <c r="U24" s="746">
        <f t="shared" si="1"/>
        <v>16.666666666666668</v>
      </c>
      <c r="V24" s="746">
        <f t="shared" si="3"/>
        <v>22</v>
      </c>
    </row>
    <row r="25" spans="1:22" ht="114.75" x14ac:dyDescent="0.2">
      <c r="A25" s="748">
        <f t="shared" si="2"/>
        <v>23</v>
      </c>
      <c r="B25" s="744" t="s">
        <v>206</v>
      </c>
      <c r="C25" s="745" t="s">
        <v>118</v>
      </c>
      <c r="D25" s="753" t="s">
        <v>280</v>
      </c>
      <c r="E25" s="745">
        <v>10</v>
      </c>
      <c r="F25" s="745">
        <v>1</v>
      </c>
      <c r="G25" s="745">
        <v>0.3</v>
      </c>
      <c r="H25" s="745">
        <v>2.2000000000000002</v>
      </c>
      <c r="I25" s="743">
        <v>2.2010000000000001</v>
      </c>
      <c r="J25" s="743">
        <v>0</v>
      </c>
      <c r="K25" s="743">
        <v>10</v>
      </c>
      <c r="L25" s="743">
        <v>3</v>
      </c>
      <c r="M25" s="814" t="s">
        <v>5110</v>
      </c>
      <c r="N25" s="745">
        <v>12</v>
      </c>
      <c r="O25" s="745">
        <v>0.5</v>
      </c>
      <c r="P25" s="743" t="s">
        <v>4896</v>
      </c>
      <c r="Q25" s="743">
        <v>1</v>
      </c>
      <c r="R25" s="743" t="s">
        <v>4879</v>
      </c>
      <c r="S25" s="743" t="s">
        <v>7129</v>
      </c>
      <c r="T25" s="813" t="s">
        <v>5110</v>
      </c>
      <c r="U25" s="746">
        <f t="shared" si="1"/>
        <v>1</v>
      </c>
      <c r="V25" s="746">
        <f t="shared" si="3"/>
        <v>23</v>
      </c>
    </row>
    <row r="26" spans="1:22" ht="114.75" x14ac:dyDescent="0.2">
      <c r="A26" s="748">
        <f t="shared" si="2"/>
        <v>24</v>
      </c>
      <c r="B26" s="744" t="s">
        <v>7624</v>
      </c>
      <c r="C26" s="745" t="s">
        <v>119</v>
      </c>
      <c r="D26" s="753" t="s">
        <v>6947</v>
      </c>
      <c r="E26" s="745">
        <v>1</v>
      </c>
      <c r="F26" s="745">
        <v>1</v>
      </c>
      <c r="G26" s="745">
        <v>2</v>
      </c>
      <c r="H26" s="745">
        <v>4</v>
      </c>
      <c r="I26" s="743">
        <v>4.01</v>
      </c>
      <c r="J26" s="743">
        <v>0</v>
      </c>
      <c r="K26" s="743">
        <v>0</v>
      </c>
      <c r="L26" s="743">
        <v>12</v>
      </c>
      <c r="M26" s="814" t="s">
        <v>7623</v>
      </c>
      <c r="N26" s="745">
        <v>24</v>
      </c>
      <c r="O26" s="745">
        <v>1</v>
      </c>
      <c r="P26" s="743" t="s">
        <v>7651</v>
      </c>
      <c r="Q26" s="743">
        <v>1</v>
      </c>
      <c r="R26" s="743" t="s">
        <v>4879</v>
      </c>
      <c r="S26" s="743" t="s">
        <v>7652</v>
      </c>
      <c r="T26" s="813" t="s">
        <v>7623</v>
      </c>
      <c r="U26" s="746">
        <f>HLOOKUP(C26,Tbl_Glob_Conv_EenhCont,VLOOKUP(D26,Tbl_Glob_Conv_EenhCont,2,FALSE),FALSE)</f>
        <v>24</v>
      </c>
      <c r="V26" s="746">
        <f t="shared" si="3"/>
        <v>24</v>
      </c>
    </row>
    <row r="27" spans="1:22" s="755" customFormat="1" x14ac:dyDescent="0.2">
      <c r="A27" s="754" t="s">
        <v>4075</v>
      </c>
      <c r="B27" s="755">
        <v>1</v>
      </c>
      <c r="C27" s="755">
        <f>B27+1</f>
        <v>2</v>
      </c>
      <c r="D27" s="755">
        <f t="shared" ref="D27:I27" si="4">C27+1</f>
        <v>3</v>
      </c>
      <c r="E27" s="755">
        <f t="shared" si="4"/>
        <v>4</v>
      </c>
      <c r="F27" s="755">
        <f t="shared" si="4"/>
        <v>5</v>
      </c>
      <c r="G27" s="755">
        <f t="shared" si="4"/>
        <v>6</v>
      </c>
      <c r="H27" s="755">
        <f t="shared" si="4"/>
        <v>7</v>
      </c>
      <c r="I27" s="755">
        <f t="shared" si="4"/>
        <v>8</v>
      </c>
      <c r="J27" s="755">
        <f t="shared" ref="J27" si="5">I27+1</f>
        <v>9</v>
      </c>
      <c r="K27" s="755">
        <f t="shared" ref="K27" si="6">J27+1</f>
        <v>10</v>
      </c>
      <c r="L27" s="755">
        <f t="shared" ref="L27" si="7">K27+1</f>
        <v>11</v>
      </c>
      <c r="M27" s="755">
        <f t="shared" ref="M27" si="8">L27+1</f>
        <v>12</v>
      </c>
      <c r="N27" s="755">
        <f t="shared" ref="N27" si="9">M27+1</f>
        <v>13</v>
      </c>
      <c r="O27" s="755">
        <f t="shared" ref="O27" si="10">N27+1</f>
        <v>14</v>
      </c>
      <c r="P27" s="755">
        <f t="shared" ref="P27" si="11">O27+1</f>
        <v>15</v>
      </c>
      <c r="Q27" s="755">
        <f t="shared" ref="Q27" si="12">P27+1</f>
        <v>16</v>
      </c>
      <c r="R27" s="755">
        <f t="shared" ref="R27" si="13">Q27+1</f>
        <v>17</v>
      </c>
      <c r="S27" s="755">
        <f t="shared" ref="S27" si="14">R27+1</f>
        <v>18</v>
      </c>
      <c r="T27" s="755">
        <f t="shared" ref="T27" si="15">S27+1</f>
        <v>19</v>
      </c>
      <c r="U27" s="755">
        <f t="shared" ref="U27" si="16">T27+1</f>
        <v>20</v>
      </c>
      <c r="V27" s="755">
        <v>21</v>
      </c>
    </row>
    <row r="29" spans="1:22" x14ac:dyDescent="0.2">
      <c r="B29" s="756" t="s">
        <v>6922</v>
      </c>
    </row>
    <row r="30" spans="1:22" ht="12.75" customHeight="1" x14ac:dyDescent="0.2">
      <c r="B30" s="898" t="s">
        <v>7130</v>
      </c>
      <c r="C30" s="898" t="s">
        <v>7130</v>
      </c>
      <c r="D30" s="898" t="s">
        <v>7130</v>
      </c>
      <c r="E30" s="898" t="s">
        <v>7130</v>
      </c>
      <c r="F30" s="898" t="s">
        <v>7130</v>
      </c>
      <c r="G30" s="898" t="s">
        <v>7130</v>
      </c>
      <c r="H30" s="898" t="s">
        <v>7130</v>
      </c>
      <c r="I30" s="898" t="s">
        <v>7130</v>
      </c>
      <c r="J30" s="898" t="s">
        <v>7130</v>
      </c>
      <c r="K30" s="898" t="s">
        <v>7130</v>
      </c>
      <c r="L30" s="898" t="s">
        <v>7130</v>
      </c>
    </row>
    <row r="31" spans="1:22" x14ac:dyDescent="0.2">
      <c r="B31" s="898" t="s">
        <v>7130</v>
      </c>
      <c r="C31" s="898" t="s">
        <v>7130</v>
      </c>
      <c r="D31" s="898" t="s">
        <v>7130</v>
      </c>
      <c r="E31" s="898" t="s">
        <v>7130</v>
      </c>
      <c r="F31" s="898" t="s">
        <v>7130</v>
      </c>
      <c r="G31" s="898" t="s">
        <v>7130</v>
      </c>
      <c r="H31" s="898" t="s">
        <v>7130</v>
      </c>
      <c r="I31" s="898" t="s">
        <v>7130</v>
      </c>
      <c r="J31" s="898" t="s">
        <v>7130</v>
      </c>
      <c r="K31" s="898" t="s">
        <v>7130</v>
      </c>
      <c r="L31" s="898" t="s">
        <v>7130</v>
      </c>
    </row>
    <row r="32" spans="1:22" x14ac:dyDescent="0.2">
      <c r="B32" s="898" t="s">
        <v>7130</v>
      </c>
      <c r="C32" s="898" t="s">
        <v>7130</v>
      </c>
      <c r="D32" s="898" t="s">
        <v>7130</v>
      </c>
      <c r="E32" s="898" t="s">
        <v>7130</v>
      </c>
      <c r="F32" s="898" t="s">
        <v>7130</v>
      </c>
      <c r="G32" s="898" t="s">
        <v>7130</v>
      </c>
      <c r="H32" s="898" t="s">
        <v>7130</v>
      </c>
      <c r="I32" s="898" t="s">
        <v>7130</v>
      </c>
      <c r="J32" s="898" t="s">
        <v>7130</v>
      </c>
      <c r="K32" s="898" t="s">
        <v>7130</v>
      </c>
      <c r="L32" s="898" t="s">
        <v>7130</v>
      </c>
    </row>
    <row r="33" spans="2:12" x14ac:dyDescent="0.2">
      <c r="B33" s="898" t="s">
        <v>7130</v>
      </c>
      <c r="C33" s="898" t="s">
        <v>7130</v>
      </c>
      <c r="D33" s="898" t="s">
        <v>7130</v>
      </c>
      <c r="E33" s="898" t="s">
        <v>7130</v>
      </c>
      <c r="F33" s="898" t="s">
        <v>7130</v>
      </c>
      <c r="G33" s="898" t="s">
        <v>7130</v>
      </c>
      <c r="H33" s="898" t="s">
        <v>7130</v>
      </c>
      <c r="I33" s="898" t="s">
        <v>7130</v>
      </c>
      <c r="J33" s="898" t="s">
        <v>7130</v>
      </c>
      <c r="K33" s="898" t="s">
        <v>7130</v>
      </c>
      <c r="L33" s="898" t="s">
        <v>7130</v>
      </c>
    </row>
    <row r="34" spans="2:12" x14ac:dyDescent="0.2">
      <c r="B34" s="898" t="s">
        <v>7130</v>
      </c>
      <c r="C34" s="898" t="s">
        <v>7130</v>
      </c>
      <c r="D34" s="898" t="s">
        <v>7130</v>
      </c>
      <c r="E34" s="898" t="s">
        <v>7130</v>
      </c>
      <c r="F34" s="898" t="s">
        <v>7130</v>
      </c>
      <c r="G34" s="898" t="s">
        <v>7130</v>
      </c>
      <c r="H34" s="898" t="s">
        <v>7130</v>
      </c>
      <c r="I34" s="898" t="s">
        <v>7130</v>
      </c>
      <c r="J34" s="898" t="s">
        <v>7130</v>
      </c>
      <c r="K34" s="898" t="s">
        <v>7130</v>
      </c>
      <c r="L34" s="898" t="s">
        <v>7130</v>
      </c>
    </row>
    <row r="35" spans="2:12" x14ac:dyDescent="0.2">
      <c r="B35" s="898" t="s">
        <v>7130</v>
      </c>
      <c r="C35" s="898" t="s">
        <v>7130</v>
      </c>
      <c r="D35" s="898" t="s">
        <v>7130</v>
      </c>
      <c r="E35" s="898" t="s">
        <v>7130</v>
      </c>
      <c r="F35" s="898" t="s">
        <v>7130</v>
      </c>
      <c r="G35" s="898" t="s">
        <v>7130</v>
      </c>
      <c r="H35" s="898" t="s">
        <v>7130</v>
      </c>
      <c r="I35" s="898" t="s">
        <v>7130</v>
      </c>
      <c r="J35" s="898" t="s">
        <v>7130</v>
      </c>
      <c r="K35" s="898" t="s">
        <v>7130</v>
      </c>
      <c r="L35" s="898" t="s">
        <v>7130</v>
      </c>
    </row>
    <row r="36" spans="2:12" x14ac:dyDescent="0.2">
      <c r="B36" s="898" t="s">
        <v>7130</v>
      </c>
      <c r="C36" s="898" t="s">
        <v>7130</v>
      </c>
      <c r="D36" s="898" t="s">
        <v>7130</v>
      </c>
      <c r="E36" s="898" t="s">
        <v>7130</v>
      </c>
      <c r="F36" s="898" t="s">
        <v>7130</v>
      </c>
      <c r="G36" s="898" t="s">
        <v>7130</v>
      </c>
      <c r="H36" s="898" t="s">
        <v>7130</v>
      </c>
      <c r="I36" s="898" t="s">
        <v>7130</v>
      </c>
      <c r="J36" s="898" t="s">
        <v>7130</v>
      </c>
      <c r="K36" s="898" t="s">
        <v>7130</v>
      </c>
      <c r="L36" s="898" t="s">
        <v>7130</v>
      </c>
    </row>
    <row r="37" spans="2:12" x14ac:dyDescent="0.2">
      <c r="B37" s="898" t="s">
        <v>7130</v>
      </c>
      <c r="C37" s="898" t="s">
        <v>7130</v>
      </c>
      <c r="D37" s="898" t="s">
        <v>7130</v>
      </c>
      <c r="E37" s="898" t="s">
        <v>7130</v>
      </c>
      <c r="F37" s="898" t="s">
        <v>7130</v>
      </c>
      <c r="G37" s="898" t="s">
        <v>7130</v>
      </c>
      <c r="H37" s="898" t="s">
        <v>7130</v>
      </c>
      <c r="I37" s="898" t="s">
        <v>7130</v>
      </c>
      <c r="J37" s="898" t="s">
        <v>7130</v>
      </c>
      <c r="K37" s="898" t="s">
        <v>7130</v>
      </c>
      <c r="L37" s="898" t="s">
        <v>7130</v>
      </c>
    </row>
    <row r="38" spans="2:12" x14ac:dyDescent="0.2">
      <c r="B38" s="898" t="s">
        <v>7130</v>
      </c>
      <c r="C38" s="898" t="s">
        <v>7130</v>
      </c>
      <c r="D38" s="898" t="s">
        <v>7130</v>
      </c>
      <c r="E38" s="898" t="s">
        <v>7130</v>
      </c>
      <c r="F38" s="898" t="s">
        <v>7130</v>
      </c>
      <c r="G38" s="898" t="s">
        <v>7130</v>
      </c>
      <c r="H38" s="898" t="s">
        <v>7130</v>
      </c>
      <c r="I38" s="898" t="s">
        <v>7130</v>
      </c>
      <c r="J38" s="898" t="s">
        <v>7130</v>
      </c>
      <c r="K38" s="898" t="s">
        <v>7130</v>
      </c>
      <c r="L38" s="898" t="s">
        <v>7130</v>
      </c>
    </row>
    <row r="39" spans="2:12" x14ac:dyDescent="0.2">
      <c r="B39" s="898" t="s">
        <v>7130</v>
      </c>
      <c r="C39" s="898" t="s">
        <v>7130</v>
      </c>
      <c r="D39" s="898" t="s">
        <v>7130</v>
      </c>
      <c r="E39" s="898" t="s">
        <v>7130</v>
      </c>
      <c r="F39" s="898" t="s">
        <v>7130</v>
      </c>
      <c r="G39" s="898" t="s">
        <v>7130</v>
      </c>
      <c r="H39" s="898" t="s">
        <v>7130</v>
      </c>
      <c r="I39" s="898" t="s">
        <v>7130</v>
      </c>
      <c r="J39" s="898" t="s">
        <v>7130</v>
      </c>
      <c r="K39" s="898" t="s">
        <v>7130</v>
      </c>
      <c r="L39" s="898" t="s">
        <v>7130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-490</v>
      </c>
      <c r="C4" s="381">
        <f>110-(((_Pat_Gewicht)*1000)-500)/500*30</f>
        <v>-460</v>
      </c>
      <c r="D4" s="381">
        <f>150-(((_Pat_Gewicht)*1000)-500)/500*40</f>
        <v>-610</v>
      </c>
      <c r="E4" s="381">
        <f>160-(((_Pat_Gewicht)*1000)-500)/500*10</f>
        <v>-30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7865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7866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14-nov-2018</v>
      </c>
      <c r="E2" s="571"/>
      <c r="F2" s="569"/>
      <c r="G2" s="573" t="s">
        <v>230</v>
      </c>
      <c r="H2" s="569" t="str">
        <f ca="1">Txt_Pat_OpnameDat</f>
        <v>16-jul-2018 (dag 122)</v>
      </c>
      <c r="I2" s="569"/>
      <c r="J2" s="569" t="str">
        <f>Txt_Pat_Gewicht</f>
        <v>Gewicht: 10 kg</v>
      </c>
      <c r="K2" s="569" t="str">
        <f>Txt_Pat_Bed</f>
        <v>Bed: Unit 3-2</v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>Bunny, Bucks</v>
      </c>
      <c r="E3" s="574"/>
      <c r="F3" s="569"/>
      <c r="G3" s="573" t="s">
        <v>236</v>
      </c>
      <c r="H3" s="569" t="str">
        <f ca="1">Txt_Pat_GeboorteDat</f>
        <v>16-jul-2018</v>
      </c>
      <c r="I3" s="569"/>
      <c r="J3" s="569" t="str">
        <f>Txt_Pat_Lengte</f>
        <v>Lengte: 90 cm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>0 jaar en 4 maand(-en)</v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7020</v>
      </c>
    </row>
    <row r="31" spans="3:15" ht="18" customHeight="1" x14ac:dyDescent="0.2">
      <c r="C31" s="455"/>
      <c r="G31" s="455"/>
      <c r="H31" s="821" t="str">
        <f>IF(_Neo_AfsprD_Wondkweek=0,"",_Neo_AfsprD_Wondkweek)</f>
        <v/>
      </c>
      <c r="I31" s="740"/>
      <c r="J31" s="899" t="str">
        <f>IF(NeoBerAfspr!J31=0,"",NeoBerAfspr!J31)</f>
        <v/>
      </c>
      <c r="K31" s="899"/>
      <c r="L31" s="899"/>
    </row>
    <row r="32" spans="3:15" ht="18" customHeight="1" x14ac:dyDescent="0.2">
      <c r="C32" s="455"/>
      <c r="H32" s="821"/>
      <c r="I32" s="740"/>
      <c r="J32" s="899"/>
      <c r="K32" s="899"/>
      <c r="L32" s="899"/>
    </row>
    <row r="33" spans="3:14" ht="18" customHeight="1" x14ac:dyDescent="0.2">
      <c r="H33" s="821"/>
      <c r="I33" s="740"/>
      <c r="J33" s="899"/>
      <c r="K33" s="899"/>
      <c r="L33" s="899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7021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7022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14-nov-2018</v>
      </c>
      <c r="E2" s="571"/>
      <c r="F2" s="569"/>
      <c r="G2" s="567"/>
      <c r="H2" s="573" t="s">
        <v>230</v>
      </c>
      <c r="I2" s="569"/>
      <c r="J2" s="569" t="str">
        <f ca="1">Txt_Pat_OpnameDat</f>
        <v>16-jul-2018 (dag 122)</v>
      </c>
      <c r="K2" s="567"/>
      <c r="L2" s="567"/>
      <c r="M2" s="567" t="str">
        <f>Txt_Pat_Gewicht</f>
        <v>Gewicht: 10 kg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>Bed: Unit 3-2</v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>Bunny, Bucks</v>
      </c>
      <c r="E3" s="574"/>
      <c r="F3" s="569"/>
      <c r="G3" s="567"/>
      <c r="H3" s="573" t="s">
        <v>236</v>
      </c>
      <c r="I3" s="567"/>
      <c r="J3" s="569" t="str">
        <f ca="1">Txt_Pat_GeboorteDat</f>
        <v>16-jul-2018</v>
      </c>
      <c r="K3" s="569"/>
      <c r="L3" s="567"/>
      <c r="M3" s="567" t="str">
        <f>Txt_Pat_Lengte</f>
        <v>Lengte: 90 cm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>0 jaar en 4 maand(-en)</v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900" t="str">
        <f>IF(_Neo_Lab_Opm=0,"",_Neo_Lab_Opm)</f>
        <v/>
      </c>
      <c r="D41" s="901"/>
      <c r="E41" s="901"/>
      <c r="F41" s="901"/>
      <c r="G41" s="901"/>
      <c r="H41" s="901"/>
      <c r="I41" s="901"/>
      <c r="J41" s="901"/>
      <c r="K41" s="901"/>
      <c r="L41" s="901"/>
      <c r="M41" s="901"/>
      <c r="N41" s="901"/>
      <c r="O41" s="901"/>
      <c r="P41" s="901"/>
      <c r="Q41" s="901"/>
      <c r="R41" s="901"/>
      <c r="S41" s="901"/>
      <c r="T41" s="901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>Patient: Bunny, Bucks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43297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10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3,5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19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16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20.5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47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str">
        <f>IF(ROUND((E5)*4,0)&gt;150,150,VLOOKUP(ROUND(E5*4,0),S2:T347,2))&amp;" Joules Asynchroon"</f>
        <v>50 Joules Asynchroon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100 mcg iv</v>
      </c>
      <c r="E13" s="13" t="str">
        <f>"= "&amp;IF(10*E5&gt;10,10,0.1*E5)&amp;" ml van 1:10.000 oplossing"</f>
        <v>= 10 ml van 1:10.000 oplossing</v>
      </c>
      <c r="F13" s="13"/>
      <c r="G13" s="46" t="s">
        <v>7343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2 gram iv</v>
      </c>
      <c r="E14" s="13" t="str">
        <f>"="&amp;" "&amp;IF(2*E5&lt;=250,ROUND(2*E5,2)&amp;" ml Glucose 10%","250 ml Glucose 10%")</f>
        <v>= 20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200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10 mg iv</v>
      </c>
      <c r="E17" s="33" t="str">
        <f>"= "&amp;0.1*E5&amp;" ml van een 10 mg/ml oplossing"</f>
        <v>= 1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7342</v>
      </c>
      <c r="D19" s="32" t="str">
        <f>IF(0.01*E5&gt;0.2,0.2,0.01*E5)&amp;" mg iv"</f>
        <v>0,1 mg iv</v>
      </c>
      <c r="E19" s="33" t="str">
        <f>"= "&amp;ROUND((0.1*E5),2)&amp;" ml van Anexate 0,1 mg/ml"</f>
        <v>= 1 ml van Anexate 0,1 mg/ml</v>
      </c>
      <c r="F19" s="33"/>
      <c r="G19" s="45" t="s">
        <v>7341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0,1 mg iv</v>
      </c>
      <c r="E20" s="90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902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3"/>
      <c r="F21" s="903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0,14 mg in 12 ml glucose 10%</v>
      </c>
      <c r="E23" s="775" t="s">
        <v>7344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72 mg in 12 ml glucose 10%</v>
      </c>
      <c r="E24" s="776" t="s">
        <v>7345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0,72 mg in 12 ml glucose 10%</v>
      </c>
      <c r="E25" s="251" t="s">
        <v>7346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1 mg</v>
      </c>
      <c r="E27" s="254" t="str">
        <f>"= "&amp;0.02*(_Pat_Gewicht)&amp;" ml van Midazolam 5mg/ml oplossing"</f>
        <v>= 0,2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200 mg</v>
      </c>
      <c r="E28" s="257" t="str">
        <f>"= "&amp;0.4*(_Pat_Gewicht)&amp;" ml van Fenobarbital 50mg/ml oplossing"</f>
        <v>= 4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2,25 (mmol IV)</v>
      </c>
      <c r="E30" s="270" t="str">
        <f>"= "&amp;1*(_Pat_Gewicht)&amp;" ml IV van Calcium gluconaat 10%"</f>
        <v>= 10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1 mg</v>
      </c>
      <c r="E31" s="264" t="str">
        <f>"= "&amp;0.1*(_Pat_Gewicht)&amp;" ml van Morfine 1mg/1ml oplossing"</f>
        <v>= 1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6 mg</v>
      </c>
      <c r="E32" s="273" t="str">
        <f>"= "&amp;0.06*(_Pat_Gewicht)&amp;" ml van Rocorium 10mg/1ml oplossing"</f>
        <v>= 0,6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7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8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9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>Bed: Unit 3-2</v>
      </c>
      <c r="L1" s="54" t="s">
        <v>388</v>
      </c>
      <c r="M1" s="905">
        <f ca="1">TODAY()</f>
        <v>43418</v>
      </c>
      <c r="N1" s="906"/>
      <c r="O1" s="549"/>
      <c r="P1" s="549"/>
      <c r="Q1" s="56">
        <f ca="1">NOW()</f>
        <v>43418.724578935187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7" t="str">
        <f>__0_PatNum</f>
        <v/>
      </c>
      <c r="N3" s="907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>Bunny, Bucks</v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8" t="str">
        <f ca="1">Txt_Pat_GeboorteDat</f>
        <v>16-jul-2018</v>
      </c>
      <c r="N5" s="908"/>
      <c r="O5" s="908"/>
      <c r="P5" s="908"/>
      <c r="Q5" s="908"/>
      <c r="R5" s="908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0 jaar en 4 maand(-en)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9" t="str">
        <f ca="1">Txt_Pat_AfspraakDat</f>
        <v>14-nov-2018</v>
      </c>
      <c r="E9" s="909"/>
      <c r="F9" s="906"/>
      <c r="I9" s="54" t="str">
        <f>Txt_Pat_Gewicht</f>
        <v>Gewicht: 10 kg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>Bed: Unit 3-2</v>
      </c>
      <c r="I10" s="910" t="str">
        <f ca="1">Txt_Pat_Leeftijd</f>
        <v>0 jaar en 4 maand(-en)</v>
      </c>
      <c r="J10" s="906"/>
      <c r="K10" s="906"/>
      <c r="L10" s="906"/>
      <c r="M10" s="906"/>
      <c r="N10" s="906"/>
      <c r="O10" s="906"/>
      <c r="P10" s="906"/>
      <c r="Q10" s="911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>0 ml/kg</v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>0 ml/kg</v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>0 gram/kg</v>
      </c>
      <c r="E64" s="70"/>
      <c r="F64" s="70"/>
      <c r="G64" s="70" t="str">
        <f>NeoGuiInfB!I4</f>
        <v>Natrium</v>
      </c>
      <c r="H64" s="70"/>
      <c r="I64" s="70" t="str">
        <f>NeoGuiInfB!L4</f>
        <v>0 mmol/kg</v>
      </c>
      <c r="J64" s="70"/>
      <c r="K64" s="70"/>
      <c r="L64" s="70" t="str">
        <f>NeoGuiInfB!N4</f>
        <v>Chloor</v>
      </c>
      <c r="M64" s="70"/>
      <c r="N64" s="70" t="str">
        <f>NeoGuiInfB!Q4</f>
        <v>0 mmol/kg</v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>0 gram/kg</v>
      </c>
      <c r="E65" s="70"/>
      <c r="F65" s="70"/>
      <c r="G65" s="70" t="str">
        <f>NeoGuiInfB!I5</f>
        <v>Kalium</v>
      </c>
      <c r="H65" s="70"/>
      <c r="I65" s="70" t="str">
        <f>NeoGuiInfB!L5</f>
        <v>0 mmol/kg</v>
      </c>
      <c r="J65" s="553"/>
      <c r="K65" s="70"/>
      <c r="L65" s="70" t="str">
        <f>NeoGuiInfB!N5</f>
        <v>Fosfaat</v>
      </c>
      <c r="M65" s="70"/>
      <c r="N65" s="70" t="str">
        <f>NeoGuiInfB!Q5</f>
        <v>0 mmol/kg</v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>0 mg/kg/min</v>
      </c>
      <c r="E66" s="70"/>
      <c r="F66" s="70"/>
      <c r="G66" s="70" t="str">
        <f>NeoGuiInfB!I6</f>
        <v>Calcium</v>
      </c>
      <c r="H66" s="70"/>
      <c r="I66" s="70" t="str">
        <f>NeoGuiInfB!L6</f>
        <v>0 mmol/kg</v>
      </c>
      <c r="J66" s="554"/>
      <c r="K66" s="70"/>
      <c r="L66" s="70" t="str">
        <f>NeoGuiInfB!N6</f>
        <v>Vit D</v>
      </c>
      <c r="M66" s="70"/>
      <c r="N66" s="70" t="str">
        <f>NeoGuiInfB!Q6</f>
        <v>0 IE</v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>0 kcal/kg</v>
      </c>
      <c r="E67" s="70"/>
      <c r="F67" s="70"/>
      <c r="G67" s="70" t="str">
        <f>NeoGuiInfB!I7</f>
        <v>Magnesium</v>
      </c>
      <c r="H67" s="70"/>
      <c r="I67" s="70" t="str">
        <f>NeoGuiInfB!L7</f>
        <v>0 mmol/kg</v>
      </c>
      <c r="J67" s="70"/>
      <c r="K67" s="70"/>
      <c r="L67" s="70" t="str">
        <f>NeoGuiInfB!N7</f>
        <v>Fe</v>
      </c>
      <c r="M67" s="70"/>
      <c r="N67" s="70" t="str">
        <f>NeoGuiInfB!Q7</f>
        <v>0 mmol/kg</v>
      </c>
      <c r="O67" s="70"/>
      <c r="P67" s="70"/>
      <c r="Q67" s="70"/>
      <c r="R67" s="70"/>
      <c r="S67" s="70"/>
    </row>
    <row r="69" spans="2:19" x14ac:dyDescent="0.2">
      <c r="B69" s="904" t="s">
        <v>88</v>
      </c>
      <c r="C69" s="904"/>
      <c r="D69" s="904"/>
      <c r="E69" s="904"/>
      <c r="F69" s="904"/>
      <c r="G69" s="904"/>
      <c r="H69" s="904"/>
      <c r="I69" s="904"/>
      <c r="J69" s="904"/>
      <c r="K69" s="904"/>
      <c r="L69" s="904"/>
      <c r="M69" s="904"/>
      <c r="N69" s="904"/>
      <c r="O69" s="904"/>
      <c r="P69" s="904"/>
      <c r="Q69" s="904"/>
      <c r="R69" s="904"/>
      <c r="S69" s="904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4" t="s">
        <v>56</v>
      </c>
      <c r="C80" s="904"/>
      <c r="D80" s="904"/>
      <c r="E80" s="904"/>
      <c r="F80" s="904"/>
      <c r="G80" s="904"/>
      <c r="H80" s="904"/>
      <c r="I80" s="904"/>
      <c r="J80" s="904"/>
      <c r="K80" s="904"/>
      <c r="L80" s="904"/>
      <c r="M80" s="904"/>
      <c r="N80" s="904"/>
      <c r="O80" s="904"/>
      <c r="P80" s="904"/>
      <c r="Q80" s="904"/>
      <c r="R80" s="904"/>
      <c r="S80" s="904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7470</v>
      </c>
      <c r="H1" s="912" t="s">
        <v>395</v>
      </c>
      <c r="I1" s="912"/>
      <c r="J1" s="913" t="str">
        <f ca="1">DateToString(TODAY())</f>
        <v>14-nov-2018</v>
      </c>
      <c r="K1" s="913"/>
      <c r="L1" s="913"/>
      <c r="M1" s="912" t="s">
        <v>7035</v>
      </c>
      <c r="N1" s="912"/>
      <c r="O1" s="912" t="str">
        <f>__1_Bed</f>
        <v>Unit 3-2</v>
      </c>
      <c r="P1" s="912"/>
    </row>
    <row r="2" spans="1:17" x14ac:dyDescent="0.2">
      <c r="B2" s="914" t="s">
        <v>394</v>
      </c>
      <c r="C2" s="914"/>
      <c r="D2" s="915" t="str">
        <f>__3_VoorNaam&amp;" "&amp;__2_AchterNaam</f>
        <v>Bucks Bunny</v>
      </c>
      <c r="E2" s="915"/>
      <c r="F2" s="915"/>
      <c r="G2" s="915"/>
      <c r="H2" s="912" t="s">
        <v>398</v>
      </c>
      <c r="I2" s="912"/>
      <c r="J2" s="907" t="str">
        <f>IF(OR(_User_Type="Artsen",_User_Type="Supervisor"), _User_LastName&amp;", "&amp;_User_FirstName,"")</f>
        <v/>
      </c>
      <c r="K2" s="907"/>
      <c r="L2" s="907"/>
      <c r="M2" s="912" t="s">
        <v>396</v>
      </c>
      <c r="N2" s="912"/>
      <c r="O2" s="916">
        <f ca="1">NOW()</f>
        <v>43418.724578703703</v>
      </c>
      <c r="P2" s="916"/>
    </row>
    <row r="3" spans="1:17" x14ac:dyDescent="0.2">
      <c r="B3" s="261" t="s">
        <v>7033</v>
      </c>
      <c r="D3" s="907" t="str">
        <f>Txt_Pat_PatNo</f>
        <v/>
      </c>
      <c r="E3" s="907"/>
      <c r="H3" s="914" t="s">
        <v>7034</v>
      </c>
      <c r="I3" s="914"/>
      <c r="J3" s="60">
        <f>(_Pat_Gewicht)</f>
        <v>10</v>
      </c>
      <c r="K3" s="261" t="s">
        <v>481</v>
      </c>
      <c r="L3" s="62"/>
      <c r="M3" s="912" t="s">
        <v>411</v>
      </c>
      <c r="N3" s="912"/>
      <c r="O3" s="914"/>
      <c r="P3" s="914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9" t="e">
        <f>StringReplaceEPI(INDEX(Tbl_Neo_BerMedCont,A5,10))&amp;" "&amp;D4&amp;" "&amp;E4</f>
        <v>#VALUE!</v>
      </c>
      <c r="E5" s="897"/>
      <c r="F5" s="897"/>
      <c r="G5" s="897"/>
      <c r="H5" s="897"/>
      <c r="I5" s="774" t="e">
        <f>INDEX(Tbl_Neo_BerMedCont,A5,11)</f>
        <v>#VALUE!</v>
      </c>
      <c r="J5" s="774" t="e">
        <f>INDEX(Tbl_Neo_BerMedCont,A5,14)&amp;" = "</f>
        <v>#VALUE!</v>
      </c>
      <c r="K5" s="774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0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7" t="s">
        <v>4897</v>
      </c>
      <c r="C9" s="917"/>
      <c r="D9" s="917"/>
      <c r="E9" s="917"/>
      <c r="F9" s="917"/>
      <c r="G9" s="917"/>
      <c r="H9" s="917"/>
      <c r="I9" s="917"/>
      <c r="J9" s="918" t="s">
        <v>5088</v>
      </c>
      <c r="K9" s="918"/>
      <c r="L9" s="918"/>
      <c r="M9" s="918" t="s">
        <v>4898</v>
      </c>
      <c r="N9" s="918"/>
      <c r="O9" s="918" t="s">
        <v>4899</v>
      </c>
      <c r="P9" s="918"/>
      <c r="Q9" s="62"/>
    </row>
    <row r="10" spans="1:17" ht="15.75" customHeight="1" x14ac:dyDescent="0.2">
      <c r="A10" s="686"/>
      <c r="B10" s="920" t="e">
        <f>"Product: "&amp;INDEX(Tbl_Neo_BerMedCont,A5,20)</f>
        <v>#VALUE!</v>
      </c>
      <c r="C10" s="920"/>
      <c r="D10" s="920"/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920"/>
      <c r="Q10" s="62"/>
    </row>
    <row r="11" spans="1:17" ht="15.75" customHeight="1" x14ac:dyDescent="0.2">
      <c r="A11" s="686"/>
      <c r="B11" s="920"/>
      <c r="C11" s="920"/>
      <c r="D11" s="920"/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920"/>
      <c r="Q11" s="62"/>
    </row>
    <row r="12" spans="1:17" ht="9.9499999999999993" customHeight="1" x14ac:dyDescent="0.2">
      <c r="A12" s="686"/>
      <c r="B12" s="920"/>
      <c r="C12" s="920"/>
      <c r="D12" s="920"/>
      <c r="E12" s="920"/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920"/>
      <c r="Q12" s="62"/>
    </row>
    <row r="13" spans="1:17" ht="15.75" customHeight="1" x14ac:dyDescent="0.2">
      <c r="A13" s="686"/>
      <c r="B13" s="920" t="str">
        <f>"Oplosmiddel: "&amp;IFERROR( VLOOKUP(J6,Tbl_Glob_ParEnt,14,FALSE),"")</f>
        <v xml:space="preserve">Oplosmiddel: </v>
      </c>
      <c r="C13" s="920"/>
      <c r="D13" s="920"/>
      <c r="E13" s="920"/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62"/>
    </row>
    <row r="14" spans="1:17" ht="15.75" customHeight="1" x14ac:dyDescent="0.2">
      <c r="A14" s="686"/>
      <c r="B14" s="920"/>
      <c r="C14" s="920"/>
      <c r="D14" s="920"/>
      <c r="E14" s="920"/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62"/>
    </row>
    <row r="15" spans="1:17" ht="15.75" customHeight="1" x14ac:dyDescent="0.2">
      <c r="A15" s="686"/>
      <c r="B15" s="920"/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7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7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21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62"/>
    </row>
    <row r="20" spans="1:17" ht="9.9499999999999993" customHeight="1" x14ac:dyDescent="0.2">
      <c r="A20" s="686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62"/>
    </row>
    <row r="21" spans="1:17" ht="14.25" customHeight="1" x14ac:dyDescent="0.2">
      <c r="A21" s="686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62"/>
    </row>
    <row r="22" spans="1:17" ht="14.25" customHeight="1" x14ac:dyDescent="0.2">
      <c r="A22" s="686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62"/>
    </row>
    <row r="23" spans="1:17" ht="14.25" customHeight="1" x14ac:dyDescent="0.2">
      <c r="A23" s="686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62"/>
    </row>
    <row r="24" spans="1:17" ht="9.9499999999999993" customHeight="1" x14ac:dyDescent="0.2">
      <c r="A24" s="686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62"/>
    </row>
    <row r="25" spans="1:17" ht="14.25" customHeight="1" x14ac:dyDescent="0.2">
      <c r="A25" s="686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62"/>
    </row>
    <row r="26" spans="1:17" ht="14.25" customHeight="1" x14ac:dyDescent="0.2">
      <c r="A26" s="686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62"/>
    </row>
    <row r="27" spans="1:17" ht="14.25" customHeight="1" x14ac:dyDescent="0.2">
      <c r="A27" s="686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62"/>
    </row>
    <row r="28" spans="1:17" ht="9.9499999999999993" customHeight="1" x14ac:dyDescent="0.2">
      <c r="A28" s="686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62"/>
    </row>
    <row r="29" spans="1:17" ht="14.25" customHeight="1" x14ac:dyDescent="0.2">
      <c r="A29" s="686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62"/>
    </row>
    <row r="30" spans="1:17" ht="14.25" customHeight="1" x14ac:dyDescent="0.2">
      <c r="A30" s="686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62"/>
    </row>
    <row r="31" spans="1:17" ht="14.25" customHeight="1" x14ac:dyDescent="0.2">
      <c r="A31" s="686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62"/>
    </row>
    <row r="32" spans="1:17" ht="9.9499999999999993" customHeight="1" x14ac:dyDescent="0.2">
      <c r="A32" s="686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62"/>
    </row>
    <row r="33" spans="1:17" ht="14.25" customHeight="1" x14ac:dyDescent="0.2">
      <c r="A33" s="686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62"/>
    </row>
    <row r="34" spans="1:17" ht="14.25" customHeight="1" x14ac:dyDescent="0.2">
      <c r="A34" s="686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62"/>
    </row>
    <row r="35" spans="1:17" ht="14.25" customHeight="1" x14ac:dyDescent="0.2">
      <c r="A35" s="686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62"/>
    </row>
    <row r="36" spans="1:17" ht="9.9499999999999993" customHeight="1" x14ac:dyDescent="0.2">
      <c r="A36" s="686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62"/>
    </row>
    <row r="37" spans="1:17" ht="14.25" customHeight="1" x14ac:dyDescent="0.2">
      <c r="A37" s="686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62"/>
    </row>
    <row r="38" spans="1:17" ht="14.25" customHeight="1" x14ac:dyDescent="0.2">
      <c r="A38" s="686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62"/>
    </row>
    <row r="39" spans="1:17" ht="14.25" customHeight="1" x14ac:dyDescent="0.2">
      <c r="A39" s="686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62"/>
    </row>
    <row r="40" spans="1:17" ht="9.75" customHeight="1" x14ac:dyDescent="0.2">
      <c r="A40" s="686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62"/>
    </row>
    <row r="41" spans="1:17" ht="14.25" customHeight="1" x14ac:dyDescent="0.2">
      <c r="A41" s="686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62"/>
    </row>
    <row r="42" spans="1:17" ht="14.25" customHeight="1" x14ac:dyDescent="0.2">
      <c r="A42" s="686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62"/>
    </row>
    <row r="43" spans="1:17" ht="193.5" customHeight="1" x14ac:dyDescent="0.2">
      <c r="A43" s="778" t="e">
        <f>INDEX(Tbl_Neo_BerMedCont,A5,21)</f>
        <v>#VALUE!</v>
      </c>
      <c r="B43" s="779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22" t="e">
        <f ca="1">IF(E44&lt;=$A$17,TODAY(),"")</f>
        <v>#VALUE!</v>
      </c>
      <c r="B45" s="922"/>
      <c r="C45" s="923" t="e">
        <f>IF(E44&lt;=$A$17,$O$1,"")</f>
        <v>#VALUE!</v>
      </c>
      <c r="D45" s="923"/>
      <c r="E45" s="70"/>
      <c r="F45" s="70"/>
      <c r="G45" s="922" t="e">
        <f ca="1">IF(K44&lt;=$A$17,TODAY(),"")</f>
        <v>#VALUE!</v>
      </c>
      <c r="H45" s="922"/>
      <c r="I45" s="923" t="e">
        <f>IF(K44&lt;=$A$17,$O$1,"")</f>
        <v>#VALUE!</v>
      </c>
      <c r="J45" s="923"/>
      <c r="K45" s="70"/>
      <c r="L45" s="70"/>
      <c r="M45" s="922" t="e">
        <f ca="1">IF(Q44&lt;=$A$17,TODAY(),"")</f>
        <v>#VALUE!</v>
      </c>
      <c r="N45" s="922"/>
      <c r="O45" s="923" t="e">
        <f>IF(Q44&lt;=$A$17,$O$1,"")</f>
        <v>#VALUE!</v>
      </c>
      <c r="P45" s="923"/>
      <c r="Q45" s="70"/>
    </row>
    <row r="46" spans="1:17" ht="12" customHeight="1" x14ac:dyDescent="0.2">
      <c r="A46" s="927" t="e">
        <f>IF(E44&lt;=$A$17,$D$2&amp;" "&amp;__0_PatNum,"")</f>
        <v>#VALUE!</v>
      </c>
      <c r="B46" s="927"/>
      <c r="C46" s="927"/>
      <c r="D46" s="927"/>
      <c r="E46" s="927"/>
      <c r="F46" s="70"/>
      <c r="G46" s="927" t="e">
        <f>IF(K44&lt;=$A$17,$D$2&amp;" "&amp;__0_PatNum,"")</f>
        <v>#VALUE!</v>
      </c>
      <c r="H46" s="927"/>
      <c r="I46" s="927"/>
      <c r="J46" s="927"/>
      <c r="K46" s="927"/>
      <c r="L46" s="70"/>
      <c r="M46" s="927" t="e">
        <f>IF(Q44&lt;=$A$17,$D$2&amp;" "&amp;__0_PatNum,"")</f>
        <v>#VALUE!</v>
      </c>
      <c r="N46" s="927"/>
      <c r="O46" s="927"/>
      <c r="P46" s="927"/>
      <c r="Q46" s="927"/>
    </row>
    <row r="47" spans="1:17" ht="12" customHeight="1" x14ac:dyDescent="0.2">
      <c r="A47" s="925" t="e">
        <f>IF(E44&lt;=$A$17,StringReplaceEPI( INDEX(Tbl_Neo_BerMedCont,$A$5,10))&amp;" "&amp;INDEX(Tbl_Neo_BerMedCont,$A$5,3)/10&amp;" "&amp;$E$4,"")</f>
        <v>#VALUE!</v>
      </c>
      <c r="B47" s="925"/>
      <c r="C47" s="925"/>
      <c r="D47" s="925"/>
      <c r="E47" s="925"/>
      <c r="F47" s="70"/>
      <c r="G47" s="925" t="e">
        <f>IF(K44&lt;=$A$17,StringReplaceEPI( INDEX(Tbl_Neo_BerMedCont,$A$5,10))&amp;" "&amp;INDEX(Tbl_Neo_BerMedCont,$A$5,3)/10&amp;" "&amp;$E$4,"")</f>
        <v>#VALUE!</v>
      </c>
      <c r="H47" s="925"/>
      <c r="I47" s="925"/>
      <c r="J47" s="925"/>
      <c r="K47" s="925"/>
      <c r="L47" s="70"/>
      <c r="M47" s="925" t="e">
        <f>IF(Q44&lt;=$A$17,StringReplaceEPI( INDEX(Tbl_Neo_BerMedCont,$A$5,10))&amp;" "&amp;INDEX(Tbl_Neo_BerMedCont,$A$5,3)/10&amp;" "&amp;$E$4,"")</f>
        <v>#VALUE!</v>
      </c>
      <c r="N47" s="925"/>
      <c r="O47" s="925"/>
      <c r="P47" s="925"/>
      <c r="Q47" s="925"/>
    </row>
    <row r="48" spans="1:17" ht="12" customHeight="1" x14ac:dyDescent="0.2">
      <c r="A48" s="923" t="e">
        <f>IF(E44&lt;=$A$17,$I$6&amp;" "&amp;IF(Var_Neo_InfB_Cont_DubbeleHoev,($N$7+$O$7/10)/2,$N$7+$O$7/10)&amp;" ml "&amp;$J$6&amp;" "&amp;$K$6,"")</f>
        <v>#VALUE!</v>
      </c>
      <c r="B48" s="923"/>
      <c r="C48" s="923"/>
      <c r="D48" s="924" t="e">
        <f>IF(E44&lt;=$A$17,IF(Var_Neo_InfB_Cont_DubbeleHoev,"("&amp;(($N$7+$O$7/10)/2)&amp;" ml extra)",""),"")</f>
        <v>#VALUE!</v>
      </c>
      <c r="E48" s="924"/>
      <c r="F48" s="70"/>
      <c r="G48" s="923" t="e">
        <f>IF(K44&lt;=$A$17,$I$6&amp;" "&amp;IF(Var_Neo_InfB_Cont_DubbeleHoev,($N$7+$O$7/10)/2,$N$7+$O$7/10)&amp;" ml "&amp;$J$6&amp;" "&amp;$K$6,"")</f>
        <v>#VALUE!</v>
      </c>
      <c r="H48" s="923"/>
      <c r="I48" s="923"/>
      <c r="J48" s="924" t="e">
        <f>IF(K44&lt;=$A$17,IF(Var_Neo_InfB_Cont_DubbeleHoev,"("&amp;(($N$7+$O$7/10)/2)&amp;" ml extra)",""),"")</f>
        <v>#VALUE!</v>
      </c>
      <c r="K48" s="924"/>
      <c r="L48" s="70"/>
      <c r="M48" s="923" t="e">
        <f>IF(Q44&lt;=$A$17,$I$6&amp;" "&amp;IF(Var_Neo_InfB_Cont_DubbeleHoev,($N$7+$O$7/10)/2,$N$7+$O$7/10)&amp;" ml "&amp;$J$6&amp;" "&amp;$K$6,"")</f>
        <v>#VALUE!</v>
      </c>
      <c r="N48" s="923"/>
      <c r="O48" s="923"/>
      <c r="P48" s="924" t="e">
        <f>IF(Q44&lt;=$A$17,IF(Var_Neo_InfB_Cont_DubbeleHoev,"("&amp;(($N$7+$O$7/10)/2)&amp;" ml extra)",""),"")</f>
        <v>#VALUE!</v>
      </c>
      <c r="Q48" s="924"/>
    </row>
    <row r="49" spans="1:17" ht="12" customHeight="1" x14ac:dyDescent="0.2">
      <c r="A49" s="925" t="e">
        <f>IF(E44&lt;=$A$17,$D$6&amp;IF(IsEpiduraal(INDEX(Tbl_Neo_BerMedCont,$A$5,10))," EPIDURAAL","")&amp;IF(E44&lt;=$A$17," = " &amp;$F$6,""),"")</f>
        <v>#VALUE!</v>
      </c>
      <c r="B49" s="925"/>
      <c r="C49" s="926"/>
      <c r="D49" s="926"/>
      <c r="E49" s="926"/>
      <c r="F49" s="70"/>
      <c r="G49" s="925" t="e">
        <f>IF(K44&lt;=$A$17,$D$6&amp;IF(IsEpiduraal(INDEX(Tbl_Neo_BerMedCont,$A$5,10))," EPIDURAAL","")&amp;IF(K44&lt;=$A$17," = " &amp;$F$6,""),"")</f>
        <v>#VALUE!</v>
      </c>
      <c r="H49" s="925"/>
      <c r="I49" s="926"/>
      <c r="J49" s="926"/>
      <c r="K49" s="926"/>
      <c r="L49" s="70"/>
      <c r="M49" s="925" t="e">
        <f>IF(Q44&lt;=$A$17,$D$6&amp;IF(IsEpiduraal(INDEX(Tbl_Neo_BerMedCont,$A$5,10))," EPIDURAAL","")&amp;IF(Q44&lt;=$A$17," = " &amp;$F$6,""),"")</f>
        <v>#VALUE!</v>
      </c>
      <c r="N49" s="925"/>
      <c r="O49" s="926"/>
      <c r="P49" s="926"/>
      <c r="Q49" s="926"/>
    </row>
    <row r="50" spans="1:17" ht="12" customHeight="1" x14ac:dyDescent="0.2">
      <c r="A50" s="928" t="e">
        <f>IF(IsEpiduraal($D$5),"EPIDURAAL","")</f>
        <v>#VALUE!</v>
      </c>
      <c r="B50" s="926"/>
      <c r="C50" s="928" t="e">
        <f>IF(E44&lt;=$A$17,"Exp: "&amp;TEXT($O$2+$A$43,"dd-mm-jj")&amp;" 22:00 "&amp;$B$43,"")</f>
        <v>#VALUE!</v>
      </c>
      <c r="D50" s="926"/>
      <c r="E50" s="926"/>
      <c r="F50" s="70"/>
      <c r="G50" s="928" t="e">
        <f>IF(IsEpiduraal($D$5),"EPIDURAAL","")</f>
        <v>#VALUE!</v>
      </c>
      <c r="H50" s="926"/>
      <c r="I50" s="928" t="e">
        <f>IF(K44&lt;=$A$17,"Exp: "&amp;TEXT($O$2+$A$43,"dd-mm-jj")&amp;" 22:00 "&amp;$B$43,"")</f>
        <v>#VALUE!</v>
      </c>
      <c r="J50" s="926"/>
      <c r="K50" s="926"/>
      <c r="L50" s="688"/>
      <c r="M50" s="928" t="e">
        <f>IF(IsEpiduraal($D$5),"EPIDURAAL","")</f>
        <v>#VALUE!</v>
      </c>
      <c r="N50" s="926"/>
      <c r="O50" s="928" t="e">
        <f>IF(Q44&lt;=$A$17,"Exp: "&amp;TEXT($O$2+$A$43,"dd-mm-jj")&amp;" 22:00 "&amp;$B$43,"")</f>
        <v>#VALUE!</v>
      </c>
      <c r="P50" s="926"/>
      <c r="Q50" s="926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22" t="e">
        <f ca="1">IF(E55&lt;=$A$17,TODAY(),"")</f>
        <v>#VALUE!</v>
      </c>
      <c r="B56" s="922"/>
      <c r="C56" s="923" t="e">
        <f>IF(E55&lt;=$A$17,$O$1,"")</f>
        <v>#VALUE!</v>
      </c>
      <c r="D56" s="923"/>
      <c r="E56" s="70"/>
      <c r="F56" s="70"/>
      <c r="G56" s="922" t="e">
        <f ca="1">IF(K55&lt;=$A$17,TODAY(),"")</f>
        <v>#VALUE!</v>
      </c>
      <c r="H56" s="922"/>
      <c r="I56" s="923" t="e">
        <f>IF(K55&lt;=$A$17,$O$1,"")</f>
        <v>#VALUE!</v>
      </c>
      <c r="J56" s="923"/>
      <c r="K56" s="70"/>
      <c r="L56" s="70"/>
      <c r="M56" s="922" t="e">
        <f ca="1">IF(Q55&lt;=$A$17,TODAY(),"")</f>
        <v>#VALUE!</v>
      </c>
      <c r="N56" s="922"/>
      <c r="O56" s="923" t="e">
        <f>IF(Q55&lt;=$A$17,$O$1,"")</f>
        <v>#VALUE!</v>
      </c>
      <c r="P56" s="923"/>
      <c r="Q56" s="70"/>
    </row>
    <row r="57" spans="1:17" ht="12" customHeight="1" x14ac:dyDescent="0.2">
      <c r="A57" s="927" t="e">
        <f>IF(E55&lt;=$A$17,$D$2&amp;" "&amp;__0_PatNum,"")</f>
        <v>#VALUE!</v>
      </c>
      <c r="B57" s="927"/>
      <c r="C57" s="927"/>
      <c r="D57" s="927"/>
      <c r="E57" s="927"/>
      <c r="F57" s="70"/>
      <c r="G57" s="927" t="e">
        <f>IF(K55&lt;=$A$17,$D$2&amp;" "&amp;__0_PatNum,"")</f>
        <v>#VALUE!</v>
      </c>
      <c r="H57" s="927"/>
      <c r="I57" s="927"/>
      <c r="J57" s="927"/>
      <c r="K57" s="927"/>
      <c r="L57" s="70"/>
      <c r="M57" s="927" t="e">
        <f>IF(Q55&lt;=$A$17,$D$2&amp;" "&amp;__0_PatNum,"")</f>
        <v>#VALUE!</v>
      </c>
      <c r="N57" s="927"/>
      <c r="O57" s="927"/>
      <c r="P57" s="927"/>
      <c r="Q57" s="927"/>
    </row>
    <row r="58" spans="1:17" ht="12" customHeight="1" x14ac:dyDescent="0.2">
      <c r="A58" s="925" t="e">
        <f>IF(E55&lt;=$A$17,StringReplaceEPI(INDEX(Tbl_Neo_BerMedCont,$A$5,10))&amp;" "&amp;INDEX(Tbl_Neo_BerMedCont,$A$5,3)/10&amp;" "&amp;$E$4,"")</f>
        <v>#VALUE!</v>
      </c>
      <c r="B58" s="925"/>
      <c r="C58" s="925"/>
      <c r="D58" s="925"/>
      <c r="E58" s="925"/>
      <c r="F58" s="70"/>
      <c r="G58" s="925" t="e">
        <f>IF(K55&lt;=$A$17,StringReplaceEPI(INDEX(Tbl_Neo_BerMedCont,$A$5,10))&amp;" "&amp;INDEX(Tbl_Neo_BerMedCont,$A$5,3)/10&amp;" "&amp;$E$4,"")</f>
        <v>#VALUE!</v>
      </c>
      <c r="H58" s="925"/>
      <c r="I58" s="925"/>
      <c r="J58" s="925"/>
      <c r="K58" s="925"/>
      <c r="L58" s="70"/>
      <c r="M58" s="925" t="e">
        <f>IF(Q55&lt;=$A$17,StringReplaceEPI(INDEX(Tbl_Neo_BerMedCont,$A$5,10))&amp;" "&amp;INDEX(Tbl_Neo_BerMedCont,$A$5,3)/10&amp;" "&amp;$E$4,"")</f>
        <v>#VALUE!</v>
      </c>
      <c r="N58" s="925"/>
      <c r="O58" s="925"/>
      <c r="P58" s="925"/>
      <c r="Q58" s="925"/>
    </row>
    <row r="59" spans="1:17" ht="12" customHeight="1" x14ac:dyDescent="0.2">
      <c r="A59" s="923" t="e">
        <f>IF(E55&lt;=$A$17,$I$6&amp;" "&amp;IF(Var_Neo_InfB_Cont_DubbeleHoev,($N$7+$O$7/10)/2,$N$7+$O$7/10)&amp;" ml "&amp;$J$6&amp;" "&amp;$K$6,"")</f>
        <v>#VALUE!</v>
      </c>
      <c r="B59" s="923"/>
      <c r="C59" s="923"/>
      <c r="D59" s="924" t="e">
        <f>IF(E55&lt;=$A$17,IF(Var_Neo_InfB_Cont_DubbeleHoev,"("&amp;(($N$7+$O$7/10)/2)&amp;" ml extra)",""),"")</f>
        <v>#VALUE!</v>
      </c>
      <c r="E59" s="924"/>
      <c r="F59" s="70"/>
      <c r="G59" s="923" t="e">
        <f>IF(K55&lt;=$A$17,$I$6&amp;" "&amp;IF(Var_Neo_InfB_Cont_DubbeleHoev,($N$7+$O$7/10)/2,$N$7+$O$7/10)&amp;" ml "&amp;$J$6&amp;" "&amp;$K$6,"")</f>
        <v>#VALUE!</v>
      </c>
      <c r="H59" s="923"/>
      <c r="I59" s="923"/>
      <c r="J59" s="924" t="e">
        <f>IF(K55&lt;=$A$17,IF(Var_Neo_InfB_Cont_DubbeleHoev,"("&amp;(($N$7+$O$7/10)/2)&amp;" ml extra)",""),"")</f>
        <v>#VALUE!</v>
      </c>
      <c r="K59" s="924"/>
      <c r="L59" s="70"/>
      <c r="M59" s="923" t="e">
        <f>IF(Q55&lt;=$A$17,$I$6&amp;" "&amp;IF(Var_Neo_InfB_Cont_DubbeleHoev,($N$7+$O$7/10)/2,$N$7+$O$7/10)&amp;" ml "&amp;$J$6&amp;" "&amp;$K$6,"")</f>
        <v>#VALUE!</v>
      </c>
      <c r="N59" s="923"/>
      <c r="O59" s="923"/>
      <c r="P59" s="924" t="e">
        <f>IF(Q55&lt;=$A$17,IF(Var_Neo_InfB_Cont_DubbeleHoev,"("&amp;(($N$7+$O$7/10)/2)&amp;" ml extra)",""),"")</f>
        <v>#VALUE!</v>
      </c>
      <c r="Q59" s="924"/>
    </row>
    <row r="60" spans="1:17" ht="12" customHeight="1" x14ac:dyDescent="0.2">
      <c r="A60" s="925" t="e">
        <f>IF(E55&lt;=$A$17,$D$6&amp;IF(IsEpiduraal(INDEX(Tbl_Neo_BerMedCont,$A$5,10))," EPIDURAAL","")&amp;IF(E55&lt;=$A$17," = " &amp;$F$6,""),"")</f>
        <v>#VALUE!</v>
      </c>
      <c r="B60" s="925"/>
      <c r="C60" s="926"/>
      <c r="D60" s="926"/>
      <c r="E60" s="926"/>
      <c r="F60" s="70"/>
      <c r="G60" s="925" t="e">
        <f>IF(K55&lt;=$A$17,$D$6&amp;IF(IsEpiduraal(INDEX(Tbl_Neo_BerMedCont,$A$5,10))," EPIDURAAL","")&amp;IF(K55&lt;=$A$17," = " &amp;$F$6,""),"")</f>
        <v>#VALUE!</v>
      </c>
      <c r="H60" s="925"/>
      <c r="I60" s="926"/>
      <c r="J60" s="926"/>
      <c r="K60" s="926"/>
      <c r="L60" s="70"/>
      <c r="M60" s="925" t="e">
        <f>IF(Q55&lt;=$A$17,$D$6&amp;IF(IsEpiduraal(INDEX(Tbl_Neo_BerMedCont,$A$5,10))," EPIDURAAL","")&amp;IF(Q55&lt;=$A$17," = " &amp;$F$6,""),"")</f>
        <v>#VALUE!</v>
      </c>
      <c r="N60" s="925"/>
      <c r="O60" s="926"/>
      <c r="P60" s="926"/>
      <c r="Q60" s="926"/>
    </row>
    <row r="61" spans="1:17" ht="12" customHeight="1" x14ac:dyDescent="0.2">
      <c r="A61" s="928" t="e">
        <f>IF(IsEpiduraal($D$5),"EPIDURAAL","")</f>
        <v>#VALUE!</v>
      </c>
      <c r="B61" s="926"/>
      <c r="C61" s="928" t="e">
        <f>IF(E55&lt;=$A$17,"Exp: "&amp;TEXT($O$2+$A$43,"dd-mm-jj")&amp;" 22:00 "&amp;$B$43,"")</f>
        <v>#VALUE!</v>
      </c>
      <c r="D61" s="926"/>
      <c r="E61" s="926"/>
      <c r="F61" s="688"/>
      <c r="G61" s="928" t="e">
        <f>IF(IsEpiduraal($D$5),"EPIDURAAL","")</f>
        <v>#VALUE!</v>
      </c>
      <c r="H61" s="926"/>
      <c r="I61" s="928" t="e">
        <f>IF(K55&lt;=$A$17,"Exp: "&amp;TEXT($O$2+$A$43,"dd-mm-jj")&amp;" 22:00 "&amp;$B$43,"")</f>
        <v>#VALUE!</v>
      </c>
      <c r="J61" s="926"/>
      <c r="K61" s="926"/>
      <c r="L61" s="688"/>
      <c r="M61" s="928" t="e">
        <f>IF(IsEpiduraal($D$5),"EPIDURAAL","")</f>
        <v>#VALUE!</v>
      </c>
      <c r="N61" s="926"/>
      <c r="O61" s="928" t="e">
        <f>IF(Q55&lt;=$A$17,"Exp: "&amp;TEXT($O$2+$A$43,"dd-mm-jj")&amp;" 22:00 "&amp;$B$43,"")</f>
        <v>#VALUE!</v>
      </c>
      <c r="P61" s="926"/>
      <c r="Q61" s="926"/>
    </row>
  </sheetData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>Bunny, Bucks</v>
      </c>
      <c r="E2" s="850" t="str">
        <f ca="1">Txt_Pat_GeboorteDat</f>
        <v>16-jul-2018</v>
      </c>
      <c r="F2" s="850"/>
      <c r="G2" s="209" t="str">
        <f>Txt_Pat_Gewicht</f>
        <v>Gewicht: 10 kg</v>
      </c>
      <c r="H2" s="503"/>
      <c r="O2" s="503" t="s">
        <v>135</v>
      </c>
      <c r="Q2" s="929" t="str">
        <f>IF(OR(_User_Type="Artsen",_User_Type="Supervisor"), _User_LastName&amp;", "&amp;_User_FirstName,"")</f>
        <v/>
      </c>
      <c r="R2" s="929"/>
      <c r="S2" s="929"/>
      <c r="T2" s="929"/>
      <c r="U2" s="929"/>
      <c r="V2" s="929"/>
      <c r="X2" s="497" t="s">
        <v>229</v>
      </c>
      <c r="AA2" s="849">
        <f ca="1">TODAY()</f>
        <v>43418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>Bunny, Bucks</v>
      </c>
      <c r="E25" s="151" t="str">
        <f ca="1">Txt_Pat_GeboorteDat</f>
        <v>16-jul-2018</v>
      </c>
      <c r="G25" s="151" t="str">
        <f>Txt_Pat_Gewicht</f>
        <v>Gewicht: 10 kg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51">
        <f ca="1">TODAY()</f>
        <v>43418</v>
      </c>
      <c r="AB25" s="851"/>
      <c r="AC25" s="851"/>
      <c r="AD25" s="851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2366</vt:i4>
      </vt:variant>
    </vt:vector>
  </HeadingPairs>
  <TitlesOfParts>
    <vt:vector size="2430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2018-11-14T16:23:57Z</dcterms:modified>
</cp:coreProperties>
</file>