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drawings/drawing5.xml" ContentType="application/vnd.openxmlformats-officedocument.drawing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drawings/drawing6.xml" ContentType="application/vnd.openxmlformats-officedocument.drawing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drawings/drawing10.xml" ContentType="application/vnd.openxmlformats-officedocument.drawing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drawings/drawing13.xml" ContentType="application/vnd.openxmlformats-officedocument.drawing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WbkAfspraken"/>
  <mc:AlternateContent xmlns:mc="http://schemas.openxmlformats.org/markup-compatibility/2006">
    <mc:Choice Requires="x15">
      <x15ac:absPath xmlns:x15ac="http://schemas.microsoft.com/office/spreadsheetml/2010/11/ac" url="\\psf\Dropbox\Excel\Afspraken 2016\TestOmgeving\Pelikaan\ICAP\"/>
    </mc:Choice>
  </mc:AlternateContent>
  <bookViews>
    <workbookView xWindow="-15" yWindow="6120" windowWidth="19230" windowHeight="2730" tabRatio="912" firstSheet="34" activeTab="44"/>
  </bookViews>
  <sheets>
    <sheet name="Global--&gt;" sheetId="76" r:id="rId1"/>
    <sheet name="GlobGuiMedDisc" sheetId="13" r:id="rId2"/>
    <sheet name="GlobBerMedDisc" sheetId="14" r:id="rId3"/>
    <sheet name="GlobSettings" sheetId="75" r:id="rId4"/>
    <sheet name="GlobNames" sheetId="77" r:id="rId5"/>
    <sheet name="GlobBerOpm" sheetId="4" r:id="rId6"/>
    <sheet name="GlobBerConv" sheetId="25" r:id="rId7"/>
    <sheet name="GlobBerNorm" sheetId="19" r:id="rId8"/>
    <sheet name="GlobTemp" sheetId="7" r:id="rId9"/>
    <sheet name="Patient--&gt;" sheetId="65" r:id="rId10"/>
    <sheet name="PatText" sheetId="9" r:id="rId11"/>
    <sheet name="PatData" sheetId="8" r:id="rId12"/>
    <sheet name="PatDetails" sheetId="6" r:id="rId13"/>
    <sheet name="Pediatrie--&gt;" sheetId="63" r:id="rId14"/>
    <sheet name="PedGuiMedIV" sheetId="10" r:id="rId15"/>
    <sheet name="PedBerMedIV" sheetId="12" r:id="rId16"/>
    <sheet name="PedTblMedIV" sheetId="11" r:id="rId17"/>
    <sheet name="PedTblMedDisc" sheetId="69" r:id="rId18"/>
    <sheet name="PedGuiLijnPM" sheetId="17" r:id="rId19"/>
    <sheet name="PedBerIVenPM" sheetId="18" r:id="rId20"/>
    <sheet name="PedTblIV" sheetId="70" r:id="rId21"/>
    <sheet name="PedGuiEntTPN" sheetId="20" r:id="rId22"/>
    <sheet name="PedBerEnt" sheetId="27" r:id="rId23"/>
    <sheet name="PedBerTPN" sheetId="21" r:id="rId24"/>
    <sheet name="PedBerTot" sheetId="24" r:id="rId25"/>
    <sheet name="PedTblVoed" sheetId="26" r:id="rId26"/>
    <sheet name="PedGuiLab" sheetId="58" r:id="rId27"/>
    <sheet name="PedBerLab" sheetId="57" r:id="rId28"/>
    <sheet name="PedGuiAfspr" sheetId="60" r:id="rId29"/>
    <sheet name="PedBerAfspr" sheetId="59" r:id="rId30"/>
    <sheet name="PedTblAfspr" sheetId="51" r:id="rId31"/>
    <sheet name="PedGuiAcuut" sheetId="3" r:id="rId32"/>
    <sheet name="PedTblLengte" sheetId="1" r:id="rId33"/>
    <sheet name="PedTblGew" sheetId="2" r:id="rId34"/>
    <sheet name="PedPrtAfspr" sheetId="5" r:id="rId35"/>
    <sheet name="PedPrtMedDisc" sheetId="16" r:id="rId36"/>
    <sheet name="PedTblTijden" sheetId="15" r:id="rId37"/>
    <sheet name="PedPrtTPN2tot6" sheetId="28" r:id="rId38"/>
    <sheet name="PedPrtTPN7tot15" sheetId="29" r:id="rId39"/>
    <sheet name="PedPrtTPN16tot30" sheetId="30" r:id="rId40"/>
    <sheet name="PedTPN31tot50" sheetId="31" r:id="rId41"/>
    <sheet name="PedPrtTPN50" sheetId="32" r:id="rId42"/>
    <sheet name="Neo--&gt;" sheetId="64" r:id="rId43"/>
    <sheet name="NeoGuiInfB" sheetId="39" r:id="rId44"/>
    <sheet name="NeoDataInfB" sheetId="78" r:id="rId45"/>
    <sheet name="NeoBerInfB" sheetId="45" r:id="rId46"/>
    <sheet name="NeoPrtWerkbrAct" sheetId="74" r:id="rId47"/>
    <sheet name="NeoGui1700" sheetId="73" r:id="rId48"/>
    <sheet name="NeoBer1700" sheetId="72" r:id="rId49"/>
    <sheet name="NeoPrtWerkbr" sheetId="36" r:id="rId50"/>
    <sheet name="NeoTblMedIV" sheetId="71" r:id="rId51"/>
    <sheet name="NeoBerAdvies" sheetId="40" r:id="rId52"/>
    <sheet name="NeoTblLijst" sheetId="42" r:id="rId53"/>
    <sheet name="NeoTblVoed" sheetId="68" r:id="rId54"/>
    <sheet name="NeoPrtMedDisc" sheetId="61" r:id="rId55"/>
    <sheet name="NeoTblTijden" sheetId="62" r:id="rId56"/>
    <sheet name="NeoGuiAfspr" sheetId="50" r:id="rId57"/>
    <sheet name="NeoBerAfspr" sheetId="52" r:id="rId58"/>
    <sheet name="NeoGuiLab" sheetId="56" r:id="rId59"/>
    <sheet name="NeoBerLab" sheetId="55" r:id="rId60"/>
    <sheet name="NeoGuiAcuut" sheetId="49" r:id="rId61"/>
    <sheet name="NeoPrtAfspr" sheetId="33" r:id="rId62"/>
    <sheet name="NeoPrtApoth" sheetId="38" r:id="rId63"/>
  </sheets>
  <functionGroups builtInGroupCount="18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4" hidden="1">GlobNames!$A$1:$I$2135</definedName>
    <definedName name="_xlnm._FilterDatabase" localSheetId="8" hidden="1">GlobTemp!$A$2:$B$437</definedName>
    <definedName name="_xlnm._FilterDatabase" localSheetId="11" hidden="1">PatData!$A$1:$P$634</definedName>
    <definedName name="_Glob_MedDisc_ATC_01">GlobBerMedDisc!$AH$2</definedName>
    <definedName name="_Glob_MedDisc_ATC_02">GlobBerMedDisc!$AH$3</definedName>
    <definedName name="_Glob_MedDisc_ATC_03">GlobBerMedDisc!$AH$4</definedName>
    <definedName name="_Glob_MedDisc_ATC_04">GlobBerMedDisc!$AH$5</definedName>
    <definedName name="_Glob_MedDisc_ATC_05">GlobBerMedDisc!$AH$6</definedName>
    <definedName name="_Glob_MedDisc_ATC_06">GlobBerMedDisc!$AH$7</definedName>
    <definedName name="_Glob_MedDisc_ATC_07">GlobBerMedDisc!$AH$8</definedName>
    <definedName name="_Glob_MedDisc_ATC_08">GlobBerMedDisc!$AH$9</definedName>
    <definedName name="_Glob_MedDisc_ATC_09">GlobBerMedDisc!$AH$10</definedName>
    <definedName name="_Glob_MedDisc_ATC_10">GlobBerMedDisc!$AH$11</definedName>
    <definedName name="_Glob_MedDisc_ATC_11">GlobBerMedDisc!$AH$12</definedName>
    <definedName name="_Glob_MedDisc_ATC_12">GlobBerMedDisc!$AH$13</definedName>
    <definedName name="_Glob_MedDisc_ATC_13">GlobBerMedDisc!$AH$14</definedName>
    <definedName name="_Glob_MedDisc_ATC_14">GlobBerMedDisc!$AH$15</definedName>
    <definedName name="_Glob_MedDisc_ATC_15">GlobBerMedDisc!$AH$16</definedName>
    <definedName name="_Glob_MedDisc_ATC_16">GlobBerMedDisc!$AH$17</definedName>
    <definedName name="_Glob_MedDisc_ATC_17">GlobBerMedDisc!$AH$18</definedName>
    <definedName name="_Glob_MedDisc_ATC_18">GlobBerMedDisc!$AH$19</definedName>
    <definedName name="_Glob_MedDisc_ATC_19">GlobBerMedDisc!$AH$20</definedName>
    <definedName name="_Glob_MedDisc_ATC_20">GlobBerMedDisc!$AH$21</definedName>
    <definedName name="_Glob_MedDisc_ATC_21">GlobBerMedDisc!$AH$22</definedName>
    <definedName name="_Glob_MedDisc_ATC_22">GlobBerMedDisc!$AH$23</definedName>
    <definedName name="_Glob_MedDisc_ATC_23">GlobBerMedDisc!$AH$24</definedName>
    <definedName name="_Glob_MedDisc_ATC_24">GlobBerMedDisc!$AH$25</definedName>
    <definedName name="_Glob_MedDisc_ATC_25">GlobBerMedDisc!$AH$26</definedName>
    <definedName name="_Glob_MedDisc_ATC_26">GlobBerMedDisc!$AH$27</definedName>
    <definedName name="_Glob_MedDisc_ATC_27">GlobBerMedDisc!$AH$28</definedName>
    <definedName name="_Glob_MedDisc_ATC_28">GlobBerMedDisc!$AH$29</definedName>
    <definedName name="_Glob_MedDisc_ATC_29">GlobBerMedDisc!$AH$30</definedName>
    <definedName name="_Glob_MedDisc_ATC_30">GlobBerMedDisc!$AH$31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GlobBerMedDisc!$AK$2</definedName>
    <definedName name="_Glob_MedDisc_Etiket_02">GlobBerMedDisc!$AK$3</definedName>
    <definedName name="_Glob_MedDisc_Etiket_03">GlobBerMedDisc!$AK$4</definedName>
    <definedName name="_Glob_MedDisc_Etiket_04">GlobBerMedDisc!$AK$5</definedName>
    <definedName name="_Glob_MedDisc_Etiket_05">GlobBerMedDisc!$AK$6</definedName>
    <definedName name="_Glob_MedDisc_Etiket_06">GlobBerMedDisc!$AK$7</definedName>
    <definedName name="_Glob_MedDisc_Etiket_07">GlobBerMedDisc!$AK$8</definedName>
    <definedName name="_Glob_MedDisc_Etiket_08">GlobBerMedDisc!$AK$9</definedName>
    <definedName name="_Glob_MedDisc_Etiket_09">GlobBerMedDisc!$AK$10</definedName>
    <definedName name="_Glob_MedDisc_Etiket_10">GlobBerMedDisc!$AK$11</definedName>
    <definedName name="_Glob_MedDisc_Etiket_11">GlobBerMedDisc!$AK$12</definedName>
    <definedName name="_Glob_MedDisc_Etiket_12">GlobBerMedDisc!$AK$13</definedName>
    <definedName name="_Glob_MedDisc_Etiket_13">GlobBerMedDisc!$AK$14</definedName>
    <definedName name="_Glob_MedDisc_Etiket_14">GlobBerMedDisc!$AK$15</definedName>
    <definedName name="_Glob_MedDisc_Etiket_15">GlobBerMedDisc!$AK$16</definedName>
    <definedName name="_Glob_MedDisc_Etiket_16">GlobBerMedDisc!$AK$17</definedName>
    <definedName name="_Glob_MedDisc_Etiket_17">GlobBerMedDisc!$AK$18</definedName>
    <definedName name="_Glob_MedDisc_Etiket_18">GlobBerMedDisc!$AK$19</definedName>
    <definedName name="_Glob_MedDisc_Etiket_19">GlobBerMedDisc!$AK$20</definedName>
    <definedName name="_Glob_MedDisc_Etiket_20">GlobBerMedDisc!$AK$21</definedName>
    <definedName name="_Glob_MedDisc_Etiket_21">GlobBerMedDisc!$AK$22</definedName>
    <definedName name="_Glob_MedDisc_Etiket_22">GlobBerMedDisc!$AK$23</definedName>
    <definedName name="_Glob_MedDisc_Etiket_23">GlobBerMedDisc!$AK$24</definedName>
    <definedName name="_Glob_MedDisc_Etiket_24">GlobBerMedDisc!$AK$25</definedName>
    <definedName name="_Glob_MedDisc_Etiket_25">GlobBerMedDisc!$AK$26</definedName>
    <definedName name="_Glob_MedDisc_Etiket_26">GlobBerMedDisc!$AK$27</definedName>
    <definedName name="_Glob_MedDisc_Etiket_27">GlobBerMedDisc!$AK$28</definedName>
    <definedName name="_Glob_MedDisc_Etiket_28">GlobBerMedDisc!$AK$29</definedName>
    <definedName name="_Glob_MedDisc_Etiket_29">GlobBerMedDisc!$AK$30</definedName>
    <definedName name="_Glob_MedDisc_Etiket_30">GlobBerMedDisc!$AK$31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GlobBerMedDisc!$U$2</definedName>
    <definedName name="_Glob_MedDisc_GPK_02">GlobBerMedDisc!$U$3</definedName>
    <definedName name="_Glob_MedDisc_GPK_03">GlobBerMedDisc!$U$4</definedName>
    <definedName name="_Glob_MedDisc_GPK_04">GlobBerMedDisc!$U$5</definedName>
    <definedName name="_Glob_MedDisc_GPK_05">GlobBerMedDisc!$U$6</definedName>
    <definedName name="_Glob_MedDisc_GPK_06">GlobBerMedDisc!$U$7</definedName>
    <definedName name="_Glob_MedDisc_GPK_07">GlobBerMedDisc!$U$8</definedName>
    <definedName name="_Glob_MedDisc_GPK_08">GlobBerMedDisc!$U$9</definedName>
    <definedName name="_Glob_MedDisc_GPK_09">GlobBerMedDisc!$U$10</definedName>
    <definedName name="_Glob_MedDisc_GPK_10">GlobBerMedDisc!$U$11</definedName>
    <definedName name="_Glob_MedDisc_GPK_11">GlobBerMedDisc!$U$12</definedName>
    <definedName name="_Glob_MedDisc_GPK_12">GlobBerMedDisc!$U$13</definedName>
    <definedName name="_Glob_MedDisc_GPK_13">GlobBerMedDisc!$U$14</definedName>
    <definedName name="_Glob_MedDisc_GPK_14">GlobBerMedDisc!$U$15</definedName>
    <definedName name="_Glob_MedDisc_GPK_15">GlobBerMedDisc!$U$16</definedName>
    <definedName name="_Glob_MedDisc_GPK_16">GlobBerMedDisc!$U$17</definedName>
    <definedName name="_Glob_MedDisc_GPK_17">GlobBerMedDisc!$U$18</definedName>
    <definedName name="_Glob_MedDisc_GPK_18">GlobBerMedDisc!$U$19</definedName>
    <definedName name="_Glob_MedDisc_GPK_19">GlobBerMedDisc!$U$20</definedName>
    <definedName name="_Glob_MedDisc_GPK_20">GlobBerMedDisc!$U$21</definedName>
    <definedName name="_Glob_MedDisc_GPK_21">GlobBerMedDisc!$U$22</definedName>
    <definedName name="_Glob_MedDisc_GPK_22">GlobBerMedDisc!$U$23</definedName>
    <definedName name="_Glob_MedDisc_GPK_23">GlobBerMedDisc!$U$24</definedName>
    <definedName name="_Glob_MedDisc_GPK_24">GlobBerMedDisc!$U$25</definedName>
    <definedName name="_Glob_MedDisc_GPK_25">GlobBerMedDisc!$U$26</definedName>
    <definedName name="_Glob_MedDisc_GPK_26">GlobBerMedDisc!$U$27</definedName>
    <definedName name="_Glob_MedDisc_GPK_27">GlobBerMedDisc!$U$28</definedName>
    <definedName name="_Glob_MedDisc_GPK_28">GlobBerMedDisc!$U$29</definedName>
    <definedName name="_Glob_MedDisc_GPK_29">GlobBerMedDisc!$U$30</definedName>
    <definedName name="_Glob_MedDisc_GPK_30">GlobBerMedDisc!$U$31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GlobBerMedDisc!$Q$2</definedName>
    <definedName name="_Glob_MedDisc_Inloop_02">GlobBerMedDisc!$Q$3</definedName>
    <definedName name="_Glob_MedDisc_Inloop_03">GlobBerMedDisc!$Q$4</definedName>
    <definedName name="_Glob_MedDisc_Inloop_04">GlobBerMedDisc!$Q$5</definedName>
    <definedName name="_Glob_MedDisc_Inloop_05">GlobBerMedDisc!$Q$6</definedName>
    <definedName name="_Glob_MedDisc_Inloop_06">GlobBerMedDisc!$Q$7</definedName>
    <definedName name="_Glob_MedDisc_Inloop_07">GlobBerMedDisc!$Q$8</definedName>
    <definedName name="_Glob_MedDisc_Inloop_08">GlobBerMedDisc!$Q$9</definedName>
    <definedName name="_Glob_MedDisc_Inloop_09">GlobBerMedDisc!$Q$10</definedName>
    <definedName name="_Glob_MedDisc_Inloop_10">GlobBerMedDisc!$Q$11</definedName>
    <definedName name="_Glob_MedDisc_Inloop_11">GlobBerMedDisc!$Q$12</definedName>
    <definedName name="_Glob_MedDisc_Inloop_12">GlobBerMedDisc!$Q$13</definedName>
    <definedName name="_Glob_MedDisc_Inloop_13">GlobBerMedDisc!$Q$14</definedName>
    <definedName name="_Glob_MedDisc_Inloop_14">GlobBerMedDisc!$Q$15</definedName>
    <definedName name="_Glob_MedDisc_Inloop_15">GlobBerMedDisc!$Q$16</definedName>
    <definedName name="_Glob_MedDisc_Inloop_16">GlobBerMedDisc!$Q$17</definedName>
    <definedName name="_Glob_MedDisc_Inloop_17">GlobBerMedDisc!$Q$18</definedName>
    <definedName name="_Glob_MedDisc_Inloop_18">GlobBerMedDisc!$Q$19</definedName>
    <definedName name="_Glob_MedDisc_Inloop_19">GlobBerMedDisc!$Q$20</definedName>
    <definedName name="_Glob_MedDisc_Inloop_20">GlobBerMedDisc!$Q$21</definedName>
    <definedName name="_Glob_MedDisc_Inloop_21">GlobBerMedDisc!$Q$22</definedName>
    <definedName name="_Glob_MedDisc_Inloop_22">GlobBerMedDisc!$Q$23</definedName>
    <definedName name="_Glob_MedDisc_Inloop_23">GlobBerMedDisc!$Q$24</definedName>
    <definedName name="_Glob_MedDisc_Inloop_24">GlobBerMedDisc!$Q$25</definedName>
    <definedName name="_Glob_MedDisc_Inloop_25">GlobBerMedDisc!$Q$26</definedName>
    <definedName name="_Glob_MedDisc_Inloop_26">GlobBerMedDisc!$Q$27</definedName>
    <definedName name="_Glob_MedDisc_Inloop_27">GlobBerMedDisc!$Q$28</definedName>
    <definedName name="_Glob_MedDisc_Inloop_28">GlobBerMedDisc!$Q$29</definedName>
    <definedName name="_Glob_MedDisc_Inloop_29">GlobBerMedDisc!$Q$30</definedName>
    <definedName name="_Glob_MedDisc_Inloop_30">GlobBerMedDisc!$Q$31</definedName>
    <definedName name="_Glob_MedDisc_OplKeuze_01">GlobBerMedDisc!$O$2</definedName>
    <definedName name="_Glob_MedDisc_OplKeuze_02">GlobBerMedDisc!$O$3</definedName>
    <definedName name="_Glob_MedDisc_OplKeuze_03">GlobBerMedDisc!$O$4</definedName>
    <definedName name="_Glob_MedDisc_OplKeuze_04">GlobBerMedDisc!$O$5</definedName>
    <definedName name="_Glob_MedDisc_OplKeuze_05">GlobBerMedDisc!$O$6</definedName>
    <definedName name="_Glob_MedDisc_OplKeuze_06">GlobBerMedDisc!$O$7</definedName>
    <definedName name="_Glob_MedDisc_OplKeuze_07">GlobBerMedDisc!$O$8</definedName>
    <definedName name="_Glob_MedDisc_OplKeuze_08">GlobBerMedDisc!$O$9</definedName>
    <definedName name="_Glob_MedDisc_OplKeuze_09">GlobBerMedDisc!$O$10</definedName>
    <definedName name="_Glob_MedDisc_OplKeuze_10">GlobBerMedDisc!$O$11</definedName>
    <definedName name="_Glob_MedDisc_OplKeuze_11">GlobBerMedDisc!$O$12</definedName>
    <definedName name="_Glob_MedDisc_OplKeuze_12">GlobBerMedDisc!$O$13</definedName>
    <definedName name="_Glob_MedDisc_OplKeuze_13">GlobBerMedDisc!$O$14</definedName>
    <definedName name="_Glob_MedDisc_OplKeuze_14">GlobBerMedDisc!$O$15</definedName>
    <definedName name="_Glob_MedDisc_OplKeuze_15">GlobBerMedDisc!$O$16</definedName>
    <definedName name="_Glob_MedDisc_OplKeuze_16">GlobBerMedDisc!$O$17</definedName>
    <definedName name="_Glob_MedDisc_OplKeuze_17">GlobBerMedDisc!$O$18</definedName>
    <definedName name="_Glob_MedDisc_OplKeuze_18">GlobBerMedDisc!$O$19</definedName>
    <definedName name="_Glob_MedDisc_OplKeuze_19">GlobBerMedDisc!$O$20</definedName>
    <definedName name="_Glob_MedDisc_OplKeuze_20">GlobBerMedDisc!$O$21</definedName>
    <definedName name="_Glob_MedDisc_OplKeuze_21">GlobBerMedDisc!$O$22</definedName>
    <definedName name="_Glob_MedDisc_OplKeuze_22">GlobBerMedDisc!$O$23</definedName>
    <definedName name="_Glob_MedDisc_OplKeuze_23">GlobBerMedDisc!$O$24</definedName>
    <definedName name="_Glob_MedDisc_OplKeuze_24">GlobBerMedDisc!$O$25</definedName>
    <definedName name="_Glob_MedDisc_OplKeuze_25">GlobBerMedDisc!$O$26</definedName>
    <definedName name="_Glob_MedDisc_OplKeuze_26">GlobBerMedDisc!$O$27</definedName>
    <definedName name="_Glob_MedDisc_OplKeuze_27">GlobBerMedDisc!$O$28</definedName>
    <definedName name="_Glob_MedDisc_OplKeuze_28">GlobBerMedDisc!$O$29</definedName>
    <definedName name="_Glob_MedDisc_OplKeuze_29">GlobBerMedDisc!$O$30</definedName>
    <definedName name="_Glob_MedDisc_OplKeuze_30">GlobBerMedDisc!$O$31</definedName>
    <definedName name="_Glob_MedDisc_OplVol_01">GlobBerMedDisc!$N$2</definedName>
    <definedName name="_Glob_MedDisc_OplVol_02">GlobBerMedDisc!$N$3</definedName>
    <definedName name="_Glob_MedDisc_OplVol_03">GlobBerMedDisc!$N$4</definedName>
    <definedName name="_Glob_MedDisc_OplVol_04">GlobBerMedDisc!$N$5</definedName>
    <definedName name="_Glob_MedDisc_OplVol_05">GlobBerMedDisc!$N$6</definedName>
    <definedName name="_Glob_MedDisc_OplVol_06">GlobBerMedDisc!$N$7</definedName>
    <definedName name="_Glob_MedDisc_OplVol_07">GlobBerMedDisc!$N$8</definedName>
    <definedName name="_Glob_MedDisc_OplVol_08">GlobBerMedDisc!$N$9</definedName>
    <definedName name="_Glob_MedDisc_OplVol_09">GlobBerMedDisc!$N$10</definedName>
    <definedName name="_Glob_MedDisc_OplVol_10">GlobBerMedDisc!$N$11</definedName>
    <definedName name="_Glob_MedDisc_OplVol_11">GlobBerMedDisc!$N$12</definedName>
    <definedName name="_Glob_MedDisc_OplVol_12">GlobBerMedDisc!$N$13</definedName>
    <definedName name="_Glob_MedDisc_OplVol_13">GlobBerMedDisc!$N$14</definedName>
    <definedName name="_Glob_MedDisc_OplVol_14">GlobBerMedDisc!$N$15</definedName>
    <definedName name="_Glob_MedDisc_OplVol_15">GlobBerMedDisc!$N$16</definedName>
    <definedName name="_Glob_MedDisc_OplVol_16">GlobBerMedDisc!$N$17</definedName>
    <definedName name="_Glob_MedDisc_OplVol_17">GlobBerMedDisc!$N$18</definedName>
    <definedName name="_Glob_MedDisc_OplVol_18">GlobBerMedDisc!$N$19</definedName>
    <definedName name="_Glob_MedDisc_OplVol_19">GlobBerMedDisc!$N$20</definedName>
    <definedName name="_Glob_MedDisc_OplVol_20">GlobBerMedDisc!$N$21</definedName>
    <definedName name="_Glob_MedDisc_OplVol_21">GlobBerMedDisc!$N$22</definedName>
    <definedName name="_Glob_MedDisc_OplVol_22">GlobBerMedDisc!$N$23</definedName>
    <definedName name="_Glob_MedDisc_OplVol_23">GlobBerMedDisc!$N$24</definedName>
    <definedName name="_Glob_MedDisc_OplVol_24">GlobBerMedDisc!$N$25</definedName>
    <definedName name="_Glob_MedDisc_OplVol_25">GlobBerMedDisc!$N$26</definedName>
    <definedName name="_Glob_MedDisc_OplVol_26">GlobBerMedDisc!$N$27</definedName>
    <definedName name="_Glob_MedDisc_OplVol_27">GlobBerMedDisc!$N$28</definedName>
    <definedName name="_Glob_MedDisc_OplVol_28">GlobBerMedDisc!$N$29</definedName>
    <definedName name="_Glob_MedDisc_OplVol_29">GlobBerMedDisc!$N$30</definedName>
    <definedName name="_Glob_MedDisc_OplVol_30">GlobBerMedDisc!$N$31</definedName>
    <definedName name="_Glob_MedDisc_Opm_01">GlobBerMedDisc!$AB$2</definedName>
    <definedName name="_Glob_MedDisc_Opm_02">GlobBerMedDisc!$AB$3</definedName>
    <definedName name="_Glob_MedDisc_Opm_03">GlobBerMedDisc!$AB$4</definedName>
    <definedName name="_Glob_MedDisc_Opm_04">GlobBerMedDisc!$AB$5</definedName>
    <definedName name="_Glob_MedDisc_Opm_05">GlobBerMedDisc!$AB$6</definedName>
    <definedName name="_Glob_MedDisc_Opm_06">GlobBerMedDisc!$AB$7</definedName>
    <definedName name="_Glob_MedDisc_Opm_07">GlobBerMedDisc!$AB$8</definedName>
    <definedName name="_Glob_MedDisc_Opm_08">GlobBerMedDisc!$AB$9</definedName>
    <definedName name="_Glob_MedDisc_Opm_09">GlobBerMedDisc!$AB$10</definedName>
    <definedName name="_Glob_MedDisc_Opm_10">GlobBerMedDisc!$AB$11</definedName>
    <definedName name="_Glob_MedDisc_Opm_11">GlobBerMedDisc!$AB$12</definedName>
    <definedName name="_Glob_MedDisc_Opm_12">GlobBerMedDisc!$AB$13</definedName>
    <definedName name="_Glob_MedDisc_Opm_13">GlobBerMedDisc!$AB$14</definedName>
    <definedName name="_Glob_MedDisc_Opm_14">GlobBerMedDisc!$AB$15</definedName>
    <definedName name="_Glob_MedDisc_Opm_15">GlobBerMedDisc!$AB$16</definedName>
    <definedName name="_Glob_MedDisc_Opm_16">GlobBerMedDisc!$AB$17</definedName>
    <definedName name="_Glob_MedDisc_Opm_17">GlobBerMedDisc!$AB$18</definedName>
    <definedName name="_Glob_MedDisc_Opm_18">GlobBerMedDisc!$AB$19</definedName>
    <definedName name="_Glob_MedDisc_Opm_19">GlobBerMedDisc!$AB$20</definedName>
    <definedName name="_Glob_MedDisc_Opm_20">GlobBerMedDisc!$AB$21</definedName>
    <definedName name="_Glob_MedDisc_Opm_21">GlobBerMedDisc!$AB$22</definedName>
    <definedName name="_Glob_MedDisc_Opm_22">GlobBerMedDisc!$AB$23</definedName>
    <definedName name="_Glob_MedDisc_Opm_23">GlobBerMedDisc!$AB$24</definedName>
    <definedName name="_Glob_MedDisc_Opm_24">GlobBerMedDisc!$AB$25</definedName>
    <definedName name="_Glob_MedDisc_Opm_25">GlobBerMedDisc!$AB$26</definedName>
    <definedName name="_Glob_MedDisc_Opm_26">GlobBerMedDisc!$AB$27</definedName>
    <definedName name="_Glob_MedDisc_Opm_27">GlobBerMedDisc!$AB$28</definedName>
    <definedName name="_Glob_MedDisc_Opm_28">GlobBerMedDisc!$AB$29</definedName>
    <definedName name="_Glob_MedDisc_Opm_29">GlobBerMedDisc!$AB$30</definedName>
    <definedName name="_Glob_MedDisc_Opm_30">GlobBerMedDisc!$AB$31</definedName>
    <definedName name="_Glob_MedDisc_PRN_01">GlobBerMedDisc!$AF$2</definedName>
    <definedName name="_Glob_MedDisc_PRN_02">GlobBerMedDisc!$AF$3</definedName>
    <definedName name="_Glob_MedDisc_PRN_03">GlobBerMedDisc!$AF$4</definedName>
    <definedName name="_Glob_MedDisc_PRN_04">GlobBerMedDisc!$AF$5</definedName>
    <definedName name="_Glob_MedDisc_PRN_05">GlobBerMedDisc!$AF$6</definedName>
    <definedName name="_Glob_MedDisc_PRN_06">GlobBerMedDisc!$AF$7</definedName>
    <definedName name="_Glob_MedDisc_PRN_07">GlobBerMedDisc!$AF$8</definedName>
    <definedName name="_Glob_MedDisc_PRN_08">GlobBerMedDisc!$AF$9</definedName>
    <definedName name="_Glob_MedDisc_PRN_09">GlobBerMedDisc!$AF$10</definedName>
    <definedName name="_Glob_MedDisc_PRN_10">GlobBerMedDisc!$AF$11</definedName>
    <definedName name="_Glob_MedDisc_PRN_11">GlobBerMedDisc!$AF$12</definedName>
    <definedName name="_Glob_MedDisc_PRN_12">GlobBerMedDisc!$AF$13</definedName>
    <definedName name="_Glob_MedDisc_PRN_13">GlobBerMedDisc!$AF$14</definedName>
    <definedName name="_Glob_MedDisc_PRN_14">GlobBerMedDisc!$AF$15</definedName>
    <definedName name="_Glob_MedDisc_PRN_15">GlobBerMedDisc!$AF$16</definedName>
    <definedName name="_Glob_MedDisc_PRN_16">GlobBerMedDisc!$AF$17</definedName>
    <definedName name="_Glob_MedDisc_PRN_17">GlobBerMedDisc!$AF$18</definedName>
    <definedName name="_Glob_MedDisc_PRN_18">GlobBerMedDisc!$AF$19</definedName>
    <definedName name="_Glob_MedDisc_PRN_19">GlobBerMedDisc!$AF$20</definedName>
    <definedName name="_Glob_MedDisc_PRN_20">GlobBerMedDisc!$AF$21</definedName>
    <definedName name="_Glob_MedDisc_PRN_21">GlobBerMedDisc!$AF$22</definedName>
    <definedName name="_Glob_MedDisc_PRN_22">GlobBerMedDisc!$AF$23</definedName>
    <definedName name="_Glob_MedDisc_PRN_23">GlobBerMedDisc!$AF$24</definedName>
    <definedName name="_Glob_MedDisc_PRN_24">GlobBerMedDisc!$AF$25</definedName>
    <definedName name="_Glob_MedDisc_PRN_25">GlobBerMedDisc!$AF$26</definedName>
    <definedName name="_Glob_MedDisc_PRN_26">GlobBerMedDisc!$AF$27</definedName>
    <definedName name="_Glob_MedDisc_PRN_27">GlobBerMedDisc!$AF$28</definedName>
    <definedName name="_Glob_MedDisc_PRN_28">GlobBerMedDisc!$AF$29</definedName>
    <definedName name="_Glob_MedDisc_PRN_29">GlobBerMedDisc!$AF$30</definedName>
    <definedName name="_Glob_MedDisc_PRN_30">GlobBerMedDisc!$AF$31</definedName>
    <definedName name="_Glob_MedDisc_PRNText_01">GlobBerMedDisc!$AG$2</definedName>
    <definedName name="_Glob_MedDisc_PRNText_02">GlobBerMedDisc!$AG$3</definedName>
    <definedName name="_Glob_MedDisc_PRNText_03">GlobBerMedDisc!$AG$4</definedName>
    <definedName name="_Glob_MedDisc_PRNText_04">GlobBerMedDisc!$AG$5</definedName>
    <definedName name="_Glob_MedDisc_PRNText_05">GlobBerMedDisc!$AG$6</definedName>
    <definedName name="_Glob_MedDisc_PRNText_06">GlobBerMedDisc!$AG$7</definedName>
    <definedName name="_Glob_MedDisc_PRNText_07">GlobBerMedDisc!$AG$8</definedName>
    <definedName name="_Glob_MedDisc_PRNText_08">GlobBerMedDisc!$AG$9</definedName>
    <definedName name="_Glob_MedDisc_PRNText_09">GlobBerMedDisc!$AG$10</definedName>
    <definedName name="_Glob_MedDisc_PRNText_10">GlobBerMedDisc!$AG$11</definedName>
    <definedName name="_Glob_MedDisc_PRNText_11">GlobBerMedDisc!$AG$12</definedName>
    <definedName name="_Glob_MedDisc_PRNText_12">GlobBerMedDisc!$AG$13</definedName>
    <definedName name="_Glob_MedDisc_PRNText_13">GlobBerMedDisc!$AG$14</definedName>
    <definedName name="_Glob_MedDisc_PRNText_14">GlobBerMedDisc!$AG$15</definedName>
    <definedName name="_Glob_MedDisc_PRNText_15">GlobBerMedDisc!$AG$16</definedName>
    <definedName name="_Glob_MedDisc_PRNText_16">GlobBerMedDisc!$AG$17</definedName>
    <definedName name="_Glob_MedDisc_PRNText_17">GlobBerMedDisc!$AG$18</definedName>
    <definedName name="_Glob_MedDisc_PRNText_18">GlobBerMedDisc!$AG$19</definedName>
    <definedName name="_Glob_MedDisc_PRNText_19">GlobBerMedDisc!$AG$20</definedName>
    <definedName name="_Glob_MedDisc_PRNText_20">GlobBerMedDisc!$AG$21</definedName>
    <definedName name="_Glob_MedDisc_PRNText_21">GlobBerMedDisc!$AG$22</definedName>
    <definedName name="_Glob_MedDisc_PRNText_22">GlobBerMedDisc!$AG$23</definedName>
    <definedName name="_Glob_MedDisc_PRNText_23">GlobBerMedDisc!$AG$24</definedName>
    <definedName name="_Glob_MedDisc_PRNText_24">GlobBerMedDisc!$AG$25</definedName>
    <definedName name="_Glob_MedDisc_PRNText_25">GlobBerMedDisc!$AG$26</definedName>
    <definedName name="_Glob_MedDisc_PRNText_26">GlobBerMedDisc!$AG$27</definedName>
    <definedName name="_Glob_MedDisc_PRNText_27">GlobBerMedDisc!$AG$28</definedName>
    <definedName name="_Glob_MedDisc_PRNText_28">GlobBerMedDisc!$AG$29</definedName>
    <definedName name="_Glob_MedDisc_PRNText_29">GlobBerMedDisc!$AG$30</definedName>
    <definedName name="_Glob_MedDisc_PRNText_30">GlobBerMedDisc!$AG$31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GlobBerMedDisc!$AI$2</definedName>
    <definedName name="_Glob_MedDisc_Sterkte_02">GlobBerMedDisc!$AI$3</definedName>
    <definedName name="_Glob_MedDisc_Sterkte_03">GlobBerMedDisc!$AI$4</definedName>
    <definedName name="_Glob_MedDisc_Sterkte_04">GlobBerMedDisc!$AI$5</definedName>
    <definedName name="_Glob_MedDisc_Sterkte_05">GlobBerMedDisc!$AI$6</definedName>
    <definedName name="_Glob_MedDisc_Sterkte_06">GlobBerMedDisc!$AI$7</definedName>
    <definedName name="_Glob_MedDisc_Sterkte_07">GlobBerMedDisc!$AI$8</definedName>
    <definedName name="_Glob_MedDisc_Sterkte_08">GlobBerMedDisc!$AI$9</definedName>
    <definedName name="_Glob_MedDisc_Sterkte_09">GlobBerMedDisc!$AI$10</definedName>
    <definedName name="_Glob_MedDisc_Sterkte_10">GlobBerMedDisc!$AI$11</definedName>
    <definedName name="_Glob_MedDisc_Sterkte_11">GlobBerMedDisc!$AI$12</definedName>
    <definedName name="_Glob_MedDisc_Sterkte_12">GlobBerMedDisc!$AI$13</definedName>
    <definedName name="_Glob_MedDisc_Sterkte_13">GlobBerMedDisc!$AI$14</definedName>
    <definedName name="_Glob_MedDisc_Sterkte_14">GlobBerMedDisc!$AI$15</definedName>
    <definedName name="_Glob_MedDisc_Sterkte_15">GlobBerMedDisc!$AI$16</definedName>
    <definedName name="_Glob_MedDisc_Sterkte_16">GlobBerMedDisc!$AI$17</definedName>
    <definedName name="_Glob_MedDisc_Sterkte_17">GlobBerMedDisc!$AI$18</definedName>
    <definedName name="_Glob_MedDisc_Sterkte_18">GlobBerMedDisc!$AI$19</definedName>
    <definedName name="_Glob_MedDisc_Sterkte_19">GlobBerMedDisc!$AI$20</definedName>
    <definedName name="_Glob_MedDisc_Sterkte_20">GlobBerMedDisc!$AI$21</definedName>
    <definedName name="_Glob_MedDisc_Sterkte_21">GlobBerMedDisc!$AI$22</definedName>
    <definedName name="_Glob_MedDisc_Sterkte_22">GlobBerMedDisc!$AI$23</definedName>
    <definedName name="_Glob_MedDisc_Sterkte_23">GlobBerMedDisc!$AI$24</definedName>
    <definedName name="_Glob_MedDisc_Sterkte_24">GlobBerMedDisc!$AI$25</definedName>
    <definedName name="_Glob_MedDisc_Sterkte_25">GlobBerMedDisc!$AI$26</definedName>
    <definedName name="_Glob_MedDisc_Sterkte_26">GlobBerMedDisc!$AI$27</definedName>
    <definedName name="_Glob_MedDisc_Sterkte_27">GlobBerMedDisc!$AI$28</definedName>
    <definedName name="_Glob_MedDisc_Sterkte_28">GlobBerMedDisc!$AI$29</definedName>
    <definedName name="_Glob_MedDisc_Sterkte_29">GlobBerMedDisc!$AI$30</definedName>
    <definedName name="_Glob_MedDisc_Sterkte_30">GlobBerMedDisc!$AI$31</definedName>
    <definedName name="_Glob_MedDisc_SterkteEenh_01">GlobBerMedDisc!$AJ$2</definedName>
    <definedName name="_Glob_MedDisc_SterkteEenh_02">GlobBerMedDisc!$AJ$3</definedName>
    <definedName name="_Glob_MedDisc_SterkteEenh_03">GlobBerMedDisc!$AJ$4</definedName>
    <definedName name="_Glob_MedDisc_SterkteEenh_04">GlobBerMedDisc!$AJ$5</definedName>
    <definedName name="_Glob_MedDisc_SterkteEenh_05">GlobBerMedDisc!$AJ$6</definedName>
    <definedName name="_Glob_MedDisc_SterkteEenh_06">GlobBerMedDisc!$AJ$7</definedName>
    <definedName name="_Glob_MedDisc_SterkteEenh_07">GlobBerMedDisc!$AJ$8</definedName>
    <definedName name="_Glob_MedDisc_SterkteEenh_08">GlobBerMedDisc!$AJ$9</definedName>
    <definedName name="_Glob_MedDisc_SterkteEenh_09">GlobBerMedDisc!$AJ$10</definedName>
    <definedName name="_Glob_MedDisc_SterkteEenh_10">GlobBerMedDisc!$AJ$11</definedName>
    <definedName name="_Glob_MedDisc_SterkteEenh_11">GlobBerMedDisc!$AJ$12</definedName>
    <definedName name="_Glob_MedDisc_SterkteEenh_12">GlobBerMedDisc!$AJ$13</definedName>
    <definedName name="_Glob_MedDisc_SterkteEenh_13">GlobBerMedDisc!$AJ$14</definedName>
    <definedName name="_Glob_MedDisc_SterkteEenh_14">GlobBerMedDisc!$AJ$15</definedName>
    <definedName name="_Glob_MedDisc_SterkteEenh_15">GlobBerMedDisc!$AJ$16</definedName>
    <definedName name="_Glob_MedDisc_SterkteEenh_16">GlobBerMedDisc!$AJ$17</definedName>
    <definedName name="_Glob_MedDisc_SterkteEenh_17">GlobBerMedDisc!$AJ$18</definedName>
    <definedName name="_Glob_MedDisc_SterkteEenh_18">GlobBerMedDisc!$AJ$19</definedName>
    <definedName name="_Glob_MedDisc_SterkteEenh_19">GlobBerMedDisc!$AJ$20</definedName>
    <definedName name="_Glob_MedDisc_SterkteEenh_20">GlobBerMedDisc!$AJ$21</definedName>
    <definedName name="_Glob_MedDisc_SterkteEenh_21">GlobBerMedDisc!$AJ$22</definedName>
    <definedName name="_Glob_MedDisc_SterkteEenh_22">GlobBerMedDisc!$AJ$23</definedName>
    <definedName name="_Glob_MedDisc_SterkteEenh_23">GlobBerMedDisc!$AJ$24</definedName>
    <definedName name="_Glob_MedDisc_SterkteEenh_24">GlobBerMedDisc!$AJ$25</definedName>
    <definedName name="_Glob_MedDisc_SterkteEenh_25">GlobBerMedDisc!$AJ$26</definedName>
    <definedName name="_Glob_MedDisc_SterkteEenh_26">GlobBerMedDisc!$AJ$27</definedName>
    <definedName name="_Glob_MedDisc_SterkteEenh_27">GlobBerMedDisc!$AJ$28</definedName>
    <definedName name="_Glob_MedDisc_SterkteEenh_28">GlobBerMedDisc!$AJ$29</definedName>
    <definedName name="_Glob_MedDisc_SterkteEenh_29">GlobBerMedDisc!$AJ$30</definedName>
    <definedName name="_Glob_MedDisc_SterkteEenh_30">GlobBerMedDisc!$AJ$31</definedName>
    <definedName name="_Glob_MedDisc_Tijden_01">GlobBerMedDisc!$I$2</definedName>
    <definedName name="_Glob_MedDisc_Tijden_02">GlobBerMedDisc!$I$3</definedName>
    <definedName name="_Glob_MedDisc_Tijden_03">GlobBerMedDisc!$I$4</definedName>
    <definedName name="_Glob_MedDisc_Tijden_04">GlobBerMedDisc!$I$5</definedName>
    <definedName name="_Glob_MedDisc_Tijden_05">GlobBerMedDisc!$I$6</definedName>
    <definedName name="_Glob_MedDisc_Tijden_06">GlobBerMedDisc!$I$7</definedName>
    <definedName name="_Glob_MedDisc_Tijden_07">GlobBerMedDisc!$I$8</definedName>
    <definedName name="_Glob_MedDisc_Tijden_08">GlobBerMedDisc!$I$9</definedName>
    <definedName name="_Glob_MedDisc_Tijden_09">GlobBerMedDisc!$I$10</definedName>
    <definedName name="_Glob_MedDisc_Tijden_10">GlobBerMedDisc!$I$11</definedName>
    <definedName name="_Glob_MedDisc_Tijden_11">GlobBerMedDisc!$I$12</definedName>
    <definedName name="_Glob_MedDisc_Tijden_12">GlobBerMedDisc!$I$13</definedName>
    <definedName name="_Glob_MedDisc_Tijden_13">GlobBerMedDisc!$I$14</definedName>
    <definedName name="_Glob_MedDisc_Tijden_14">GlobBerMedDisc!$I$15</definedName>
    <definedName name="_Glob_MedDisc_Tijden_15">GlobBerMedDisc!$I$16</definedName>
    <definedName name="_Glob_MedDisc_Tijden_16">GlobBerMedDisc!$I$17</definedName>
    <definedName name="_Glob_MedDisc_Tijden_17">GlobBerMedDisc!$I$18</definedName>
    <definedName name="_Glob_MedDisc_Tijden_18">GlobBerMedDisc!$I$19</definedName>
    <definedName name="_Glob_MedDisc_Tijden_19">GlobBerMedDisc!$I$20</definedName>
    <definedName name="_Glob_MedDisc_Tijden_20">GlobBerMedDisc!$I$21</definedName>
    <definedName name="_Glob_MedDisc_Tijden_21">GlobBerMedDisc!$I$22</definedName>
    <definedName name="_Glob_MedDisc_Tijden_22">GlobBerMedDisc!$I$23</definedName>
    <definedName name="_Glob_MedDisc_Tijden_23">GlobBerMedDisc!$I$24</definedName>
    <definedName name="_Glob_MedDisc_Tijden_24">GlobBerMedDisc!$I$25</definedName>
    <definedName name="_Glob_MedDisc_Tijden_25">GlobBerMedDisc!$I$26</definedName>
    <definedName name="_Glob_MedDisc_Tijden_26">GlobBerMedDisc!$I$27</definedName>
    <definedName name="_Glob_MedDisc_Tijden_27">GlobBerMedDisc!$I$28</definedName>
    <definedName name="_Glob_MedDisc_Tijden_28">GlobBerMedDisc!$I$29</definedName>
    <definedName name="_Glob_MedDisc_Tijden_29">GlobBerMedDisc!$I$30</definedName>
    <definedName name="_Glob_MedDisc_Tijden_30">GlobBerMedDisc!$I$31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Neo_1700_ArtLijn">NeoDataInfB!$D$2</definedName>
    <definedName name="_Neo_1700_Arts">NeoDataInfB!$D$3</definedName>
    <definedName name="_Neo_1700_DagKeuze">NeoDataInfB!$D$4</definedName>
    <definedName name="_Neo_1700_Fototherapie">NeoDataInfB!$D$5</definedName>
    <definedName name="_Neo_1700_Frequentie_1">NeoDataInfB!$D$6</definedName>
    <definedName name="_Neo_1700_Frequentie_2">NeoDataInfB!$D$7</definedName>
    <definedName name="_Neo_1700_GlucSterkte">NeoDataInfB!$D$8</definedName>
    <definedName name="_Neo_1700_Hoeveelheid_1">NeoDataInfB!$D$9</definedName>
    <definedName name="_Neo_1700_Hoeveelheid_2">NeoDataInfB!$D$10</definedName>
    <definedName name="_Neo_1700_IntakePerKg">NeoDataInfB!$D$11</definedName>
    <definedName name="_Neo_1700_IntraLipid">NeoDataInfB!$D$12</definedName>
    <definedName name="_Neo_1700_IntralipidSmof">NeoDataInfB!$D$13</definedName>
    <definedName name="_Neo_1700_KCl">NeoDataInfB!$D$14</definedName>
    <definedName name="_Neo_1700_Medicament_1">NeoDataInfB!$D$15</definedName>
    <definedName name="_Neo_1700_Medicament_2">NeoDataInfB!$D$16</definedName>
    <definedName name="_Neo_1700_Medicament_3">NeoDataInfB!$D$17</definedName>
    <definedName name="_Neo_1700_Medicament_4">NeoDataInfB!$D$18</definedName>
    <definedName name="_Neo_1700_Medicament_5">NeoDataInfB!$D$19</definedName>
    <definedName name="_Neo_1700_Medicament_6">NeoDataInfB!$D$20</definedName>
    <definedName name="_Neo_1700_Medicament_7">NeoDataInfB!$D$21</definedName>
    <definedName name="_Neo_1700_Medicament_8">NeoDataInfB!$D$22</definedName>
    <definedName name="_Neo_1700_Medicament_9">NeoDataInfB!$D$23</definedName>
    <definedName name="_Neo_1700_MedSterkte_1">NeoDataInfB!$D$24</definedName>
    <definedName name="_Neo_1700_MedSterkte_2">NeoDataInfB!$D$25</definedName>
    <definedName name="_Neo_1700_MedSterkte_3">NeoDataInfB!$D$26</definedName>
    <definedName name="_Neo_1700_MedSterkte_4">NeoDataInfB!$D$27</definedName>
    <definedName name="_Neo_1700_MedSterkte_5">NeoDataInfB!$D$28</definedName>
    <definedName name="_Neo_1700_MedSterkte_6">NeoDataInfB!$D$29</definedName>
    <definedName name="_Neo_1700_MedSterkte_7">NeoDataInfB!$D$30</definedName>
    <definedName name="_Neo_1700_MedSterkte_8">NeoDataInfB!$D$31</definedName>
    <definedName name="_Neo_1700_MedSterkte_9">NeoDataInfB!$D$32</definedName>
    <definedName name="_Neo_1700_MedTekst_1">NeoDataInfB!$D$33</definedName>
    <definedName name="_Neo_1700_MedTekst_2">NeoDataInfB!$D$34</definedName>
    <definedName name="_Neo_1700_MgCl2">NeoDataInfB!$D$35</definedName>
    <definedName name="_Neo_1700_NICUMix">NeoDataInfB!$D$36</definedName>
    <definedName name="_Neo_1700_OplHoev_1">NeoDataInfB!$D$37</definedName>
    <definedName name="_Neo_1700_OplHoev_2">NeoDataInfB!$D$38</definedName>
    <definedName name="_Neo_1700_OplHoev_3">NeoDataInfB!$D$39</definedName>
    <definedName name="_Neo_1700_OplHoev_4">NeoDataInfB!$D$40</definedName>
    <definedName name="_Neo_1700_OplHoev_5">NeoDataInfB!$D$41</definedName>
    <definedName name="_Neo_1700_OplHoev_6">NeoDataInfB!$D$42</definedName>
    <definedName name="_Neo_1700_OplHoev_7">NeoDataInfB!$D$43</definedName>
    <definedName name="_Neo_1700_OplHoev_8">NeoDataInfB!$D$44</definedName>
    <definedName name="_Neo_1700_OplHoev_9">NeoDataInfB!$D$45</definedName>
    <definedName name="_Neo_1700_Oplossing_01">NeoDataInfB!$D$46</definedName>
    <definedName name="_Neo_1700_Oplossing_02">NeoDataInfB!$D$47</definedName>
    <definedName name="_Neo_1700_Oplossing_03">NeoDataInfB!$D$48</definedName>
    <definedName name="_Neo_1700_Oplossing_04">NeoDataInfB!$D$49</definedName>
    <definedName name="_Neo_1700_Oplossing_05">NeoDataInfB!$D$50</definedName>
    <definedName name="_Neo_1700_Oplossing_06">NeoDataInfB!$D$51</definedName>
    <definedName name="_Neo_1700_Oplossing_07">NeoDataInfB!$D$52</definedName>
    <definedName name="_Neo_1700_Oplossing_08">NeoDataInfB!$D$53</definedName>
    <definedName name="_Neo_1700_Oplossing_09">NeoDataInfB!$D$54</definedName>
    <definedName name="_Neo_1700_Oplossing_10">NeoDataInfB!$D$55</definedName>
    <definedName name="_Neo_1700_Oplossing_11">NeoDataInfB!$D$56</definedName>
    <definedName name="_Neo_1700_Oplossing_12">NeoDataInfB!$D$57</definedName>
    <definedName name="_Neo_1700_Parenteraal">NeoDataInfB!$D$58</definedName>
    <definedName name="_Neo_1700_PercentageKeuze_0">NeoDataInfB!$D$59</definedName>
    <definedName name="_Neo_1700_PercentageKeuze_1">NeoDataInfB!$D$60</definedName>
    <definedName name="_Neo_1700_PercentageKeuze_2">NeoDataInfB!$D$61</definedName>
    <definedName name="_Neo_1700_PercentageKeuze_3">NeoDataInfB!$D$62</definedName>
    <definedName name="_Neo_1700_PercentageKeuze_4">NeoDataInfB!$D$63</definedName>
    <definedName name="_Neo_1700_PercentageKeuze_5">NeoDataInfB!$D$64</definedName>
    <definedName name="_Neo_1700_PercentageKeuze_6">NeoDataInfB!$D$65</definedName>
    <definedName name="_Neo_1700_PercentageKeuze_7">NeoDataInfB!$D$66</definedName>
    <definedName name="_Neo_1700_PercentageKeuze_8">NeoDataInfB!$D$67</definedName>
    <definedName name="_Neo_1700_Primene">NeoDataInfB!$D$68</definedName>
    <definedName name="_Neo_1700_SoluVit">NeoDataInfB!$D$69</definedName>
    <definedName name="_Neo_1700_SSTB">NeoDataInfB!$D$70</definedName>
    <definedName name="_Neo_1700_Stand_01">NeoDataInfB!$D$71</definedName>
    <definedName name="_Neo_1700_Stand_02">NeoDataInfB!$D$72</definedName>
    <definedName name="_Neo_1700_Stand_03">NeoDataInfB!$D$73</definedName>
    <definedName name="_Neo_1700_Stand_04">NeoDataInfB!$D$74</definedName>
    <definedName name="_Neo_1700_Stand_05">NeoDataInfB!$D$75</definedName>
    <definedName name="_Neo_1700_Stand_06">NeoDataInfB!$D$76</definedName>
    <definedName name="_Neo_1700_Stand_07">NeoDataInfB!$D$77</definedName>
    <definedName name="_Neo_1700_Stand_08">NeoDataInfB!$D$78</definedName>
    <definedName name="_Neo_1700_Stand_09">NeoDataInfB!$D$79</definedName>
    <definedName name="_Neo_1700_Stand_10">NeoDataInfB!$D$80</definedName>
    <definedName name="_Neo_1700_Stand_11">NeoDataInfB!$D$81</definedName>
    <definedName name="_Neo_1700_Stand_12">NeoDataInfB!$D$82</definedName>
    <definedName name="_Neo_1700_Sterkte_1">NeoDataInfB!$D$83</definedName>
    <definedName name="_Neo_1700_Sterkte_2">NeoDataInfB!$D$84</definedName>
    <definedName name="_Neo_1700_Sterkte_3">NeoDataInfB!$D$85</definedName>
    <definedName name="_Neo_1700_Sterkte_4">NeoDataInfB!$D$86</definedName>
    <definedName name="_Neo_1700_Sterkte_5">NeoDataInfB!$D$87</definedName>
    <definedName name="_Neo_1700_Sterkte_6">NeoDataInfB!$D$88</definedName>
    <definedName name="_Neo_1700_Sterkte_7">NeoDataInfB!$D$89</definedName>
    <definedName name="_Neo_1700_Sterkte_8">NeoDataInfB!$D$90</definedName>
    <definedName name="_Neo_1700_Sterkte_9">NeoDataInfB!$D$91</definedName>
    <definedName name="_Neo_1700_Supervisor">NeoDataInfB!$D$92</definedName>
    <definedName name="_Neo_1700_Toevoeging_0">NeoDataInfB!$D$93</definedName>
    <definedName name="_Neo_1700_Toevoeging_1">NeoDataInfB!$D$94</definedName>
    <definedName name="_Neo_1700_Toevoeging_2">NeoDataInfB!$D$95</definedName>
    <definedName name="_Neo_1700_Toevoeging_3">NeoDataInfB!$D$96</definedName>
    <definedName name="_Neo_1700_Toevoeging_4">NeoDataInfB!$D$97</definedName>
    <definedName name="_Neo_1700_Toevoeging_5">NeoDataInfB!$D$98</definedName>
    <definedName name="_Neo_1700_Toevoeging_6">NeoDataInfB!$D$99</definedName>
    <definedName name="_Neo_1700_Toevoeging_7">NeoDataInfB!$D$100</definedName>
    <definedName name="_Neo_1700_Toevoeging_8">NeoDataInfB!$D$101</definedName>
    <definedName name="_Neo_1700_TPNCaCl2">NeoDataInfB!$D$102</definedName>
    <definedName name="_Neo_1700_TPNNacl">NeoDataInfB!$D$103</definedName>
    <definedName name="_Neo_1700_VochtExtra_01">NeoDataInfB!$D$104</definedName>
    <definedName name="_Neo_1700_VochtExtra_02">NeoDataInfB!$D$105</definedName>
    <definedName name="_Neo_1700_VochtExtra_03">NeoDataInfB!$D$106</definedName>
    <definedName name="_Neo_1700_VochtExtra_04">NeoDataInfB!$D$107</definedName>
    <definedName name="_Neo_1700_VochtExtra_05">NeoDataInfB!$D$108</definedName>
    <definedName name="_Neo_1700_VochtExtra_06">NeoDataInfB!$D$109</definedName>
    <definedName name="_Neo_1700_VochtExtra_07">NeoDataInfB!$D$110</definedName>
    <definedName name="_Neo_1700_VochtExtra_08">NeoDataInfB!$D$111</definedName>
    <definedName name="_Neo_1700_VochtExtra_09">NeoDataInfB!$D$112</definedName>
    <definedName name="_Neo_1700_VochtExtra_10">NeoDataInfB!$D$113</definedName>
    <definedName name="_Neo_1700_VochtExtra_11">NeoDataInfB!$D$114</definedName>
    <definedName name="_Neo_1700_VochtExtra_12">NeoDataInfB!$D$115</definedName>
    <definedName name="_Neo_1700_VochtExtra_13">NeoDataInfB!$D$116</definedName>
    <definedName name="_Neo_1700_VochtExtra_14">NeoDataInfB!$D$117</definedName>
    <definedName name="_Neo_1700_Voeding">NeoDataInfB!$D$118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Tekst">NeoBerAfspr!$G$31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ArtLijn">NeoDataInfB!$B$2</definedName>
    <definedName name="_Neo_InfB_Arts">NeoDataInfB!$B$3</definedName>
    <definedName name="_Neo_InfB_DagKeuze">NeoDataInfB!$B$4</definedName>
    <definedName name="_Neo_InfB_Fototherapie">NeoDataInfB!$B$5</definedName>
    <definedName name="_Neo_InfB_Frequentie_1">NeoDataInfB!$B$6</definedName>
    <definedName name="_Neo_InfB_Frequentie_2">NeoDataInfB!$B$7</definedName>
    <definedName name="_Neo_InfB_GlucSterkte">NeoDataInfB!$B$8</definedName>
    <definedName name="_Neo_InfB_Hoeveelheid_1">NeoDataInfB!$B$9</definedName>
    <definedName name="_Neo_InfB_Hoeveelheid_2">NeoDataInfB!$B$10</definedName>
    <definedName name="_Neo_InfB_IntakePerKg">NeoDataInfB!$B$11</definedName>
    <definedName name="_Neo_InfB_IntraLipid">NeoDataInfB!$B$12</definedName>
    <definedName name="_Neo_InfB_IntralipidSmof">NeoDataInfB!$B$13</definedName>
    <definedName name="_Neo_InfB_KCl">NeoDataInfB!$B$14</definedName>
    <definedName name="_Neo_InfB_Medicament_1">NeoDataInfB!$B$15</definedName>
    <definedName name="_Neo_InfB_Medicament_2">NeoDataInfB!$B$16</definedName>
    <definedName name="_Neo_InfB_Medicament_3">NeoDataInfB!$B$17</definedName>
    <definedName name="_Neo_InfB_Medicament_4">NeoDataInfB!$B$18</definedName>
    <definedName name="_Neo_InfB_Medicament_5">NeoDataInfB!$B$19</definedName>
    <definedName name="_Neo_InfB_Medicament_6">NeoDataInfB!$B$20</definedName>
    <definedName name="_Neo_InfB_Medicament_7">NeoDataInfB!$B$21</definedName>
    <definedName name="_Neo_InfB_Medicament_8">NeoDataInfB!$B$22</definedName>
    <definedName name="_Neo_InfB_Medicament_9">NeoDataInfB!$B$23</definedName>
    <definedName name="_Neo_InfB_MedSterkte_1">NeoDataInfB!$B$24</definedName>
    <definedName name="_Neo_InfB_MedSterkte_2">NeoDataInfB!$B$25</definedName>
    <definedName name="_Neo_InfB_MedSterkte_3">NeoDataInfB!$B$26</definedName>
    <definedName name="_Neo_InfB_MedSterkte_4">NeoDataInfB!$B$27</definedName>
    <definedName name="_Neo_InfB_MedSterkte_5">NeoDataInfB!$B$28</definedName>
    <definedName name="_Neo_InfB_MedSterkte_6">NeoDataInfB!$B$29</definedName>
    <definedName name="_Neo_InfB_MedSterkte_7">NeoDataInfB!$B$30</definedName>
    <definedName name="_Neo_InfB_MedSterkte_8">NeoDataInfB!$B$31</definedName>
    <definedName name="_Neo_InfB_MedSterkte_9">NeoDataInfB!$B$32</definedName>
    <definedName name="_Neo_InfB_MedTekst_1">NeoDataInfB!$B$33</definedName>
    <definedName name="_Neo_InfB_MedTekst_2">NeoDataInfB!$B$34</definedName>
    <definedName name="_Neo_InfB_MgCl2">NeoDataInfB!$B$35</definedName>
    <definedName name="_Neo_InfB_NICUMix">NeoDataInfB!$B$36</definedName>
    <definedName name="_Neo_InfB_OplHoev_1">NeoDataInfB!$B$37</definedName>
    <definedName name="_Neo_InfB_OplHoev_2">NeoDataInfB!$B$38</definedName>
    <definedName name="_Neo_InfB_OplHoev_3">NeoDataInfB!$B$39</definedName>
    <definedName name="_Neo_InfB_OplHoev_4">NeoDataInfB!$B$40</definedName>
    <definedName name="_Neo_InfB_OplHoev_5">NeoDataInfB!$B$41</definedName>
    <definedName name="_Neo_InfB_OplHoev_6">NeoDataInfB!$B$42</definedName>
    <definedName name="_Neo_InfB_OplHoev_7">NeoDataInfB!$B$43</definedName>
    <definedName name="_Neo_InfB_OplHoev_8">NeoDataInfB!$B$44</definedName>
    <definedName name="_Neo_InfB_OplHoev_9">NeoDataInfB!$B$45</definedName>
    <definedName name="_Neo_InfB_Oplossing_01">NeoDataInfB!$B$46</definedName>
    <definedName name="_Neo_InfB_Oplossing_02">NeoDataInfB!$B$47</definedName>
    <definedName name="_Neo_InfB_Oplossing_03">NeoDataInfB!$B$48</definedName>
    <definedName name="_Neo_InfB_Oplossing_04">NeoDataInfB!$B$49</definedName>
    <definedName name="_Neo_InfB_Oplossing_05">NeoDataInfB!$B$50</definedName>
    <definedName name="_Neo_InfB_Oplossing_06">NeoDataInfB!$B$51</definedName>
    <definedName name="_Neo_InfB_Oplossing_07">NeoDataInfB!$B$52</definedName>
    <definedName name="_Neo_InfB_Oplossing_08">NeoDataInfB!$B$53</definedName>
    <definedName name="_Neo_InfB_Oplossing_09">NeoDataInfB!$B$54</definedName>
    <definedName name="_Neo_InfB_Oplossing_10">NeoDataInfB!$B$55</definedName>
    <definedName name="_Neo_InfB_Oplossing_11">NeoDataInfB!$B$56</definedName>
    <definedName name="_Neo_InfB_Oplossing_12">NeoDataInfB!$B$57</definedName>
    <definedName name="_Neo_InfB_Parenteraal">NeoDataInfB!$B$58</definedName>
    <definedName name="_Neo_InfB_PercentageKeuze_0">NeoDataInfB!$B$59</definedName>
    <definedName name="_Neo_InfB_PercentageKeuze_1">NeoDataInfB!$B$60</definedName>
    <definedName name="_Neo_InfB_PercentageKeuze_2">NeoDataInfB!$B$61</definedName>
    <definedName name="_Neo_InfB_PercentageKeuze_3">NeoDataInfB!$B$62</definedName>
    <definedName name="_Neo_InfB_PercentageKeuze_4">NeoDataInfB!$B$63</definedName>
    <definedName name="_Neo_InfB_PercentageKeuze_5">NeoDataInfB!$B$64</definedName>
    <definedName name="_Neo_InfB_PercentageKeuze_6">NeoDataInfB!$B$65</definedName>
    <definedName name="_Neo_InfB_PercentageKeuze_7">NeoDataInfB!$B$66</definedName>
    <definedName name="_Neo_InfB_PercentageKeuze_8">NeoDataInfB!$B$67</definedName>
    <definedName name="_Neo_InfB_Primene">NeoDataInfB!$B$68</definedName>
    <definedName name="_Neo_InfB_SoluVit">NeoDataInfB!$B$69</definedName>
    <definedName name="_Neo_InfB_SSTB">NeoDataInfB!$B$70</definedName>
    <definedName name="_Neo_InfB_Stand_01">NeoDataInfB!$B$71</definedName>
    <definedName name="_Neo_InfB_Stand_02">NeoDataInfB!$B$72</definedName>
    <definedName name="_Neo_InfB_Stand_03">NeoDataInfB!$B$73</definedName>
    <definedName name="_Neo_InfB_Stand_04">NeoDataInfB!$B$74</definedName>
    <definedName name="_Neo_InfB_Stand_05">NeoDataInfB!$B$75</definedName>
    <definedName name="_Neo_InfB_Stand_06">NeoDataInfB!$B$76</definedName>
    <definedName name="_Neo_InfB_Stand_07">NeoDataInfB!$B$77</definedName>
    <definedName name="_Neo_InfB_Stand_08">NeoDataInfB!$B$78</definedName>
    <definedName name="_Neo_InfB_Stand_09">NeoDataInfB!$B$79</definedName>
    <definedName name="_Neo_InfB_Stand_10">NeoDataInfB!$B$80</definedName>
    <definedName name="_Neo_InfB_Stand_11">NeoDataInfB!$B$81</definedName>
    <definedName name="_Neo_InfB_Stand_12">NeoDataInfB!$B$82</definedName>
    <definedName name="_Neo_InfB_Sterkte_1">NeoDataInfB!$B$83</definedName>
    <definedName name="_Neo_InfB_Sterkte_2">NeoDataInfB!$B$84</definedName>
    <definedName name="_Neo_InfB_Sterkte_3">NeoDataInfB!$B$85</definedName>
    <definedName name="_Neo_InfB_Sterkte_4">NeoDataInfB!$B$86</definedName>
    <definedName name="_Neo_InfB_Sterkte_5">NeoDataInfB!$B$87</definedName>
    <definedName name="_Neo_InfB_Sterkte_6">NeoDataInfB!$B$88</definedName>
    <definedName name="_Neo_InfB_Sterkte_7">NeoDataInfB!$B$89</definedName>
    <definedName name="_Neo_InfB_Sterkte_8">NeoDataInfB!$B$90</definedName>
    <definedName name="_Neo_InfB_Sterkte_9">NeoDataInfB!$B$91</definedName>
    <definedName name="_Neo_InfB_Supervisor">NeoDataInfB!$B$92</definedName>
    <definedName name="_Neo_InfB_Toevoeging_0">NeoDataInfB!$B$93</definedName>
    <definedName name="_Neo_InfB_Toevoeging_1">NeoDataInfB!$B$94</definedName>
    <definedName name="_Neo_InfB_Toevoeging_2">NeoDataInfB!$B$95</definedName>
    <definedName name="_Neo_InfB_Toevoeging_3">NeoDataInfB!$B$96</definedName>
    <definedName name="_Neo_InfB_Toevoeging_4">NeoDataInfB!$B$97</definedName>
    <definedName name="_Neo_InfB_Toevoeging_5">NeoDataInfB!$B$98</definedName>
    <definedName name="_Neo_InfB_Toevoeging_6">NeoDataInfB!$B$99</definedName>
    <definedName name="_Neo_InfB_Toevoeging_7">NeoDataInfB!$B$100</definedName>
    <definedName name="_Neo_InfB_Toevoeging_8">NeoDataInfB!$B$101</definedName>
    <definedName name="_Neo_InfB_TPNCaCl2">NeoDataInfB!$B$102</definedName>
    <definedName name="_Neo_InfB_TPNNacl">NeoDataInfB!$B$103</definedName>
    <definedName name="_Neo_InfB_VochtExtra_01">NeoDataInfB!$B$104</definedName>
    <definedName name="_Neo_InfB_VochtExtra_02">NeoDataInfB!$B$105</definedName>
    <definedName name="_Neo_InfB_VochtExtra_03">NeoDataInfB!$B$106</definedName>
    <definedName name="_Neo_InfB_VochtExtra_04">NeoDataInfB!$B$107</definedName>
    <definedName name="_Neo_InfB_VochtExtra_05">NeoDataInfB!$B$108</definedName>
    <definedName name="_Neo_InfB_VochtExtra_06">NeoDataInfB!$B$109</definedName>
    <definedName name="_Neo_InfB_VochtExtra_07">NeoDataInfB!$B$110</definedName>
    <definedName name="_Neo_InfB_VochtExtra_08">NeoDataInfB!$B$111</definedName>
    <definedName name="_Neo_InfB_VochtExtra_09">NeoDataInfB!$B$112</definedName>
    <definedName name="_Neo_InfB_VochtExtra_10">NeoDataInfB!$B$113</definedName>
    <definedName name="_Neo_InfB_VochtExtra_11">NeoDataInfB!$B$114</definedName>
    <definedName name="_Neo_InfB_VochtExtra_12">NeoDataInfB!$B$115</definedName>
    <definedName name="_Neo_InfB_VochtExtra_13">NeoDataInfB!$B$116</definedName>
    <definedName name="_Neo_InfB_VochtExtra_14">NeoDataInfB!$B$117</definedName>
    <definedName name="_Neo_InfB_Voeding">NeoDataInfB!$B$118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Dagen">NeoBerInfB!$D$5</definedName>
    <definedName name="_Pat_GebGew">PatDetails!$B$8</definedName>
    <definedName name="_Pat_Gewicht">PatDetails!$B$6</definedName>
    <definedName name="_Pat_Lengte">PatDetails!$B$7</definedName>
    <definedName name="_Pat_OpnDatum">PatDetails!$B$9</definedName>
    <definedName name="_Pat_Weken">NeoBerInfB!$D$4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PedBerEnt!$J$2</definedName>
    <definedName name="_Ped_Ent_Freq_2">PedBerEnt!$J$3</definedName>
    <definedName name="_Ped_Ent_Freq_3">PedBerEnt!$J$4</definedName>
    <definedName name="_Ped_Ent_Freq_4">PedBerEnt!$J$5</definedName>
    <definedName name="_Ped_Ent_Keuze_1">PedBerEnt!$N$2</definedName>
    <definedName name="_Ped_Ent_Keuze_2">PedBerEnt!$N$3</definedName>
    <definedName name="_Ped_Ent_Keuze_3">PedBerEnt!$N$4</definedName>
    <definedName name="_Ped_Ent_Keuze_4">PedBerEnt!$N$5</definedName>
    <definedName name="_Ped_Ent_Opm">PedBerEnt!$C$16</definedName>
    <definedName name="_Ped_Ent_Sonde">PedBerEnt!$O$2</definedName>
    <definedName name="_Ped_Ent_Speciale_01">PedBerEnt!$H$2</definedName>
    <definedName name="_Ped_Ent_Speciale_02">PedBerEnt!$H$3</definedName>
    <definedName name="_Ped_Ent_Speciale_03">PedBerEnt!$H$4</definedName>
    <definedName name="_Ped_Ent_Speciale_04">PedBerEnt!$H$5</definedName>
    <definedName name="_Ped_Ent_Speciale_05">PedBerEnt!$H$6</definedName>
    <definedName name="_Ped_Ent_Speciale_06">PedBerEnt!$H$7</definedName>
    <definedName name="_Ped_Ent_Speciale_07">PedBerEnt!$H$8</definedName>
    <definedName name="_Ped_Ent_Speciale_08">PedBerEnt!$H$9</definedName>
    <definedName name="_Ped_Ent_Speciale_09">PedBerEnt!$H$10</definedName>
    <definedName name="_Ped_Ent_Speciale_10">PedBerEnt!$H$11</definedName>
    <definedName name="_Ped_Ent_Speciale_11">PedBerEnt!$H$12</definedName>
    <definedName name="_Ped_Ent_Speciale_12">PedBerEnt!$H$13</definedName>
    <definedName name="_Ped_Ent_Vol_1">PedBerEnt!$K$2</definedName>
    <definedName name="_Ped_Ent_Vol_2">PedBerEnt!$K$3</definedName>
    <definedName name="_Ped_Ent_Vol_3">PedBerEnt!$K$4</definedName>
    <definedName name="_Ped_Ent_Vol_4">PedBerEnt!$K$5</definedName>
    <definedName name="_Ped_IVLijn_1">PedBerIVenPM!$B$2</definedName>
    <definedName name="_Ped_IVLijn_2">PedBerIVenPM!$B$3</definedName>
    <definedName name="_Ped_IVLijn_3">PedBerIVenPM!$B$4</definedName>
    <definedName name="_Ped_IVLijn_4">PedBerIVenPM!$B$5</definedName>
    <definedName name="_Ped_IVLijn_5">PedBerIVenPM!$B$6</definedName>
    <definedName name="_Ped_IVLijn_6">PedBerIVenPM!$B$7</definedName>
    <definedName name="_Ped_IVLijn_Opm">PedBerIVenPM!$B$9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GlobBerOpm!$B$5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MedIV_Keuze_01">PedBerMedIV!$B$3</definedName>
    <definedName name="_Ped_MedIV_Keuze_02">PedBerMedIV!$B$4</definedName>
    <definedName name="_Ped_MedIV_Keuze_03">PedBerMedIV!$B$5</definedName>
    <definedName name="_Ped_MedIV_Keuze_04">PedBerMedIV!$B$6</definedName>
    <definedName name="_Ped_MedIV_Keuze_05">PedBerMedIV!$B$7</definedName>
    <definedName name="_Ped_MedIV_Keuze_06">PedBerMedIV!$B$8</definedName>
    <definedName name="_Ped_MedIV_Keuze_07">PedBerMedIV!$B$9</definedName>
    <definedName name="_Ped_MedIV_Keuze_08">PedBerMedIV!$B$10</definedName>
    <definedName name="_Ped_MedIV_Keuze_09">PedBerMedIV!$B$11</definedName>
    <definedName name="_Ped_MedIV_Keuze_10">PedBerMedIV!$B$12</definedName>
    <definedName name="_Ped_MedIV_Keuze_11">PedBerMedIV!$B$13</definedName>
    <definedName name="_Ped_MedIV_Keuze_12">PedBerMedIV!$B$14</definedName>
    <definedName name="_Ped_MedIV_Keuze_13">PedBerMedIV!$B$15</definedName>
    <definedName name="_Ped_MedIV_Keuze_14">PedBerMedIV!$B$16</definedName>
    <definedName name="_Ped_MedIV_Keuze_15">PedBerMedIV!$B$17</definedName>
    <definedName name="_Ped_MedIV_Keuze_16">PedBerMedIV!$B$18</definedName>
    <definedName name="_Ped_MedIV_Keuze_17">PedBerMedIV!$B$19</definedName>
    <definedName name="_Ped_MedIV_Keuze_18">PedBerMedIV!$B$20</definedName>
    <definedName name="_Ped_MedIV_Keuze_19">PedBerMedIV!$B$21</definedName>
    <definedName name="_Ped_MedIV_Keuze_20">PedBerMedIV!$B$22</definedName>
    <definedName name="_Ped_MedIV_OplVlst_01">PedBerMedIV!$I$3</definedName>
    <definedName name="_Ped_MedIV_OplVlst_02">PedBerMedIV!$I$4</definedName>
    <definedName name="_Ped_MedIV_OplVlst_03">PedBerMedIV!$I$5</definedName>
    <definedName name="_Ped_MedIV_OplVlst_04">PedBerMedIV!$I$6</definedName>
    <definedName name="_Ped_MedIV_OplVlst_05">PedBerMedIV!$I$7</definedName>
    <definedName name="_Ped_MedIV_OplVlst_06">PedBerMedIV!$I$8</definedName>
    <definedName name="_Ped_MedIV_OplVlst_07">PedBerMedIV!$I$9</definedName>
    <definedName name="_Ped_MedIV_OplVlst_08">PedBerMedIV!$I$10</definedName>
    <definedName name="_Ped_MedIV_OplVlst_09">PedBerMedIV!$I$11</definedName>
    <definedName name="_Ped_MedIV_OplVlst_10">PedBerMedIV!$I$12</definedName>
    <definedName name="_Ped_MedIV_OplVlst_11">PedBerMedIV!$I$13</definedName>
    <definedName name="_Ped_MedIV_OplVlst_12">PedBerMedIV!$I$14</definedName>
    <definedName name="_Ped_MedIV_OplVlst_13">PedBerMedIV!$I$15</definedName>
    <definedName name="_Ped_MedIV_OplVlst_14">PedBerMedIV!$I$16</definedName>
    <definedName name="_Ped_MedIV_OplVlst_15">PedBerMedIV!$I$17</definedName>
    <definedName name="_Ped_MedIV_OplVlst_16">PedBerMedIV!$I$18</definedName>
    <definedName name="_Ped_MedIV_OplVlst_17">PedBerMedIV!$I$19</definedName>
    <definedName name="_Ped_MedIV_OplVlst_18">PedBerMedIV!$I$20</definedName>
    <definedName name="_Ped_MedIV_OplVlst_19">PedBerMedIV!$I$21</definedName>
    <definedName name="_Ped_MedIV_OplVlst_20">PedBerMedIV!$I$22</definedName>
    <definedName name="_Ped_MedIV_OplVol_01">PedBerMedIV!$E$3</definedName>
    <definedName name="_Ped_MedIV_OplVol_02">PedBerMedIV!$E$4</definedName>
    <definedName name="_Ped_MedIV_OplVol_03">PedBerMedIV!$E$5</definedName>
    <definedName name="_Ped_MedIV_OplVol_04">PedBerMedIV!$E$6</definedName>
    <definedName name="_Ped_MedIV_OplVol_05">PedBerMedIV!$E$7</definedName>
    <definedName name="_Ped_MedIV_OplVol_06">PedBerMedIV!$E$8</definedName>
    <definedName name="_Ped_MedIV_OplVol_07">PedBerMedIV!$E$9</definedName>
    <definedName name="_Ped_MedIV_OplVol_08">PedBerMedIV!$E$10</definedName>
    <definedName name="_Ped_MedIV_OplVol_09">PedBerMedIV!$E$11</definedName>
    <definedName name="_Ped_MedIV_OplVol_10">PedBerMedIV!$E$12</definedName>
    <definedName name="_Ped_MedIV_OplVol_11">PedBerMedIV!$E$13</definedName>
    <definedName name="_Ped_MedIV_OplVol_12">PedBerMedIV!$E$14</definedName>
    <definedName name="_Ped_MedIV_OplVol_13">PedBerMedIV!$E$15</definedName>
    <definedName name="_Ped_MedIV_OplVol_14">PedBerMedIV!$E$16</definedName>
    <definedName name="_Ped_MedIV_OplVol_15">PedBerMedIV!$E$17</definedName>
    <definedName name="_Ped_MedIV_OplVol_16">PedBerMedIV!$E$18</definedName>
    <definedName name="_Ped_MedIV_OplVol_17">PedBerMedIV!$E$19</definedName>
    <definedName name="_Ped_MedIV_OplVol_18">PedBerMedIV!$E$20</definedName>
    <definedName name="_Ped_MedIV_OplVol_19">PedBerMedIV!$E$21</definedName>
    <definedName name="_Ped_MedIV_OplVol_20">PedBerMedIV!$E$22</definedName>
    <definedName name="_Ped_MedIV_Opm">GlobBerOpm!$B$3</definedName>
    <definedName name="_Ped_MedIV_Stand_01">PedBerMedIV!$J$3</definedName>
    <definedName name="_Ped_MedIV_Stand_02">PedBerMedIV!$J$4</definedName>
    <definedName name="_Ped_MedIV_Stand_03">PedBerMedIV!$J$5</definedName>
    <definedName name="_Ped_MedIV_Stand_04">PedBerMedIV!$J$6</definedName>
    <definedName name="_Ped_MedIV_Stand_05">PedBerMedIV!$J$7</definedName>
    <definedName name="_Ped_MedIV_Stand_06">PedBerMedIV!$J$8</definedName>
    <definedName name="_Ped_MedIV_Stand_07">PedBerMedIV!$J$9</definedName>
    <definedName name="_Ped_MedIV_Stand_08">PedBerMedIV!$J$10</definedName>
    <definedName name="_Ped_MedIV_Stand_09">PedBerMedIV!$J$11</definedName>
    <definedName name="_Ped_MedIV_Stand_10">PedBerMedIV!$J$12</definedName>
    <definedName name="_Ped_MedIV_Stand_11">PedBerMedIV!$J$13</definedName>
    <definedName name="_Ped_MedIV_Stand_12">PedBerMedIV!$J$14</definedName>
    <definedName name="_Ped_MedIV_Stand_13">PedBerMedIV!$J$15</definedName>
    <definedName name="_Ped_MedIV_Stand_14">PedBerMedIV!$J$16</definedName>
    <definedName name="_Ped_MedIV_Stand_15">PedBerMedIV!$J$17</definedName>
    <definedName name="_Ped_MedIV_Stand_16">PedBerMedIV!$J$18</definedName>
    <definedName name="_Ped_MedIV_Stand_17">PedBerMedIV!$J$19</definedName>
    <definedName name="_Ped_MedIV_Stand_18">PedBerMedIV!$J$20</definedName>
    <definedName name="_Ped_MedIV_Stand_19">PedBerMedIV!$J$21</definedName>
    <definedName name="_Ped_MedIV_Stand_20">PedBerMedIV!$J$22</definedName>
    <definedName name="_Ped_MedIV_Sterkte_01">PedBerMedIV!$D$3</definedName>
    <definedName name="_Ped_MedIV_Sterkte_02">PedBerMedIV!$D$4</definedName>
    <definedName name="_Ped_MedIV_Sterkte_03">PedBerMedIV!$D$5</definedName>
    <definedName name="_Ped_MedIV_Sterkte_04">PedBerMedIV!$D$6</definedName>
    <definedName name="_Ped_MedIV_Sterkte_05">PedBerMedIV!$D$7</definedName>
    <definedName name="_Ped_MedIV_Sterkte_06">PedBerMedIV!$D$8</definedName>
    <definedName name="_Ped_MedIV_Sterkte_07">PedBerMedIV!$D$9</definedName>
    <definedName name="_Ped_MedIV_Sterkte_08">PedBerMedIV!$D$10</definedName>
    <definedName name="_Ped_MedIV_Sterkte_09">PedBerMedIV!$D$11</definedName>
    <definedName name="_Ped_MedIV_Sterkte_10">PedBerMedIV!$D$12</definedName>
    <definedName name="_Ped_MedIV_Sterkte_11">PedBerMedIV!$D$13</definedName>
    <definedName name="_Ped_MedIV_Sterkte_12">PedBerMedIV!$D$14</definedName>
    <definedName name="_Ped_MedIV_Sterkte_13">PedBerMedIV!$D$15</definedName>
    <definedName name="_Ped_MedIV_Sterkte_14">PedBerMedIV!$D$16</definedName>
    <definedName name="_Ped_MedIV_Sterkte_15">PedBerMedIV!$D$17</definedName>
    <definedName name="_Ped_MedIV_Sterkte_16">PedBerMedIV!$D$18</definedName>
    <definedName name="_Ped_MedIV_Sterkte_17">PedBerMedIV!$D$19</definedName>
    <definedName name="_Ped_MedIV_Sterkte_18">PedBerMedIV!$D$20</definedName>
    <definedName name="_Ped_MedIV_Sterkte_19">PedBerMedIV!$D$21</definedName>
    <definedName name="_Ped_MedIV_Sterkte_20">PedBerMedIV!$D$22</definedName>
    <definedName name="_Ped_PM_Actief">PedBerIVenPM!$H$2</definedName>
    <definedName name="_Ped_PM_AO">PedBerIVenPM!$K$2</definedName>
    <definedName name="_Ped_PM_AS">PedBerIVenPM!$K$5</definedName>
    <definedName name="_Ped_PM_AV">PedBerIVenPM!$K$4</definedName>
    <definedName name="_Ped_PM_Freq">PedBerIVenPM!$K$1</definedName>
    <definedName name="_Ped_PM_Mod">PedBerIVenPM!$I$2</definedName>
    <definedName name="_Ped_PM_VO">PedBerIVenPM!$K$3</definedName>
    <definedName name="_Ped_PM_VS">PedBerIVenPM!$K$6</definedName>
    <definedName name="_Ped_TPN_CaCl">PedBerTPN!$C$9</definedName>
    <definedName name="_Ped_TPN_CaGlucVol">PedBerTPN!$E$9</definedName>
    <definedName name="_Ped_TPN_KCl1">PedBerTPN!$C$8</definedName>
    <definedName name="_Ped_TPN_KCl2">PedBerTPN!$C$22</definedName>
    <definedName name="_Ped_TPN_KClVol1">PedBerTPN!$E$8</definedName>
    <definedName name="_Ped_TPN_KClVol2">PedBerTPN!$E$22</definedName>
    <definedName name="_Ped_TPN_Keuze">PedBerTPN!$B$4</definedName>
    <definedName name="_Ped_TPN_KNaFosf">PedBerTPN!$C$11</definedName>
    <definedName name="_Ped_TPN_KNaFosfVol">PedBerTPN!$E$11</definedName>
    <definedName name="_Ped_TPN_LipidStand">PedBerTPN!$D$12</definedName>
    <definedName name="_Ped_TPN_MgCl">PedBerTPN!$C$10</definedName>
    <definedName name="_Ped_TPN_MgClVol">PedBerTPN!$E$10</definedName>
    <definedName name="_Ped_TPN_NaCl1">PedBerTPN!$C$7</definedName>
    <definedName name="_Ped_TPN_NaCl2">PedBerTPN!$C$21</definedName>
    <definedName name="_Ped_TPN_NaClVol1">PedBerTPN!$E$7</definedName>
    <definedName name="_Ped_TPN_NaClVol2">PedBerTPN!$E$21</definedName>
    <definedName name="_Ped_TPN_Opm">GlobBerOpm!$B$4</definedName>
    <definedName name="_Ped_TPN_PediTrace">PedBerTPN!$E$5</definedName>
    <definedName name="_Ped_TPN_SMOF">PedBerTPN!$C$16</definedName>
    <definedName name="_Ped_TPN_Soluvit">PedBerTPN!$C$15</definedName>
    <definedName name="_Ped_TPN_SoluvitVol">PedBerTPN!$E$15</definedName>
    <definedName name="_Ped_TPN_SST1Keuze">PedBerTPN!$B$6</definedName>
    <definedName name="_Ped_TPN_SST1Stand">PedBerTPN!$D$3</definedName>
    <definedName name="_Ped_TPN_SST2Keuze">PedBerTPN!$B$20</definedName>
    <definedName name="_Ped_TPN_SST2Stand">PedBerTPN!$D$19</definedName>
    <definedName name="_Ped_TPN_VitIntra">PedBerTPN!$C$14</definedName>
    <definedName name="_Ped_TPN_VitIntraVol">PedBerTPN!$E$14</definedName>
    <definedName name="_Ped_TPN_Vol">PedBerTPN!$E$4</definedName>
    <definedName name="_xlnm.Print_Area" localSheetId="60">NeoGuiAcuut!$B$2:$G$31</definedName>
    <definedName name="_xlnm.Print_Area" localSheetId="61">NeoPrtAfspr!$A$1:$Q$68</definedName>
    <definedName name="_xlnm.Print_Area" localSheetId="62">NeoPrtApoth!$A$1:$Q$63</definedName>
    <definedName name="_xlnm.Print_Area" localSheetId="54">NeoPrtMedDisc!$B$1:$AG$22</definedName>
    <definedName name="_xlnm.Print_Area" localSheetId="49">NeoPrtWerkbr!$A$1:$P$55</definedName>
    <definedName name="_xlnm.Print_Area" localSheetId="31">PedGuiAcuut!$B$2:$G$44</definedName>
    <definedName name="_xlnm.Print_Area" localSheetId="34">PedPrtAfspr!$A$2:$J$127</definedName>
    <definedName name="_xlnm.Print_Area" localSheetId="35">PedPrtMedDisc!$B$1:$AG$22</definedName>
    <definedName name="_xlnm.Print_Area" localSheetId="39">PedPrtTPN16tot30!$A$1:$H$48</definedName>
    <definedName name="_xlnm.Print_Area" localSheetId="37">PedPrtTPN2tot6!$A$1:$H$48</definedName>
    <definedName name="_xlnm.Print_Area" localSheetId="41">PedPrtTPN50!$A$1:$H$52</definedName>
    <definedName name="_xlnm.Print_Area" localSheetId="38">PedPrtTPN7tot15!$A$1:$H$50</definedName>
    <definedName name="_xlnm.Print_Area" localSheetId="40">PedTPN31tot50!$A$1:$H$49</definedName>
    <definedName name="rngNeoAfsprBlns"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definedName>
    <definedName name="rngNeoAfsprData"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definedName>
    <definedName name="rngNeoLabData">NeoBerLab!$C$4:$C$35,NeoBerLab!$E$4:$E$34,NeoBerLab!$G$4:$G$34,NeoBerLab!$I$4:$I$34,NeoBerLab!$K$4:$K$34,NeoBerLab!$M$4:$M$34,NeoBerLab!$O$4:$O$34,NeoBerLab!$Q$4:$Q$34,NeoBerLab!$S$4:$S$34,NeoBerLab!$D$38</definedName>
    <definedName name="rngPedAfsprBlns">PedBerAfspr!$B$7,PedBerAfspr!$B$8,PedBerAfspr!$B$9,PedBerAfspr!$B$10,PedBerAfspr!$B$11,PedBerAfspr!$D$11,PedBerAfspr!$D$12,PedBerAfspr!$D$13,PedBerAfspr!$D$14,PedBerAfspr!$B$15,PedBerAfspr!$B$16,PedBerAfspr!$B$17,PedBerAfspr!$B$20,PedBerAfspr!$B$21,PedBerAfspr!$B$22,PedBerAfspr!$B$23,PedBerAfspr!$B$24,PedBerAfspr!$B$25,PedBerAfspr!$B$27,PedBerAfspr!$B$30,PedBerAfspr!$B$33,PedBerAfspr!$B$36,PedBerAfspr!$B$37,PedBerAfspr!$B$38,PedBerAfspr!$B$39,PedBerAfspr!$D$36,PedBerAfspr!$D$37,PedBerAfspr!$D$38,PedBerAfspr!$F$7,PedBerAfspr!$F$8,PedBerAfspr!$F$9,PedBerAfspr!$F$10,PedBerAfspr!$F$11,PedBerAfspr!$F$12,PedBerAfspr!$F$13,PedBerAfspr!$F$14,PedBerAfspr!$F$15,PedBerAfspr!$B$42,PedBerAfspr!$B$43,PedBerAfspr!$B$44,PedBerAfspr!$F$16,PedBerAfspr!$F$18</definedName>
    <definedName name="rngPedAfsprData">PedBerAfspr!$D$7,PedBerAfspr!$D$8,PedBerAfspr!$D$9,PedBerAfspr!$D$10,PedBerAfspr!$B$12,PedBerAfspr!$D$27,PedBerAfspr!$D$28,PedBerAfspr!$D$29,PedBerAfspr!$D$30,PedBerAfspr!$D$31,PedBerAfspr!$D$32,PedBerAfspr!$D$33,PedBerAfspr!$D$34,PedBerAfspr!$D$35,PedBerAfspr!$D$39,PedBerAfspr!$D$40,PedBerAfspr!$F$17,PedBerAfspr!$C$7,PedBerAfspr!$C$8,PedBerAfspr!$C$9,PedBerAfspr!$C$10,PedBerAfspr!$G$16,PedBerAfspr!$G$18,PedBerAfspr!$H$18,PedBerAfspr!$C$42,PedBerAfspr!$C$43</definedName>
    <definedName name="rngPedLabData">PedBerLab!$C$4:$C$35,PedBerLab!$E$4:$E$34,PedBerLab!$G$4:$G$34,PedBerLab!$I$4:$I$34,PedBerLab!$L$4:$L$34,PedBerLab!$N$4:$N$34,PedBerLab!$P$4:$P$34</definedName>
    <definedName name="SettingDataDir">GlobSettings!$B$9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Patient">PatData!$A$1:$B$766</definedName>
    <definedName name="tbl_Neo_Beds">GlobSettings!$E$2:$E$54</definedName>
    <definedName name="tbl_Neo_Dose">NeoTblLijst!$J$3:$K$11</definedName>
    <definedName name="tbl_Neo_FaktorLijst">NeoTblLijst!$K$3:$K$8</definedName>
    <definedName name="tbl_Neo_IntralipidSmof">NeoTblLijst!$AE$3:$AE$4</definedName>
    <definedName name="tbl_Neo_LijstToevoegingenKV">NeoTblLijst!$M$44:$Y$48</definedName>
    <definedName name="tbl_Neo_LijstToevoegingenMM">NeoTblLijst!$M$33:$Y$39</definedName>
    <definedName name="tbl_Neo_LijstVoeding">NeoTblLijst!$M$3:$Z$19</definedName>
    <definedName name="tbl_Neo_MedIV">NeoTblMedIV!$B$2:$K$26</definedName>
    <definedName name="tbl_Neo_NutrBMFToev">NeoTblLijst!$M$51:$Y$52</definedName>
    <definedName name="tbl_Neo_NutrBMFWaard">NeoTblLijst!$AB$3:$AB$5</definedName>
    <definedName name="tbl_Neo_NutrKunstToev">NeoTblLijst!$L$44:$Y$48</definedName>
    <definedName name="tbl_Neo_NutrMMToev">NeoTblLijst!$L$33:$Y$39</definedName>
    <definedName name="tbl_Neo_NutrToevWaard">NeoTblLijst!$AC$3:$AC$13</definedName>
    <definedName name="tbl_Neo_Opl">NeoTblLijst!$A$3:$H$18</definedName>
    <definedName name="tbl_Neo_OpzoektabelKV">NeoTblLijst!$M$43:$Y$48</definedName>
    <definedName name="tbl_Neo_OpzoektabelMM">NeoTblLijst!$M$32:$Y$39</definedName>
    <definedName name="tbl_Neo_OpzoektabelVoeding">NeoTblLijst!$M$2:$Z$19</definedName>
    <definedName name="tbl_Neo_Pos">NeoTblLijst!$M$3:$Y$19</definedName>
    <definedName name="tbl_Neo_ToevoegingenKVPrint">NeoTblLijst!$L$44:$L$48</definedName>
    <definedName name="tbl_Neo_ToevoegingenMMPrint">NeoTblLijst!$L$33:$L$39</definedName>
    <definedName name="tbl_Neo_TpnNICU">NeoTblLijst!$M$25:$V$26</definedName>
    <definedName name="tbl_Neo_Tube">NeoGuiAcuut!$L$22:$N$24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Lijnen">PedTblAfspr!$F$2:$F$6</definedName>
    <definedName name="tbl_Ped_LiquorDrain">PedTblAfspr!$J$2:$J$5</definedName>
    <definedName name="tbl_Ped_NIBD">PedTblAfspr!$E$2:$E$6</definedName>
    <definedName name="tbl_Ped_Periode">PedTblAfspr!$I$2:$I$5</definedName>
    <definedName name="tbl_Ped_PMInstelling">PedBerIVenPM!$K$1:$K$6</definedName>
    <definedName name="tbl_Ped_PMStandaard">PedBerIVenPM!$L$1:$L$6</definedName>
    <definedName name="tbl_Ped_tpnB">PedBerTPN!$A$29:$I$29</definedName>
    <definedName name="tbl_Ped_tpnC">PedBerTPN!$A$30:$I$30</definedName>
    <definedName name="tbl_Ped_tpnD">PedBerTPN!$A$31:$I$31</definedName>
    <definedName name="tbl_Ped_tpnE">PedBerTPN!$A$32:$I$32</definedName>
    <definedName name="tbl_Ped_tpnNutriflex">PedBerTPN!$A$33:$I$33</definedName>
    <definedName name="tbl_Ped_tpnSelected">PedBerTPN!$A$28:$I$28</definedName>
    <definedName name="tbl_Ped_VertrekTijden">PedTblAfspr!$G$2:$H$98</definedName>
    <definedName name="tbl_ReservePat">PatData!#REF!</definedName>
    <definedName name="tblBerMedContIV">PedBerMedIV!$B$2:$H$17</definedName>
    <definedName name="tblInfusen">PedTblIV!$A$2:$A$34</definedName>
    <definedName name="tblInfusenBer">PedTblIV!$A$2:$C$34</definedName>
    <definedName name="tblMedDiscEenh">PedTblMedDisc!$E$2:$E$7</definedName>
    <definedName name="tblMedDiscOplVl">PedTblMedDisc!$B$2:$B$5</definedName>
    <definedName name="tblMedDiscTijden">PedTblMedDisc!$C$2:$D$14</definedName>
    <definedName name="tblMedDiscTijdenIndex">PedTblMedDisc!$C$2:$C$14</definedName>
    <definedName name="tblMedDiscTijdenValues">PedTblMedDisc!$D$2:$D$14</definedName>
    <definedName name="tblMedDiscToed">PedTblMedDisc!$A$2:$A$13</definedName>
    <definedName name="tblMedicationContIV">PedTblMedIV!$B$3:$W$34</definedName>
    <definedName name="tblOmrekenCa">NeoTblVoed!$E$4</definedName>
    <definedName name="tblOmrekenCl">NeoTblVoed!$J$4</definedName>
    <definedName name="tblOmrekenFe">NeoTblVoed!$H$4</definedName>
    <definedName name="tblOmrekenK">NeoTblVoed!$D$4</definedName>
    <definedName name="tblOmrekenMg">NeoTblVoed!$G$4</definedName>
    <definedName name="tblOmrekenNA">NeoTblVoed!$C$4</definedName>
    <definedName name="tblOmrekenP">NeoTblVoed!$F$4</definedName>
    <definedName name="tblOmrekenVitD">NeoTblVoed!$I$4</definedName>
    <definedName name="tblOplossing">PedTblMedIV!$Y$3:$Y$6</definedName>
    <definedName name="tblOpzoekenMedicatieIV">PedTblMedIV!$A$3:$B$34</definedName>
    <definedName name="tblPacemakerModus">PedTblIV!$F$2:$F$5</definedName>
    <definedName name="tblPacemakerPositie">PedTblIV!$E$2:$E$5</definedName>
    <definedName name="tblPerOs">PedTblVoed!$C$3:$O$27</definedName>
    <definedName name="tblPO_poederlijst">PedTblVoed!$C$31:$C$54</definedName>
    <definedName name="tblPoeder">PedTblVoed!$C$31:$O$54</definedName>
    <definedName name="tblSonde">PedTblVoed!$Q$2:$Q$6</definedName>
    <definedName name="tblSSTGlucose">PedBerTPN!$K$27:$K$40</definedName>
    <definedName name="tblTijden">GlobBerMedDisc!$C$28:$D$39</definedName>
    <definedName name="tblTPN">PedBerTPN!$A$27:$I$28</definedName>
    <definedName name="tblVoedingBasislijst">NeoTblVoed!$B$8:$N$44</definedName>
    <definedName name="tblVoedingPO">PedTblVoed!$C$3:$C$27</definedName>
    <definedName name="tblVoedingPoeder">NeoTblVoed!$B$49:$N$75</definedName>
    <definedName name="Var_AfspraakDatum">PatDetails!$B$11</definedName>
    <definedName name="Var_Glob_Versie">PatDetails!$B$12</definedName>
    <definedName name="Var_Neo_1700_ContIV_01">NeoBer1700!$B$90</definedName>
    <definedName name="Var_Neo_1700_ContIV_02">NeoBer1700!$B$91</definedName>
    <definedName name="Var_Neo_1700_ContIV_03">NeoBer1700!$B$92</definedName>
    <definedName name="Var_Neo_1700_ContIV_04">NeoBer1700!$B$93</definedName>
    <definedName name="Var_Neo_1700_ContIV_05">NeoBer1700!$B$94</definedName>
    <definedName name="Var_Neo_1700_ContIV_06">NeoBer1700!$B$95</definedName>
    <definedName name="Var_Neo_1700_ContIV_07">NeoBer1700!$B$96</definedName>
    <definedName name="Var_Neo_1700_ContIV_08">NeoBer1700!$B$97</definedName>
    <definedName name="Var_Neo_1700_ContIV_09">NeoBer1700!$B$98</definedName>
    <definedName name="Var_Neo_1700_ContIV_10">NeoBer1700!$B$99</definedName>
    <definedName name="Var_Neo_1700_ContIV_11">NeoBer1700!$B$100</definedName>
    <definedName name="Var_Neo_1700_ContIV_12">NeoBer1700!$B$101</definedName>
    <definedName name="Var_Neo_1700_ContIV_13">NeoBer1700!$B$102</definedName>
    <definedName name="Var_Neo_1700_ContIV_14">NeoBer1700!$B$103</definedName>
    <definedName name="Var_Neo_1700_ContIV_15">NeoBer1700!$B$104</definedName>
    <definedName name="Var_Neo_1700_ContIV_16">NeoBer1700!$B$105</definedName>
    <definedName name="Var_Neo_1700_ContIV_17">NeoBer1700!$B$106</definedName>
    <definedName name="Var_Neo_1700_ContIV_18">NeoBer1700!$B$107</definedName>
    <definedName name="Var_Neo_1700_ContIV_19">NeoBer1700!$B$108</definedName>
    <definedName name="Var_Neo_1700_ContIV_20">NeoBer1700!$B$109</definedName>
    <definedName name="Var_Neo_1700_ContIV_21">NeoBer1700!$B$110</definedName>
    <definedName name="Var_Neo_1700_ContIV_22">NeoBer1700!$B$111</definedName>
    <definedName name="Var_Neo_1700_ContIV_23">NeoBer1700!$B$112</definedName>
    <definedName name="Var_Neo_1700_ContIV_24">NeoBer1700!$B$113</definedName>
    <definedName name="Var_Neo_1700_ContIV_25">NeoBer1700!$B$114</definedName>
    <definedName name="Var_Neo_1700_ContIV_26">NeoBer1700!$B$115</definedName>
    <definedName name="Var_Neo_1700_ContIV_27">NeoBer1700!$B$116</definedName>
    <definedName name="Var_Neo_1700_Voeding_01">NeoBer1700!$B$73</definedName>
    <definedName name="Var_Neo_1700_Voeding_02">NeoBer1700!$B$74</definedName>
    <definedName name="Var_Neo_1700_Voeding_03">NeoBer1700!$B$75</definedName>
    <definedName name="Var_Neo_1700_Voeding_04">NeoBer1700!$B$76</definedName>
    <definedName name="Var_Neo_1700_Voeding_05">NeoBer1700!$B$77</definedName>
    <definedName name="Var_Neo_1700_Voeding_06">NeoBer1700!$B$78</definedName>
    <definedName name="Var_Neo_1700_Voeding_07">NeoBer1700!$B$79</definedName>
    <definedName name="Var_Neo_1700_Voeding_08">NeoBer1700!$B$80</definedName>
    <definedName name="Var_Neo_1700_Voeding_09">NeoBer1700!$B$81</definedName>
    <definedName name="Var_Neo_1700_Voeding_10">NeoBer1700!$B$82</definedName>
    <definedName name="Var_Neo_1700_Voeding_11">NeoBer1700!$B$83</definedName>
    <definedName name="Var_Neo_1700_Voeding_12">NeoBer1700!$B$84</definedName>
    <definedName name="Var_Neo_1700_Voeding_13">NeoBer1700!$B$85</definedName>
    <definedName name="Var_Neo_1700_Voeding_14">NeoBer1700!$B$86</definedName>
    <definedName name="Var_Neo_1700_Voeding_15">NeoBer1700!$B$87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NeoBerInfB!$B$6</definedName>
    <definedName name="Var_Neo_Dag1700">NeoBer1700!$B$6</definedName>
    <definedName name="Var_Neo_GebDat1700">NeoBer1700!$B$3</definedName>
    <definedName name="Var_Neo_Gew1700">NeoBer1700!$B$4</definedName>
    <definedName name="Var_Neo_InfB_ArtLijn">NeoBerInfB!$B$18</definedName>
    <definedName name="Var_Neo_InfB_Arts">NeoBerInfB!$F$1</definedName>
    <definedName name="Var_Neo_InfB_ContIV_01">NeoBerInfB!$B$90</definedName>
    <definedName name="Var_Neo_InfB_ContIV_02">NeoBerInfB!$B$91</definedName>
    <definedName name="Var_Neo_InfB_ContIV_03">NeoBerInfB!$B$92</definedName>
    <definedName name="Var_Neo_InfB_ContIV_04">NeoBerInfB!$B$93</definedName>
    <definedName name="Var_Neo_InfB_ContIV_05">NeoBerInfB!$B$94</definedName>
    <definedName name="Var_Neo_InfB_ContIV_06">NeoBerInfB!$B$95</definedName>
    <definedName name="Var_Neo_InfB_ContIV_07">NeoBerInfB!$B$96</definedName>
    <definedName name="Var_Neo_InfB_ContIV_08">NeoBerInfB!$B$97</definedName>
    <definedName name="Var_Neo_InfB_ContIV_09">NeoBerInfB!$B$98</definedName>
    <definedName name="Var_Neo_InfB_ContIV_10">NeoBerInfB!$B$99</definedName>
    <definedName name="Var_Neo_InfB_ContIV_11">NeoBerInfB!$B$100</definedName>
    <definedName name="Var_Neo_InfB_ContIV_12">NeoBerInfB!$B$101</definedName>
    <definedName name="Var_Neo_InfB_ContIV_13">NeoBerInfB!$B$102</definedName>
    <definedName name="Var_Neo_InfB_ContIV_14">NeoBerInfB!$B$103</definedName>
    <definedName name="Var_Neo_InfB_ContIV_15">NeoBerInfB!$B$104</definedName>
    <definedName name="Var_Neo_InfB_ContIV_16">NeoBerInfB!$B$105</definedName>
    <definedName name="Var_Neo_InfB_ContIV_17">NeoBerInfB!$B$106</definedName>
    <definedName name="Var_Neo_InfB_ContIV_18">NeoBerInfB!$B$107</definedName>
    <definedName name="Var_Neo_InfB_ContIV_19">NeoBerInfB!$B$108</definedName>
    <definedName name="Var_Neo_InfB_ContIV_20">NeoBerInfB!$B$109</definedName>
    <definedName name="Var_Neo_InfB_ContIV_21">NeoBerInfB!$B$110</definedName>
    <definedName name="Var_Neo_InfB_ContIV_22">NeoBerInfB!$B$111</definedName>
    <definedName name="Var_Neo_InfB_ContIV_23">NeoBerInfB!$B$112</definedName>
    <definedName name="Var_Neo_InfB_ContIV_24">NeoBerInfB!$B$113</definedName>
    <definedName name="Var_Neo_InfB_ContIV_25">NeoBerInfB!$B$114</definedName>
    <definedName name="Var_Neo_InfB_ContIV_26">NeoBerInfB!$B$115</definedName>
    <definedName name="Var_Neo_InfB_ContIV_27">NeoBerInfB!$B$116</definedName>
    <definedName name="Var_Neo_InfB_DagKeuze">NeoBerInfB!$D$36</definedName>
    <definedName name="Var_Neo_InfB_Fototherapie">NeoBerInfB!$B$15</definedName>
    <definedName name="Var_Neo_InfB_Frequentie_1">NeoBerInfB!$D$10</definedName>
    <definedName name="Var_Neo_InfB_Frequentie_2">NeoBerInfB!$D$12</definedName>
    <definedName name="Var_Neo_InfB_GlucSterkte">NeoBerInfB!$D$45</definedName>
    <definedName name="Var_Neo_InfB_Hoeveelheid_1">NeoBerInfB!$D$11</definedName>
    <definedName name="Var_Neo_InfB_Hoeveelheid_2">NeoBerInfB!$D$13</definedName>
    <definedName name="Var_Neo_InfB_IntakePerKg">NeoBerInfB!$D$16</definedName>
    <definedName name="Var_Neo_InfB_IntraLipid">NeoBerInfB!$D$35</definedName>
    <definedName name="Var_Neo_InfB_IntralipidSmof">NeoBerInfB!$F$35</definedName>
    <definedName name="Var_Neo_InfB_KCl">NeoBerInfB!$D$38</definedName>
    <definedName name="Var_Neo_InfB_Medicament_1">NeoBerInfB!$B$20</definedName>
    <definedName name="Var_Neo_InfB_Medicament_2">NeoBerInfB!$B$21</definedName>
    <definedName name="Var_Neo_InfB_Medicament_3">NeoBerInfB!$B$22</definedName>
    <definedName name="Var_Neo_InfB_Medicament_4">NeoBerInfB!$B$23</definedName>
    <definedName name="Var_Neo_InfB_Medicament_5">NeoBerInfB!$B$24</definedName>
    <definedName name="Var_Neo_InfB_Medicament_6">NeoBerInfB!$B$25</definedName>
    <definedName name="Var_Neo_InfB_Medicament_7">NeoBerInfB!$B$26</definedName>
    <definedName name="Var_Neo_InfB_Medicament_8">NeoBerInfB!$B$27</definedName>
    <definedName name="Var_Neo_InfB_Medicament_9">NeoBerInfB!$B$28</definedName>
    <definedName name="Var_Neo_InfB_MedSterkte_1">NeoBerInfB!$C$20</definedName>
    <definedName name="Var_Neo_InfB_MedSterkte_2">NeoBerInfB!$C$21</definedName>
    <definedName name="Var_Neo_InfB_MedSterkte_3">NeoBerInfB!$C$22</definedName>
    <definedName name="Var_Neo_InfB_MedSterkte_4">NeoBerInfB!$C$23</definedName>
    <definedName name="Var_Neo_InfB_MedSterkte_5">NeoBerInfB!$C$24</definedName>
    <definedName name="Var_Neo_InfB_MedSterkte_6">NeoBerInfB!$C$25</definedName>
    <definedName name="Var_Neo_InfB_MedSterkte_7">NeoBerInfB!$C$26</definedName>
    <definedName name="Var_Neo_InfB_MedSterkte_8">NeoBerInfB!$C$27</definedName>
    <definedName name="Var_Neo_InfB_MedSterkte_9">NeoBerInfB!$C$28</definedName>
    <definedName name="Var_Neo_InfB_MedTekst_1">NeoBerInfB!$B$32</definedName>
    <definedName name="Var_Neo_InfB_MedTekst_2">NeoBerInfB!$B$33</definedName>
    <definedName name="Var_Neo_InfB_MgCl2">NeoBerInfB!$D$40</definedName>
    <definedName name="Var_Neo_InfB_NICUMix">NeoBerInfB!$D$43</definedName>
    <definedName name="Var_Neo_InfB_OplHoev_1">NeoBerInfB!$D$20</definedName>
    <definedName name="Var_Neo_InfB_OplHoev_2">NeoBerInfB!$D$21</definedName>
    <definedName name="Var_Neo_InfB_OplHoev_3">NeoBerInfB!$D$22</definedName>
    <definedName name="Var_Neo_InfB_OplHoev_4">NeoBerInfB!$D$23</definedName>
    <definedName name="Var_Neo_InfB_OplHoev_5">NeoBerInfB!$D$24</definedName>
    <definedName name="Var_Neo_InfB_OplHoev_6">NeoBerInfB!$D$25</definedName>
    <definedName name="Var_Neo_InfB_OplHoev_7">NeoBerInfB!$D$26</definedName>
    <definedName name="Var_Neo_InfB_OplHoev_8">NeoBerInfB!$D$27</definedName>
    <definedName name="Var_Neo_InfB_OplHoev_9">NeoBerInfB!$D$28</definedName>
    <definedName name="Var_Neo_InfB_Oplossing_01">NeoBerInfB!$E$20</definedName>
    <definedName name="Var_Neo_InfB_Oplossing_02">NeoBerInfB!$E$21</definedName>
    <definedName name="Var_Neo_InfB_Oplossing_03">NeoBerInfB!$E$22</definedName>
    <definedName name="Var_Neo_InfB_Oplossing_04">NeoBerInfB!$E$23</definedName>
    <definedName name="Var_Neo_InfB_Oplossing_05">NeoBerInfB!$E$24</definedName>
    <definedName name="Var_Neo_InfB_Oplossing_06">NeoBerInfB!$E$25</definedName>
    <definedName name="Var_Neo_InfB_Oplossing_07">NeoBerInfB!$E$26</definedName>
    <definedName name="Var_Neo_InfB_Oplossing_08">NeoBerInfB!$E$27</definedName>
    <definedName name="Var_Neo_InfB_Oplossing_09">NeoBerInfB!$E$28</definedName>
    <definedName name="Var_Neo_InfB_Oplossing_10">NeoBerInfB!$E$29</definedName>
    <definedName name="Var_Neo_InfB_Oplossing_11">NeoBerInfB!$E$30</definedName>
    <definedName name="Var_Neo_InfB_Oplossing_12">NeoBerInfB!$E$31</definedName>
    <definedName name="Var_Neo_InfB_Parenteraal">NeoBerInfB!$B$17</definedName>
    <definedName name="Var_Neo_InfB_PercentageKeuze_0">NeoBerInfB!$J$52</definedName>
    <definedName name="Var_Neo_InfB_PercentageKeuze_1">NeoBerInfB!$J$53</definedName>
    <definedName name="Var_Neo_InfB_PercentageKeuze_2">NeoBerInfB!$J$54</definedName>
    <definedName name="Var_Neo_InfB_PercentageKeuze_3">NeoBerInfB!$J$55</definedName>
    <definedName name="Var_Neo_InfB_PercentageKeuze_4">NeoBerInfB!$J$56</definedName>
    <definedName name="Var_Neo_InfB_PercentageKeuze_5">NeoBerInfB!$J$58</definedName>
    <definedName name="Var_Neo_InfB_PercentageKeuze_6">NeoBerInfB!$J$59</definedName>
    <definedName name="Var_Neo_InfB_PercentageKeuze_7">NeoBerInfB!$J$60</definedName>
    <definedName name="Var_Neo_InfB_PercentageKeuze_8">NeoBerInfB!$J$61</definedName>
    <definedName name="Var_Neo_InfB_Primene">NeoBerInfB!$D$42</definedName>
    <definedName name="Var_Neo_InfB_SoluVit">NeoBerInfB!$D$41</definedName>
    <definedName name="Var_Neo_InfB_SSTB">NeoBerInfB!$D$44</definedName>
    <definedName name="Var_Neo_InfB_Stand_01">NeoBerInfB!$F$20</definedName>
    <definedName name="Var_Neo_InfB_Stand_02">NeoBerInfB!$F$21</definedName>
    <definedName name="Var_Neo_InfB_Stand_03">NeoBerInfB!$F$22</definedName>
    <definedName name="Var_Neo_InfB_Stand_04">NeoBerInfB!$F$23</definedName>
    <definedName name="Var_Neo_InfB_Stand_05">NeoBerInfB!$F$24</definedName>
    <definedName name="Var_Neo_InfB_Stand_06">NeoBerInfB!$F$25</definedName>
    <definedName name="Var_Neo_InfB_Stand_07">NeoBerInfB!$F$26</definedName>
    <definedName name="Var_Neo_InfB_Stand_08">NeoBerInfB!$F$27</definedName>
    <definedName name="Var_Neo_InfB_Stand_09">NeoBerInfB!$F$28</definedName>
    <definedName name="Var_Neo_InfB_Stand_10">NeoBerInfB!$F$29</definedName>
    <definedName name="Var_Neo_InfB_Stand_11">NeoBerInfB!$F$30</definedName>
    <definedName name="Var_Neo_InfB_Stand_12">NeoBerInfB!$F$31</definedName>
    <definedName name="Var_Neo_InfB_Sterkte_1">NeoBerInfB!$C$20</definedName>
    <definedName name="Var_Neo_InfB_Sterkte_2">NeoBerInfB!$C$21</definedName>
    <definedName name="Var_Neo_InfB_Sterkte_3">NeoBerInfB!$C$22</definedName>
    <definedName name="Var_Neo_InfB_Sterkte_4">NeoBerInfB!$C$23</definedName>
    <definedName name="Var_Neo_InfB_Sterkte_5">NeoBerInfB!$C$24</definedName>
    <definedName name="Var_Neo_InfB_Sterkte_6">NeoBerInfB!$C$25</definedName>
    <definedName name="Var_Neo_InfB_Sterkte_7">NeoBerInfB!$C$26</definedName>
    <definedName name="Var_Neo_InfB_Sterkte_8">NeoBerInfB!$C$27</definedName>
    <definedName name="Var_Neo_InfB_Sterkte_9">NeoBerInfB!$C$28</definedName>
    <definedName name="Var_Neo_InfB_Supervisor">NeoBerInfB!$A$63</definedName>
    <definedName name="Var_Neo_InfB_Toevoeging_0">NeoBerInfB!$B$52</definedName>
    <definedName name="Var_Neo_InfB_Toevoeging_1">NeoBerInfB!$B$53</definedName>
    <definedName name="Var_Neo_InfB_Toevoeging_2">NeoBerInfB!$B$54</definedName>
    <definedName name="Var_Neo_InfB_Toevoeging_3">NeoBerInfB!$B$55</definedName>
    <definedName name="Var_Neo_InfB_Toevoeging_4">NeoBerInfB!$B$56</definedName>
    <definedName name="Var_Neo_InfB_Toevoeging_5">NeoBerInfB!$B$58</definedName>
    <definedName name="Var_Neo_InfB_Toevoeging_6">NeoBerInfB!$B$59</definedName>
    <definedName name="Var_Neo_InfB_Toevoeging_7">NeoBerInfB!$B$60</definedName>
    <definedName name="Var_Neo_InfB_Toevoeging_8">NeoBerInfB!$B$61</definedName>
    <definedName name="Var_Neo_InfB_TPNCaCl2">NeoBerInfB!$D$39</definedName>
    <definedName name="Var_Neo_InfB_TPNNacl">NeoBerInfB!$D$37</definedName>
    <definedName name="Var_Neo_InfB_VochtExtra_01">NeoBerInfB!$J$14</definedName>
    <definedName name="Var_Neo_InfB_VochtExtra_02">NeoBerInfB!$J$20</definedName>
    <definedName name="Var_Neo_InfB_VochtExtra_03">NeoBerInfB!$J$21</definedName>
    <definedName name="Var_Neo_InfB_VochtExtra_04">NeoBerInfB!$J$22</definedName>
    <definedName name="Var_Neo_InfB_VochtExtra_05">NeoBerInfB!$J$23</definedName>
    <definedName name="Var_Neo_InfB_VochtExtra_06">NeoBerInfB!$J$24</definedName>
    <definedName name="Var_Neo_InfB_VochtExtra_07">NeoBerInfB!$J$25</definedName>
    <definedName name="Var_Neo_InfB_VochtExtra_08">NeoBerInfB!$J$26</definedName>
    <definedName name="Var_Neo_InfB_VochtExtra_09">NeoBerInfB!$J$27</definedName>
    <definedName name="Var_Neo_InfB_VochtExtra_10">NeoBerInfB!$J$28</definedName>
    <definedName name="Var_Neo_InfB_VochtExtra_11">NeoBerInfB!$J$18</definedName>
    <definedName name="Var_Neo_InfB_VochtExtra_12">NeoBerInfB!$J$29</definedName>
    <definedName name="Var_Neo_InfB_VochtExtra_13">NeoBerInfB!$J$30</definedName>
    <definedName name="Var_Neo_InfB_VochtExtra_14">NeoBerInfB!$J$31</definedName>
    <definedName name="Var_Neo_InfB_Voeding">NeoBerInfB!$D$14</definedName>
    <definedName name="Var_Neo_InfB_Voeding_01">NeoBerInfB!$B$73</definedName>
    <definedName name="Var_Neo_InfB_Voeding_02">NeoBerInfB!$B$74</definedName>
    <definedName name="Var_Neo_InfB_Voeding_03">NeoBerInfB!$B$75</definedName>
    <definedName name="Var_Neo_InfB_Voeding_04">NeoBerInfB!$B$76</definedName>
    <definedName name="Var_Neo_InfB_Voeding_05">NeoBerInfB!$B$77</definedName>
    <definedName name="Var_Neo_InfB_Voeding_06">NeoBerInfB!$B$78</definedName>
    <definedName name="Var_Neo_InfB_Voeding_07">NeoBerInfB!$B$79</definedName>
    <definedName name="Var_Neo_InfB_Voeding_08">NeoBerInfB!$B$80</definedName>
    <definedName name="Var_Neo_InfB_Voeding_09">NeoBerInfB!$B$81</definedName>
    <definedName name="Var_Neo_InfB_Voeding_10">NeoBerInfB!$B$82</definedName>
    <definedName name="Var_Neo_InfB_Voeding_11">NeoBerInfB!$B$83</definedName>
    <definedName name="Var_Neo_InfB_Voeding_12">NeoBerInfB!$B$84</definedName>
    <definedName name="Var_Neo_InfB_Voeding_13">NeoBerInfB!$B$85</definedName>
    <definedName name="Var_Neo_InfB_Voeding_14">NeoBerInfB!$B$86</definedName>
    <definedName name="Var_Neo_InfB_Voeding_15">NeoBerInfB!$B$87</definedName>
    <definedName name="Var_Neo_Percentage_0">NeoBerInfB!$K$52</definedName>
    <definedName name="Var_Neo_Percentage_1">NeoBerInfB!$K$53</definedName>
    <definedName name="Var_Neo_Percentage_2">NeoBerInfB!$K$54</definedName>
    <definedName name="Var_Neo_Percentage_3">NeoBerInfB!$K$55</definedName>
    <definedName name="Var_Neo_Percentage_4">NeoBerInfB!$K$56</definedName>
    <definedName name="Var_Neo_Percentage_5">NeoBerInfB!$K$58</definedName>
    <definedName name="Var_Neo_Percentage_6">NeoBerInfB!$K$59</definedName>
    <definedName name="Var_Neo_Percentage_7">NeoBerInfB!$K$60</definedName>
    <definedName name="Var_Neo_Percentage_8">NeoBerInfB!$K$61</definedName>
    <definedName name="Var_Neo_Percentage1700_0">NeoBer1700!$K$52</definedName>
    <definedName name="Var_Neo_Percentage1700_1">NeoBer1700!$K$53</definedName>
    <definedName name="Var_Neo_Percentage1700_2">NeoBer1700!$K$54</definedName>
    <definedName name="Var_Neo_Percentage1700_3">NeoBer1700!$K$55</definedName>
    <definedName name="Var_Neo_Percentage1700_4">NeoBer1700!$K$56</definedName>
    <definedName name="Var_Neo_Percentage1700_5">NeoBer1700!$K$58</definedName>
    <definedName name="Var_Neo_Percentage1700_6">NeoBer1700!$K$59</definedName>
    <definedName name="Var_Neo_Percentage1700_7">NeoBer1700!$K$60</definedName>
    <definedName name="Var_Neo_Percentage1700_8">NeoBer1700!$K$61</definedName>
    <definedName name="Var_Neo_WerkbriefActueelIntravasaleToegangBreuk">NeoPrtWerkbrAct!$N$6</definedName>
    <definedName name="Var_Neo_WerkbriefActueelIntravasaleToegangGeheel">NeoPrtWerkbrAct!$M$6</definedName>
    <definedName name="Var_Neo_WerkbriefActueelIntravasaleToegangStand">NeoPrtWerkbrAct!$A$6</definedName>
    <definedName name="Var_Neo_WerkbriefActueelIntravasaleToegangTekst">NeoPrtWerkbrAct!$C$6</definedName>
    <definedName name="Var_Neo_WerkbriefActueelTPNCaClBreuk">NeoPrtWerkbrAct!$N$10</definedName>
    <definedName name="Var_Neo_WerkbriefActueelTPNCaClGeheel">NeoPrtWerkbrAct!$M$10</definedName>
    <definedName name="Var_Neo_WerkbriefActueelTPNCaClTekst">NeoPrtWerkbrAct!$H$10</definedName>
    <definedName name="Var_Neo_WerkbriefActueelTPNGlucBreuk">NeoPrtWerkbrAct!$N$16</definedName>
    <definedName name="Var_Neo_WerkbriefActueelTPNGlucGeheel">NeoPrtWerkbrAct!$M$16</definedName>
    <definedName name="Var_Neo_WerkbriefActueelTPNGlucTekst">NeoPrtWerkbrAct!$H$16</definedName>
    <definedName name="Var_Neo_WerkbriefActueelTPNKacetaatBreuk">NeoPrtWerkbrAct!$N$9</definedName>
    <definedName name="Var_Neo_WerkbriefActueelTPNKacetaatGeheel">NeoPrtWerkbrAct!$M$9</definedName>
    <definedName name="Var_Neo_WerkbriefActueelTPNKacetaatTekst">NeoPrtWerkbrAct!$H$9</definedName>
    <definedName name="Var_Neo_WerkbriefActueelTPNMgClBreuk">NeoPrtWerkbrAct!$N$11</definedName>
    <definedName name="Var_Neo_WerkbriefActueelTPNMgClGeheel">NeoPrtWerkbrAct!$M$11</definedName>
    <definedName name="Var_Neo_WerkbriefActueelTPNMgClTekst">NeoPrtWerkbrAct!$H$11</definedName>
    <definedName name="Var_Neo_WerkbriefActueelTPNNaClBreuk">NeoPrtWerkbrAct!$N$8</definedName>
    <definedName name="Var_Neo_WerkbriefActueelTPNNaClGeheel">NeoPrtWerkbrAct!$M$8</definedName>
    <definedName name="Var_Neo_WerkbriefActueelTPNNaCLTekst">NeoPrtWerkbrAct!$H$8</definedName>
    <definedName name="Var_Neo_WerkbriefActueelTPNNICUmixBreuk">NeoPrtWerkbrAct!$N$14</definedName>
    <definedName name="Var_Neo_WerkbriefActueelTPNNICUmixGeheel">NeoPrtWerkbrAct!$M$14</definedName>
    <definedName name="Var_Neo_WerkbriefActueelTPNNICUmixTekst">NeoPrtWerkbrAct!$H$14</definedName>
    <definedName name="Var_Neo_WerkbriefActueelTPNPrimeneBreuk">NeoPrtWerkbrAct!$N$13</definedName>
    <definedName name="Var_Neo_WerkbriefActueelTPNPrimeneGeheel">NeoPrtWerkbrAct!$M$13</definedName>
    <definedName name="Var_Neo_WerkbriefActueelTPNPrimeneTekst">NeoPrtWerkbrAct!$H$13</definedName>
    <definedName name="Var_Neo_WerkbriefActueelTPNSamBBreuk">NeoPrtWerkbrAct!$N$15</definedName>
    <definedName name="Var_Neo_WerkbriefActueelTPNSamBGeheel">NeoPrtWerkbrAct!$M$15</definedName>
    <definedName name="Var_Neo_WerkbriefActueelTPNSamBTekst">NeoPrtWerkbrAct!$H$15</definedName>
    <definedName name="Var_Neo_WerkbriefActueelTPNSoluvitBreuk">NeoPrtWerkbrAct!$N$12</definedName>
    <definedName name="Var_Neo_WerkbriefActueelTPNSoluvitGeheel">NeoPrtWerkbrAct!$M$12</definedName>
    <definedName name="Var_Neo_WerkbriefActueelTPNSoluvitTekst">NeoPrtWerkbrAct!$H$12</definedName>
    <definedName name="Var_Neo_WerkbriefActueelTPNStand">NeoPrtWerkbrAct!$A$8</definedName>
    <definedName name="Var_Neo_WerkbriefActueelTPNTotaalBreuk">NeoPrtWerkbrAct!$N$17</definedName>
    <definedName name="Var_Neo_WerkbriefActueelTPNTotaalGeheel">NeoPrtWerkbrAct!$M$17</definedName>
    <definedName name="Var_Neo_WerkbriefIntravasaleToegangBreuk">NeoPrtWerkbr!$N$6</definedName>
    <definedName name="Var_Neo_WerkbriefIntravasaleToegangGeheel">NeoPrtWerkbr!$M$6</definedName>
    <definedName name="Var_Neo_WerkbriefIntravasaleToegangStand">NeoPrtWerkbr!$A$6</definedName>
    <definedName name="Var_Neo_WerkbriefIntravasaleToegangTekst">NeoPrtWerkbr!$C$6</definedName>
    <definedName name="Var_Neo_WerkbriefTPNCaClBreuk">NeoPrtWerkbr!$N$10</definedName>
    <definedName name="Var_Neo_WerkbriefTPNCaClGeheel">NeoPrtWerkbr!$M$10</definedName>
    <definedName name="Var_Neo_WerkbriefTPNCaClTekst">NeoPrtWerkbr!$H$10</definedName>
    <definedName name="Var_Neo_WerkbriefTPNGlucBreuk">NeoPrtWerkbr!$N$16</definedName>
    <definedName name="Var_Neo_WerkbriefTPNGlucGeheel">NeoPrtWerkbr!$M$16</definedName>
    <definedName name="Var_Neo_WerkbriefTPNGlucTekst">NeoPrtWerkbr!$H$16</definedName>
    <definedName name="Var_Neo_WerkbriefTPNKacetaatBreuk">NeoPrtWerkbr!$N$9</definedName>
    <definedName name="Var_Neo_WerkbriefTPNKacetaatGeheel">NeoPrtWerkbr!$M$9</definedName>
    <definedName name="Var_Neo_WerkbriefTPNKacetaatTekst">NeoPrtWerkbr!$H$9</definedName>
    <definedName name="Var_Neo_WerkbriefTPNMgClBreuk">NeoPrtWerkbr!$N$11</definedName>
    <definedName name="Var_Neo_WerkbriefTPNMgClGeheel">NeoPrtWerkbr!$M$11</definedName>
    <definedName name="Var_Neo_WerkbriefTPNMgClTekst">NeoPrtWerkbr!$H$11</definedName>
    <definedName name="Var_Neo_WerkbriefTPNNaClBreuk">NeoPrtWerkbr!$N$8</definedName>
    <definedName name="Var_Neo_WerkbriefTPNNaClGeheel">NeoPrtWerkbr!$M$8</definedName>
    <definedName name="Var_Neo_WerkbriefTPNNaCLTekst">NeoPrtWerkbr!$H$8</definedName>
    <definedName name="Var_Neo_WerkbriefTPNNICUmixBreuk">NeoPrtWerkbr!$N$14</definedName>
    <definedName name="Var_Neo_WerkbriefTPNNICUmixGeheel">NeoPrtWerkbr!$M$14</definedName>
    <definedName name="Var_Neo_WerkbriefTPNNICUmixTekst">NeoPrtWerkbr!$H$14</definedName>
    <definedName name="Var_Neo_WerkbriefTPNPrimeneBreuk">NeoPrtWerkbr!$N$13</definedName>
    <definedName name="Var_Neo_WerkbriefTPNPrimeneGeheel">NeoPrtWerkbr!$M$13</definedName>
    <definedName name="Var_Neo_WerkbriefTPNPrimeneTekst">NeoPrtWerkbr!$H$13</definedName>
    <definedName name="Var_Neo_WerkbriefTPNSamBBreuk">NeoPrtWerkbr!$N$15</definedName>
    <definedName name="Var_Neo_WerkbriefTPNSamBGeheel">NeoPrtWerkbr!$M$15</definedName>
    <definedName name="Var_Neo_WerkbriefTPNSamBTekst">NeoPrtWerkbr!$H$15</definedName>
    <definedName name="Var_Neo_WerkbriefTPNSoluvitBreuk">NeoPrtWerkbr!$N$12</definedName>
    <definedName name="Var_Neo_WerkbriefTPNSoluvitGeheel">NeoPrtWerkbr!$M$12</definedName>
    <definedName name="Var_Neo_WerkbriefTPNSoluvitTekst">NeoPrtWerkbr!$H$12</definedName>
    <definedName name="Var_Neo_WerkbriefTPNStand">NeoPrtWerkbr!$A$8</definedName>
    <definedName name="Var_Neo_WerkbriefTPNTotaalBreuk">NeoPrtWerkbr!$N$17</definedName>
    <definedName name="Var_Neo_WerkbriefTPNTotaalGeheel">NeoPrtWerkbr!$M$17</definedName>
    <definedName name="Var_Pat_OpnameDat">PatDetails!$B$13</definedName>
    <definedName name="Var_Ped_AfsprControles">PedBerAfspr!$B$47</definedName>
    <definedName name="Var_Ped_AfsprInstellingen">PedBerAfspr!$B$49</definedName>
    <definedName name="Var_Ped_AfsprOnderzoeken">PedBerAfspr!$B$48</definedName>
    <definedName name="Var_Ped_AfsprOverig">PedBerAfspr!$B$50</definedName>
    <definedName name="Var_Ped_TotVocht">GlobBerMedDisc!$P$33</definedName>
    <definedName name="Z_33CCADFA_0D48_46A6_8927_2B2144029216_.wvu.FilterData" localSheetId="8" hidden="1">GlobTemp!$A$2:$B$437</definedName>
    <definedName name="Z_33CCADFA_0D48_46A6_8927_2B2144029216_.wvu.FilterData" localSheetId="11" hidden="1">PatData!$A$1:$P$634</definedName>
    <definedName name="Z_33CCADFA_0D48_46A6_8927_2B2144029216_.wvu.PrintArea" localSheetId="60" hidden="1">NeoGuiAcuut!$B$2:$G$31</definedName>
    <definedName name="Z_33CCADFA_0D48_46A6_8927_2B2144029216_.wvu.PrintArea" localSheetId="54" hidden="1">NeoPrtMedDisc!$B$1:$AG$22</definedName>
    <definedName name="Z_33CCADFA_0D48_46A6_8927_2B2144029216_.wvu.PrintArea" localSheetId="31" hidden="1">PedGuiAcuut!$B$2:$G$44</definedName>
    <definedName name="Z_33CCADFA_0D48_46A6_8927_2B2144029216_.wvu.PrintArea" localSheetId="34" hidden="1">PedPrtAfspr!$A$2:$J$127</definedName>
    <definedName name="Z_33CCADFA_0D48_46A6_8927_2B2144029216_.wvu.PrintArea" localSheetId="35" hidden="1">PedPrtMedDisc!$B$1:$AG$22</definedName>
    <definedName name="Z_33CCADFA_0D48_46A6_8927_2B2144029216_.wvu.PrintArea" localSheetId="39" hidden="1">PedPrtTPN16tot30!$A$1:$H$48</definedName>
    <definedName name="Z_33CCADFA_0D48_46A6_8927_2B2144029216_.wvu.PrintArea" localSheetId="37" hidden="1">PedPrtTPN2tot6!$A$1:$H$48</definedName>
    <definedName name="Z_33CCADFA_0D48_46A6_8927_2B2144029216_.wvu.PrintArea" localSheetId="41" hidden="1">PedPrtTPN50!$A$1:$H$52</definedName>
    <definedName name="Z_33CCADFA_0D48_46A6_8927_2B2144029216_.wvu.PrintArea" localSheetId="38" hidden="1">PedPrtTPN7tot15!$A$1:$H$50</definedName>
    <definedName name="Z_33CCADFA_0D48_46A6_8927_2B2144029216_.wvu.PrintArea" localSheetId="40" hidden="1">PedTPN31tot50!$A$1:$H$49</definedName>
  </definedNames>
  <calcPr calcId="15251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1" i="6" l="1"/>
  <c r="C813" i="77" l="1"/>
  <c r="C814" i="77"/>
  <c r="C815" i="77"/>
  <c r="C816" i="77"/>
  <c r="C817" i="77"/>
  <c r="C818" i="77"/>
  <c r="C819" i="77"/>
  <c r="C820" i="77"/>
  <c r="C821" i="77"/>
  <c r="C822" i="77"/>
  <c r="C823" i="77"/>
  <c r="C824" i="77"/>
  <c r="C825" i="77"/>
  <c r="C826" i="77"/>
  <c r="C827" i="77"/>
  <c r="C828" i="77"/>
  <c r="C829" i="77"/>
  <c r="C830" i="77"/>
  <c r="C831" i="77"/>
  <c r="C832" i="77"/>
  <c r="C833" i="77"/>
  <c r="C834" i="77"/>
  <c r="C835" i="77"/>
  <c r="C836" i="77"/>
  <c r="C837" i="77"/>
  <c r="C838" i="77"/>
  <c r="C839" i="77"/>
  <c r="C840" i="77"/>
  <c r="C841" i="77"/>
  <c r="C842" i="77"/>
  <c r="C843" i="77"/>
  <c r="C844" i="77"/>
  <c r="C845" i="77"/>
  <c r="C846" i="77"/>
  <c r="C847" i="77"/>
  <c r="C848" i="77"/>
  <c r="C849" i="77"/>
  <c r="C850" i="77"/>
  <c r="C851" i="77"/>
  <c r="C852" i="77"/>
  <c r="C853" i="77"/>
  <c r="C854" i="77"/>
  <c r="C855" i="77"/>
  <c r="C856" i="77"/>
  <c r="C857" i="77"/>
  <c r="C858" i="77"/>
  <c r="C859" i="77"/>
  <c r="C860" i="77"/>
  <c r="C861" i="77"/>
  <c r="C862" i="77"/>
  <c r="C863" i="77"/>
  <c r="C864" i="77"/>
  <c r="C865" i="77"/>
  <c r="C866" i="77"/>
  <c r="C867" i="77"/>
  <c r="C868" i="77"/>
  <c r="C869" i="77"/>
  <c r="C870" i="77"/>
  <c r="C871" i="77"/>
  <c r="C872" i="77"/>
  <c r="C873" i="77"/>
  <c r="C874" i="77"/>
  <c r="C875" i="77"/>
  <c r="C876" i="77"/>
  <c r="C877" i="77"/>
  <c r="C878" i="77"/>
  <c r="C879" i="77"/>
  <c r="C880" i="77"/>
  <c r="C881" i="77"/>
  <c r="C882" i="77"/>
  <c r="C883" i="77"/>
  <c r="C884" i="77"/>
  <c r="C885" i="77"/>
  <c r="C886" i="77"/>
  <c r="C887" i="77"/>
  <c r="C888" i="77"/>
  <c r="C889" i="77"/>
  <c r="C890" i="77"/>
  <c r="C891" i="77"/>
  <c r="C892" i="77"/>
  <c r="C893" i="77"/>
  <c r="C894" i="77"/>
  <c r="C895" i="77"/>
  <c r="C896" i="77"/>
  <c r="C897" i="77"/>
  <c r="C898" i="77"/>
  <c r="C899" i="77"/>
  <c r="C900" i="77"/>
  <c r="C901" i="77"/>
  <c r="C902" i="77"/>
  <c r="C903" i="77"/>
  <c r="C904" i="77"/>
  <c r="C905" i="77"/>
  <c r="C906" i="77"/>
  <c r="C907" i="77"/>
  <c r="C908" i="77"/>
  <c r="C909" i="77"/>
  <c r="C910" i="77"/>
  <c r="C911" i="77"/>
  <c r="C912" i="77"/>
  <c r="C913" i="77"/>
  <c r="C914" i="77"/>
  <c r="C915" i="77"/>
  <c r="C916" i="77"/>
  <c r="C917" i="77"/>
  <c r="C918" i="77"/>
  <c r="C919" i="77"/>
  <c r="C920" i="77"/>
  <c r="C921" i="77"/>
  <c r="C922" i="77"/>
  <c r="C923" i="77"/>
  <c r="C924" i="77"/>
  <c r="C925" i="77"/>
  <c r="C926" i="77"/>
  <c r="C927" i="77"/>
  <c r="C928" i="77"/>
  <c r="C812" i="77"/>
  <c r="C581" i="77"/>
  <c r="C582" i="77"/>
  <c r="C583" i="77"/>
  <c r="C584" i="77"/>
  <c r="C585" i="77"/>
  <c r="C586" i="77"/>
  <c r="C587" i="77"/>
  <c r="C588" i="77"/>
  <c r="C589" i="77"/>
  <c r="C590" i="77"/>
  <c r="C591" i="77"/>
  <c r="C592" i="77"/>
  <c r="C593" i="77"/>
  <c r="C594" i="77"/>
  <c r="C595" i="77"/>
  <c r="C596" i="77"/>
  <c r="C597" i="77"/>
  <c r="C598" i="77"/>
  <c r="C599" i="77"/>
  <c r="C600" i="77"/>
  <c r="C601" i="77"/>
  <c r="C602" i="77"/>
  <c r="C603" i="77"/>
  <c r="C604" i="77"/>
  <c r="C605" i="77"/>
  <c r="C606" i="77"/>
  <c r="C607" i="77"/>
  <c r="C608" i="77"/>
  <c r="C609" i="77"/>
  <c r="C610" i="77"/>
  <c r="C611" i="77"/>
  <c r="C612" i="77"/>
  <c r="C613" i="77"/>
  <c r="C614" i="77"/>
  <c r="C615" i="77"/>
  <c r="C616" i="77"/>
  <c r="C617" i="77"/>
  <c r="C618" i="77"/>
  <c r="C619" i="77"/>
  <c r="C620" i="77"/>
  <c r="C621" i="77"/>
  <c r="C622" i="77"/>
  <c r="C623" i="77"/>
  <c r="C624" i="77"/>
  <c r="C625" i="77"/>
  <c r="C626" i="77"/>
  <c r="C627" i="77"/>
  <c r="C628" i="77"/>
  <c r="C629" i="77"/>
  <c r="C630" i="77"/>
  <c r="C631" i="77"/>
  <c r="C632" i="77"/>
  <c r="C633" i="77"/>
  <c r="C634" i="77"/>
  <c r="C635" i="77"/>
  <c r="C636" i="77"/>
  <c r="C637" i="77"/>
  <c r="C638" i="77"/>
  <c r="C639" i="77"/>
  <c r="C640" i="77"/>
  <c r="C641" i="77"/>
  <c r="C642" i="77"/>
  <c r="C643" i="77"/>
  <c r="C644" i="77"/>
  <c r="C645" i="77"/>
  <c r="C646" i="77"/>
  <c r="C647" i="77"/>
  <c r="C648" i="77"/>
  <c r="C649" i="77"/>
  <c r="C650" i="77"/>
  <c r="C651" i="77"/>
  <c r="C652" i="77"/>
  <c r="C653" i="77"/>
  <c r="C654" i="77"/>
  <c r="C655" i="77"/>
  <c r="C656" i="77"/>
  <c r="C657" i="77"/>
  <c r="C658" i="77"/>
  <c r="C659" i="77"/>
  <c r="C660" i="77"/>
  <c r="C661" i="77"/>
  <c r="C662" i="77"/>
  <c r="C663" i="77"/>
  <c r="C664" i="77"/>
  <c r="C665" i="77"/>
  <c r="C666" i="77"/>
  <c r="C667" i="77"/>
  <c r="C668" i="77"/>
  <c r="C669" i="77"/>
  <c r="C670" i="77"/>
  <c r="C671" i="77"/>
  <c r="C672" i="77"/>
  <c r="C673" i="77"/>
  <c r="C674" i="77"/>
  <c r="C675" i="77"/>
  <c r="C676" i="77"/>
  <c r="C677" i="77"/>
  <c r="C678" i="77"/>
  <c r="C679" i="77"/>
  <c r="C680" i="77"/>
  <c r="C681" i="77"/>
  <c r="C682" i="77"/>
  <c r="C683" i="77"/>
  <c r="C684" i="77"/>
  <c r="C685" i="77"/>
  <c r="C686" i="77"/>
  <c r="C687" i="77"/>
  <c r="C688" i="77"/>
  <c r="C689" i="77"/>
  <c r="C690" i="77"/>
  <c r="C691" i="77"/>
  <c r="C692" i="77"/>
  <c r="C693" i="77"/>
  <c r="C694" i="77"/>
  <c r="C695" i="77"/>
  <c r="C696" i="77"/>
  <c r="C580" i="77"/>
  <c r="C3" i="78"/>
  <c r="C4" i="78"/>
  <c r="C5" i="78"/>
  <c r="C6" i="78"/>
  <c r="C7" i="78"/>
  <c r="C8" i="78"/>
  <c r="C9" i="78"/>
  <c r="C10" i="78"/>
  <c r="C11" i="78"/>
  <c r="C12" i="78"/>
  <c r="C13" i="78"/>
  <c r="C14" i="78"/>
  <c r="C15" i="78"/>
  <c r="C16" i="78"/>
  <c r="C17" i="78"/>
  <c r="C18" i="78"/>
  <c r="C19" i="78"/>
  <c r="C20" i="78"/>
  <c r="C21" i="78"/>
  <c r="C22" i="78"/>
  <c r="C23" i="78"/>
  <c r="C24" i="78"/>
  <c r="C25" i="78"/>
  <c r="C26" i="78"/>
  <c r="C27" i="78"/>
  <c r="C28" i="78"/>
  <c r="C29" i="78"/>
  <c r="C30" i="78"/>
  <c r="C31" i="78"/>
  <c r="C32" i="78"/>
  <c r="C33" i="78"/>
  <c r="C34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47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60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73" i="78"/>
  <c r="C74" i="78"/>
  <c r="C75" i="78"/>
  <c r="C76" i="78"/>
  <c r="C77" i="78"/>
  <c r="C78" i="78"/>
  <c r="C79" i="78"/>
  <c r="C80" i="78"/>
  <c r="C81" i="78"/>
  <c r="C82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107" i="78"/>
  <c r="C108" i="78"/>
  <c r="C109" i="78"/>
  <c r="C110" i="78"/>
  <c r="C111" i="78"/>
  <c r="C112" i="78"/>
  <c r="C113" i="78"/>
  <c r="C114" i="78"/>
  <c r="C115" i="78"/>
  <c r="C116" i="78"/>
  <c r="C117" i="78"/>
  <c r="C118" i="78"/>
  <c r="C2" i="78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M52" i="75" l="1"/>
  <c r="M54" i="75"/>
  <c r="M48" i="75"/>
  <c r="M36" i="75" l="1"/>
  <c r="M63" i="75" l="1"/>
  <c r="M62" i="75"/>
  <c r="M61" i="75"/>
  <c r="M60" i="75"/>
  <c r="M59" i="75"/>
  <c r="M58" i="75"/>
  <c r="M51" i="75"/>
  <c r="M53" i="75"/>
  <c r="M50" i="75"/>
  <c r="M46" i="75"/>
  <c r="M45" i="75"/>
  <c r="M44" i="75"/>
  <c r="M42" i="75"/>
  <c r="M39" i="75"/>
  <c r="M38" i="75"/>
  <c r="M37" i="75"/>
  <c r="M35" i="75"/>
  <c r="M34" i="75"/>
  <c r="M30" i="75"/>
  <c r="M29" i="75"/>
  <c r="M28" i="75"/>
  <c r="M27" i="75"/>
  <c r="M26" i="75"/>
  <c r="M22" i="75"/>
  <c r="M21" i="75"/>
  <c r="M20" i="75"/>
  <c r="M18" i="75"/>
  <c r="M14" i="75" l="1"/>
  <c r="M10" i="75" l="1"/>
  <c r="M9" i="75" l="1"/>
  <c r="M8" i="75"/>
  <c r="M7" i="75"/>
  <c r="M6" i="75"/>
  <c r="M5" i="75"/>
  <c r="M4" i="75"/>
  <c r="M3" i="75"/>
  <c r="M15" i="75"/>
  <c r="M13" i="75"/>
  <c r="M12" i="75"/>
  <c r="M11" i="75"/>
  <c r="B27" i="12" l="1"/>
  <c r="B2" i="8" l="1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C6" i="8"/>
  <c r="E23" i="10" l="1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C1202" i="8"/>
  <c r="D2" i="58" l="1"/>
  <c r="I2" i="60"/>
  <c r="D43" i="58"/>
  <c r="M43" i="75" s="1"/>
  <c r="F3" i="18"/>
  <c r="F4" i="18"/>
  <c r="F5" i="18"/>
  <c r="F6" i="18"/>
  <c r="F7" i="18"/>
  <c r="F2" i="18"/>
  <c r="E3" i="18"/>
  <c r="E4" i="18"/>
  <c r="E5" i="18"/>
  <c r="E6" i="18"/>
  <c r="E7" i="18"/>
  <c r="E2" i="18"/>
  <c r="C2" i="60" l="1"/>
  <c r="F9" i="18"/>
  <c r="E9" i="18"/>
  <c r="B19" i="24" s="1"/>
  <c r="G24" i="20"/>
  <c r="Q2" i="13"/>
  <c r="E18" i="20" l="1"/>
  <c r="D16" i="27"/>
  <c r="B18" i="20" s="1"/>
  <c r="Q2" i="27" l="1"/>
  <c r="B9" i="20" s="1"/>
  <c r="P2" i="27"/>
  <c r="B12" i="20" s="1"/>
  <c r="P3" i="27"/>
  <c r="B14" i="20" s="1"/>
  <c r="P4" i="27"/>
  <c r="B15" i="20" s="1"/>
  <c r="P5" i="27"/>
  <c r="B16" i="20" s="1"/>
  <c r="L2" i="20"/>
  <c r="E2" i="20"/>
  <c r="M3" i="18"/>
  <c r="B23" i="17" s="1"/>
  <c r="M2" i="18"/>
  <c r="B19" i="17" s="1"/>
  <c r="D9" i="18"/>
  <c r="B16" i="17" s="1"/>
  <c r="E16" i="17"/>
  <c r="C3" i="18"/>
  <c r="H10" i="17" s="1"/>
  <c r="C4" i="18"/>
  <c r="H11" i="17" s="1"/>
  <c r="C5" i="18"/>
  <c r="H12" i="17" s="1"/>
  <c r="C6" i="18"/>
  <c r="H13" i="17" s="1"/>
  <c r="C7" i="18"/>
  <c r="H14" i="17" s="1"/>
  <c r="C2" i="18"/>
  <c r="H9" i="17" s="1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E5" i="40" l="1"/>
  <c r="D5" i="40"/>
  <c r="C5" i="40"/>
  <c r="B5" i="40"/>
  <c r="C19" i="24"/>
  <c r="E13" i="24"/>
  <c r="E9" i="24"/>
  <c r="AP3" i="14" l="1"/>
  <c r="E10" i="13" s="1"/>
  <c r="AP4" i="14"/>
  <c r="E11" i="13" s="1"/>
  <c r="AP5" i="14"/>
  <c r="E12" i="13" s="1"/>
  <c r="AP6" i="14"/>
  <c r="E13" i="13" s="1"/>
  <c r="AP7" i="14"/>
  <c r="E14" i="13" s="1"/>
  <c r="AP8" i="14"/>
  <c r="E15" i="13" s="1"/>
  <c r="AP9" i="14"/>
  <c r="E16" i="13" s="1"/>
  <c r="AP10" i="14"/>
  <c r="E17" i="13" s="1"/>
  <c r="AP11" i="14"/>
  <c r="E18" i="13" s="1"/>
  <c r="AP12" i="14"/>
  <c r="E19" i="13" s="1"/>
  <c r="AP13" i="14"/>
  <c r="E20" i="13" s="1"/>
  <c r="AP14" i="14"/>
  <c r="E21" i="13" s="1"/>
  <c r="AP15" i="14"/>
  <c r="E22" i="13" s="1"/>
  <c r="AP16" i="14"/>
  <c r="E23" i="13" s="1"/>
  <c r="AP17" i="14"/>
  <c r="E24" i="13" s="1"/>
  <c r="AP18" i="14"/>
  <c r="E25" i="13" s="1"/>
  <c r="AP19" i="14"/>
  <c r="E26" i="13" s="1"/>
  <c r="AP20" i="14"/>
  <c r="E27" i="13" s="1"/>
  <c r="AP21" i="14"/>
  <c r="E28" i="13" s="1"/>
  <c r="AP22" i="14"/>
  <c r="E29" i="13" s="1"/>
  <c r="AP23" i="14"/>
  <c r="E30" i="13" s="1"/>
  <c r="AP24" i="14"/>
  <c r="E31" i="13" s="1"/>
  <c r="AP25" i="14"/>
  <c r="E32" i="13" s="1"/>
  <c r="AP26" i="14"/>
  <c r="E33" i="13" s="1"/>
  <c r="AP27" i="14"/>
  <c r="E34" i="13" s="1"/>
  <c r="AP28" i="14"/>
  <c r="E35" i="13" s="1"/>
  <c r="AP29" i="14"/>
  <c r="E36" i="13" s="1"/>
  <c r="AP30" i="14"/>
  <c r="E37" i="13" s="1"/>
  <c r="AP31" i="14"/>
  <c r="E38" i="13" s="1"/>
  <c r="AP2" i="14"/>
  <c r="E9" i="13" s="1"/>
  <c r="AO3" i="14"/>
  <c r="AO4" i="14"/>
  <c r="AO5" i="14"/>
  <c r="AO6" i="14"/>
  <c r="AO7" i="14"/>
  <c r="AO8" i="14"/>
  <c r="AO9" i="14"/>
  <c r="AO10" i="14"/>
  <c r="AO11" i="14"/>
  <c r="AO12" i="14"/>
  <c r="AO13" i="14"/>
  <c r="AO14" i="14"/>
  <c r="AO15" i="14"/>
  <c r="AO16" i="14"/>
  <c r="AO17" i="14"/>
  <c r="AO18" i="14"/>
  <c r="AO19" i="14"/>
  <c r="AO20" i="14"/>
  <c r="AO21" i="14"/>
  <c r="AO22" i="14"/>
  <c r="AO23" i="14"/>
  <c r="AO24" i="14"/>
  <c r="AO25" i="14"/>
  <c r="AO26" i="14"/>
  <c r="AO27" i="14"/>
  <c r="AO28" i="14"/>
  <c r="AO29" i="14"/>
  <c r="AO30" i="14"/>
  <c r="AO31" i="14"/>
  <c r="AO2" i="14"/>
  <c r="C10" i="13" l="1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K2" i="17" l="1"/>
  <c r="B23" i="6"/>
  <c r="F4" i="60" s="1"/>
  <c r="B22" i="6"/>
  <c r="B21" i="6"/>
  <c r="F2" i="60" s="1"/>
  <c r="B16" i="6"/>
  <c r="B14" i="6"/>
  <c r="E3" i="60" s="1"/>
  <c r="B15" i="6"/>
  <c r="J3" i="58" l="1"/>
  <c r="F3" i="60"/>
  <c r="D4" i="58"/>
  <c r="C4" i="60"/>
  <c r="H2" i="17"/>
  <c r="J2" i="58"/>
  <c r="H4" i="17"/>
  <c r="J4" i="58"/>
  <c r="I3" i="10"/>
  <c r="H3" i="58"/>
  <c r="M3" i="13"/>
  <c r="H3" i="17"/>
  <c r="J4" i="10"/>
  <c r="M4" i="13"/>
  <c r="J2" i="10"/>
  <c r="M2" i="13"/>
  <c r="J3" i="10"/>
  <c r="I3" i="20"/>
  <c r="I4" i="20"/>
  <c r="I2" i="20"/>
  <c r="F4" i="10"/>
  <c r="E4" i="20"/>
  <c r="H3" i="20"/>
  <c r="E2" i="17"/>
  <c r="G3" i="17"/>
  <c r="E4" i="17"/>
  <c r="G4" i="13"/>
  <c r="K3" i="13"/>
  <c r="B19" i="6"/>
  <c r="G2" i="13"/>
  <c r="D3" i="58" l="1"/>
  <c r="C3" i="60"/>
  <c r="E3" i="17"/>
  <c r="E3" i="20"/>
  <c r="F3" i="10"/>
  <c r="G3" i="13"/>
  <c r="F2" i="10"/>
  <c r="B20" i="6"/>
  <c r="B17" i="6"/>
  <c r="C9" i="13"/>
  <c r="B13" i="6"/>
  <c r="H2" i="58" l="1"/>
  <c r="E2" i="60"/>
  <c r="H2" i="20"/>
  <c r="I2" i="10"/>
  <c r="K2" i="13"/>
  <c r="G2" i="17"/>
  <c r="AN3" i="14"/>
  <c r="Q10" i="13" s="1"/>
  <c r="AN4" i="14"/>
  <c r="Q11" i="13" s="1"/>
  <c r="AN5" i="14"/>
  <c r="Q12" i="13" s="1"/>
  <c r="AN6" i="14"/>
  <c r="Q13" i="13" s="1"/>
  <c r="AN7" i="14"/>
  <c r="Q14" i="13" s="1"/>
  <c r="AN8" i="14"/>
  <c r="Q15" i="13" s="1"/>
  <c r="AN9" i="14"/>
  <c r="Q16" i="13" s="1"/>
  <c r="AN10" i="14"/>
  <c r="Q17" i="13" s="1"/>
  <c r="AN11" i="14"/>
  <c r="Q18" i="13" s="1"/>
  <c r="AN12" i="14"/>
  <c r="Q19" i="13" s="1"/>
  <c r="AN13" i="14"/>
  <c r="Q20" i="13" s="1"/>
  <c r="AN14" i="14"/>
  <c r="Q21" i="13" s="1"/>
  <c r="AN15" i="14"/>
  <c r="Q22" i="13" s="1"/>
  <c r="AN16" i="14"/>
  <c r="Q23" i="13" s="1"/>
  <c r="AN17" i="14"/>
  <c r="Q24" i="13" s="1"/>
  <c r="AN18" i="14"/>
  <c r="Q25" i="13" s="1"/>
  <c r="AN19" i="14"/>
  <c r="Q26" i="13" s="1"/>
  <c r="AN20" i="14"/>
  <c r="Q27" i="13" s="1"/>
  <c r="AN21" i="14"/>
  <c r="Q28" i="13" s="1"/>
  <c r="AN22" i="14"/>
  <c r="Q29" i="13" s="1"/>
  <c r="AN23" i="14"/>
  <c r="Q30" i="13" s="1"/>
  <c r="AN24" i="14"/>
  <c r="Q31" i="13" s="1"/>
  <c r="AN25" i="14"/>
  <c r="Q32" i="13" s="1"/>
  <c r="AN26" i="14"/>
  <c r="Q33" i="13" s="1"/>
  <c r="AN27" i="14"/>
  <c r="Q34" i="13" s="1"/>
  <c r="AN28" i="14"/>
  <c r="Q35" i="13" s="1"/>
  <c r="AN29" i="14"/>
  <c r="Q36" i="13" s="1"/>
  <c r="AN30" i="14"/>
  <c r="Q37" i="13" s="1"/>
  <c r="AN31" i="14"/>
  <c r="Q38" i="13" s="1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N38" i="13"/>
  <c r="O38" i="13" s="1"/>
  <c r="N37" i="13"/>
  <c r="O37" i="13" s="1"/>
  <c r="N36" i="13"/>
  <c r="O36" i="13" s="1"/>
  <c r="N35" i="13"/>
  <c r="O35" i="13" s="1"/>
  <c r="N34" i="13"/>
  <c r="O34" i="13" s="1"/>
  <c r="N33" i="13"/>
  <c r="O33" i="13" s="1"/>
  <c r="N32" i="13"/>
  <c r="O32" i="13" s="1"/>
  <c r="N31" i="13"/>
  <c r="O31" i="13" s="1"/>
  <c r="N30" i="13"/>
  <c r="O30" i="13" s="1"/>
  <c r="N29" i="13"/>
  <c r="O29" i="13" s="1"/>
  <c r="N28" i="13"/>
  <c r="O28" i="13" s="1"/>
  <c r="N27" i="13"/>
  <c r="O27" i="13" s="1"/>
  <c r="N26" i="13"/>
  <c r="O26" i="13" s="1"/>
  <c r="N25" i="13"/>
  <c r="O25" i="13" s="1"/>
  <c r="N24" i="13"/>
  <c r="O24" i="13" s="1"/>
  <c r="N23" i="13"/>
  <c r="O23" i="13" s="1"/>
  <c r="N22" i="13"/>
  <c r="O22" i="13" s="1"/>
  <c r="N21" i="13"/>
  <c r="O21" i="13" s="1"/>
  <c r="N20" i="13"/>
  <c r="O20" i="13" s="1"/>
  <c r="N19" i="13"/>
  <c r="O19" i="13" s="1"/>
  <c r="N18" i="13"/>
  <c r="O18" i="13" s="1"/>
  <c r="N17" i="13"/>
  <c r="O17" i="13" s="1"/>
  <c r="N16" i="13"/>
  <c r="O16" i="13" s="1"/>
  <c r="N15" i="13"/>
  <c r="O15" i="13" s="1"/>
  <c r="N14" i="13"/>
  <c r="O14" i="13" s="1"/>
  <c r="N13" i="13"/>
  <c r="O13" i="13" s="1"/>
  <c r="N12" i="13"/>
  <c r="O12" i="13" s="1"/>
  <c r="N11" i="13"/>
  <c r="O11" i="13" s="1"/>
  <c r="N10" i="13"/>
  <c r="O10" i="13" s="1"/>
  <c r="AM3" i="14"/>
  <c r="M10" i="13" s="1"/>
  <c r="AM4" i="14"/>
  <c r="M11" i="13" s="1"/>
  <c r="AM5" i="14"/>
  <c r="M12" i="13" s="1"/>
  <c r="AM6" i="14"/>
  <c r="M13" i="13" s="1"/>
  <c r="AM7" i="14"/>
  <c r="M14" i="13" s="1"/>
  <c r="AM8" i="14"/>
  <c r="M15" i="13" s="1"/>
  <c r="AM9" i="14"/>
  <c r="M16" i="13" s="1"/>
  <c r="AM10" i="14"/>
  <c r="M17" i="13" s="1"/>
  <c r="AM11" i="14"/>
  <c r="M18" i="13" s="1"/>
  <c r="AM12" i="14"/>
  <c r="M19" i="13" s="1"/>
  <c r="M19" i="75" s="1"/>
  <c r="AM13" i="14"/>
  <c r="M20" i="13" s="1"/>
  <c r="AM14" i="14"/>
  <c r="M21" i="13" s="1"/>
  <c r="AM15" i="14"/>
  <c r="M22" i="13" s="1"/>
  <c r="AM16" i="14"/>
  <c r="M23" i="13" s="1"/>
  <c r="AM17" i="14"/>
  <c r="M24" i="13" s="1"/>
  <c r="AM18" i="14"/>
  <c r="M25" i="13" s="1"/>
  <c r="AM19" i="14"/>
  <c r="M26" i="13" s="1"/>
  <c r="AM20" i="14"/>
  <c r="M27" i="13" s="1"/>
  <c r="AM21" i="14"/>
  <c r="M28" i="13" s="1"/>
  <c r="AM22" i="14"/>
  <c r="M29" i="13" s="1"/>
  <c r="AM23" i="14"/>
  <c r="M30" i="13" s="1"/>
  <c r="AM24" i="14"/>
  <c r="M31" i="13" s="1"/>
  <c r="AM25" i="14"/>
  <c r="M32" i="13" s="1"/>
  <c r="AM26" i="14"/>
  <c r="M33" i="13" s="1"/>
  <c r="AM27" i="14"/>
  <c r="M34" i="13" s="1"/>
  <c r="AM28" i="14"/>
  <c r="M35" i="13" s="1"/>
  <c r="AM29" i="14"/>
  <c r="M36" i="13" s="1"/>
  <c r="AM30" i="14"/>
  <c r="M37" i="13" s="1"/>
  <c r="AM31" i="14"/>
  <c r="M38" i="13" s="1"/>
  <c r="AL3" i="14"/>
  <c r="B10" i="13" s="1"/>
  <c r="AL4" i="14"/>
  <c r="B11" i="13" s="1"/>
  <c r="AL5" i="14"/>
  <c r="B12" i="13" s="1"/>
  <c r="AL6" i="14"/>
  <c r="B13" i="13" s="1"/>
  <c r="AL7" i="14"/>
  <c r="B14" i="13" s="1"/>
  <c r="AL8" i="14"/>
  <c r="B15" i="13" s="1"/>
  <c r="AL9" i="14"/>
  <c r="B16" i="13" s="1"/>
  <c r="AL10" i="14"/>
  <c r="B17" i="13" s="1"/>
  <c r="AL11" i="14"/>
  <c r="B18" i="13" s="1"/>
  <c r="AL12" i="14"/>
  <c r="B19" i="13" s="1"/>
  <c r="AL13" i="14"/>
  <c r="B20" i="13" s="1"/>
  <c r="AL14" i="14"/>
  <c r="B21" i="13" s="1"/>
  <c r="AL15" i="14"/>
  <c r="B22" i="13" s="1"/>
  <c r="AL16" i="14"/>
  <c r="B23" i="13" s="1"/>
  <c r="AL17" i="14"/>
  <c r="B24" i="13" s="1"/>
  <c r="AL18" i="14"/>
  <c r="B25" i="13" s="1"/>
  <c r="AL19" i="14"/>
  <c r="B26" i="13" s="1"/>
  <c r="AL20" i="14"/>
  <c r="B27" i="13" s="1"/>
  <c r="AL21" i="14"/>
  <c r="B28" i="13" s="1"/>
  <c r="AL22" i="14"/>
  <c r="B29" i="13" s="1"/>
  <c r="AL23" i="14"/>
  <c r="B30" i="13" s="1"/>
  <c r="AL24" i="14"/>
  <c r="B31" i="13" s="1"/>
  <c r="AL25" i="14"/>
  <c r="B32" i="13" s="1"/>
  <c r="AL26" i="14"/>
  <c r="B33" i="13" s="1"/>
  <c r="AL27" i="14"/>
  <c r="B34" i="13" s="1"/>
  <c r="AL28" i="14"/>
  <c r="B35" i="13" s="1"/>
  <c r="AL29" i="14"/>
  <c r="B36" i="13" s="1"/>
  <c r="AL30" i="14"/>
  <c r="B37" i="13" s="1"/>
  <c r="AL31" i="14"/>
  <c r="B38" i="13" s="1"/>
  <c r="AL2" i="14"/>
  <c r="B9" i="13" s="1"/>
  <c r="R19" i="13" l="1"/>
  <c r="R35" i="13"/>
  <c r="R23" i="13"/>
  <c r="R11" i="13"/>
  <c r="R27" i="13"/>
  <c r="R15" i="13"/>
  <c r="R31" i="13"/>
  <c r="R10" i="13"/>
  <c r="R14" i="13"/>
  <c r="R18" i="13"/>
  <c r="R22" i="13"/>
  <c r="R26" i="13"/>
  <c r="R30" i="13"/>
  <c r="R34" i="13"/>
  <c r="R38" i="13"/>
  <c r="R12" i="13"/>
  <c r="R16" i="13"/>
  <c r="R20" i="13"/>
  <c r="R24" i="13"/>
  <c r="R28" i="13"/>
  <c r="R32" i="13"/>
  <c r="R36" i="13"/>
  <c r="R13" i="13"/>
  <c r="R17" i="13"/>
  <c r="R21" i="13"/>
  <c r="R25" i="13"/>
  <c r="R29" i="13"/>
  <c r="R33" i="13"/>
  <c r="R37" i="13"/>
  <c r="S19" i="12"/>
  <c r="B27" i="10" s="1"/>
  <c r="U19" i="12"/>
  <c r="E26" i="10" s="1"/>
  <c r="V19" i="12"/>
  <c r="F26" i="10" s="1"/>
  <c r="W19" i="12"/>
  <c r="G26" i="10" s="1"/>
  <c r="X19" i="12"/>
  <c r="Y19" i="12"/>
  <c r="I26" i="10" s="1"/>
  <c r="AB19" i="12"/>
  <c r="S20" i="12"/>
  <c r="B28" i="10" s="1"/>
  <c r="U20" i="12"/>
  <c r="E27" i="10" s="1"/>
  <c r="V20" i="12"/>
  <c r="F27" i="10" s="1"/>
  <c r="W20" i="12"/>
  <c r="G27" i="10" s="1"/>
  <c r="X20" i="12"/>
  <c r="Y20" i="12"/>
  <c r="I27" i="10" s="1"/>
  <c r="AB20" i="12"/>
  <c r="S21" i="12"/>
  <c r="B29" i="10" s="1"/>
  <c r="U21" i="12"/>
  <c r="E28" i="10" s="1"/>
  <c r="V21" i="12"/>
  <c r="F28" i="10" s="1"/>
  <c r="W21" i="12"/>
  <c r="G28" i="10" s="1"/>
  <c r="X21" i="12"/>
  <c r="Y21" i="12"/>
  <c r="I28" i="10" s="1"/>
  <c r="AB21" i="12"/>
  <c r="S22" i="12"/>
  <c r="U22" i="12"/>
  <c r="E29" i="10" s="1"/>
  <c r="V22" i="12"/>
  <c r="F29" i="10" s="1"/>
  <c r="W22" i="12"/>
  <c r="G29" i="10" s="1"/>
  <c r="X22" i="12"/>
  <c r="Y22" i="12"/>
  <c r="I29" i="10" s="1"/>
  <c r="AB22" i="12"/>
  <c r="AB18" i="12"/>
  <c r="Y18" i="12"/>
  <c r="I25" i="10" s="1"/>
  <c r="X18" i="12"/>
  <c r="V18" i="12"/>
  <c r="F25" i="10" s="1"/>
  <c r="U18" i="12"/>
  <c r="E25" i="10" s="1"/>
  <c r="S18" i="12"/>
  <c r="W18" i="12"/>
  <c r="G25" i="10" s="1"/>
  <c r="AA4" i="12"/>
  <c r="K10" i="10" s="1"/>
  <c r="AA5" i="12"/>
  <c r="K11" i="10" s="1"/>
  <c r="AA6" i="12"/>
  <c r="K12" i="10" s="1"/>
  <c r="AA7" i="12"/>
  <c r="K13" i="10" s="1"/>
  <c r="AA8" i="12"/>
  <c r="K14" i="10" s="1"/>
  <c r="AA9" i="12"/>
  <c r="K15" i="10" s="1"/>
  <c r="AA10" i="12"/>
  <c r="K16" i="10" s="1"/>
  <c r="AA11" i="12"/>
  <c r="K17" i="10" s="1"/>
  <c r="AA12" i="12"/>
  <c r="K18" i="10" s="1"/>
  <c r="AA13" i="12"/>
  <c r="K19" i="10" s="1"/>
  <c r="AA14" i="12"/>
  <c r="K20" i="10" s="1"/>
  <c r="AA15" i="12"/>
  <c r="K21" i="10" s="1"/>
  <c r="AA16" i="12"/>
  <c r="K22" i="10" s="1"/>
  <c r="AA17" i="12"/>
  <c r="K23" i="10" s="1"/>
  <c r="AA3" i="12"/>
  <c r="K9" i="10" s="1"/>
  <c r="AC4" i="12"/>
  <c r="M10" i="10" s="1"/>
  <c r="AC5" i="12"/>
  <c r="M11" i="10" s="1"/>
  <c r="AC6" i="12"/>
  <c r="M12" i="10" s="1"/>
  <c r="AC7" i="12"/>
  <c r="M13" i="10" s="1"/>
  <c r="AC8" i="12"/>
  <c r="M14" i="10" s="1"/>
  <c r="AC9" i="12"/>
  <c r="M15" i="10" s="1"/>
  <c r="AC10" i="12"/>
  <c r="M16" i="10" s="1"/>
  <c r="AC11" i="12"/>
  <c r="M17" i="10" s="1"/>
  <c r="AC12" i="12"/>
  <c r="M18" i="10" s="1"/>
  <c r="AC13" i="12"/>
  <c r="M19" i="10" s="1"/>
  <c r="AC14" i="12"/>
  <c r="M20" i="10" s="1"/>
  <c r="AC15" i="12"/>
  <c r="M21" i="10" s="1"/>
  <c r="AC16" i="12"/>
  <c r="M22" i="10" s="1"/>
  <c r="AC17" i="12"/>
  <c r="M23" i="10" s="1"/>
  <c r="AC3" i="12"/>
  <c r="M9" i="10" s="1"/>
  <c r="AB4" i="12"/>
  <c r="L10" i="10" s="1"/>
  <c r="AB5" i="12"/>
  <c r="L11" i="10" s="1"/>
  <c r="AB6" i="12"/>
  <c r="L12" i="10" s="1"/>
  <c r="AB7" i="12"/>
  <c r="L13" i="10" s="1"/>
  <c r="AB8" i="12"/>
  <c r="L14" i="10" s="1"/>
  <c r="AB9" i="12"/>
  <c r="L15" i="10" s="1"/>
  <c r="AB10" i="12"/>
  <c r="L16" i="10" s="1"/>
  <c r="AB11" i="12"/>
  <c r="L17" i="10" s="1"/>
  <c r="AB12" i="12"/>
  <c r="L18" i="10" s="1"/>
  <c r="AB13" i="12"/>
  <c r="L19" i="10" s="1"/>
  <c r="AB14" i="12"/>
  <c r="L20" i="10" s="1"/>
  <c r="AB15" i="12"/>
  <c r="L21" i="10" s="1"/>
  <c r="AB16" i="12"/>
  <c r="L22" i="10" s="1"/>
  <c r="AB17" i="12"/>
  <c r="L23" i="10" s="1"/>
  <c r="AB3" i="12"/>
  <c r="L9" i="10" s="1"/>
  <c r="Y4" i="12"/>
  <c r="I10" i="10" s="1"/>
  <c r="Y5" i="12"/>
  <c r="I11" i="10" s="1"/>
  <c r="Y6" i="12"/>
  <c r="I12" i="10" s="1"/>
  <c r="Y7" i="12"/>
  <c r="I13" i="10" s="1"/>
  <c r="Y8" i="12"/>
  <c r="I14" i="10" s="1"/>
  <c r="Y9" i="12"/>
  <c r="I15" i="10" s="1"/>
  <c r="Y10" i="12"/>
  <c r="I16" i="10" s="1"/>
  <c r="Y11" i="12"/>
  <c r="I17" i="10" s="1"/>
  <c r="Y12" i="12"/>
  <c r="I18" i="10" s="1"/>
  <c r="Y13" i="12"/>
  <c r="I19" i="10" s="1"/>
  <c r="Y14" i="12"/>
  <c r="I20" i="10" s="1"/>
  <c r="Y15" i="12"/>
  <c r="I21" i="10" s="1"/>
  <c r="Y16" i="12"/>
  <c r="I22" i="10" s="1"/>
  <c r="Y17" i="12"/>
  <c r="I23" i="10" s="1"/>
  <c r="Y3" i="12"/>
  <c r="I9" i="10" s="1"/>
  <c r="U4" i="12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3" i="12"/>
  <c r="S4" i="12"/>
  <c r="B10" i="10" s="1"/>
  <c r="X4" i="12"/>
  <c r="S5" i="12"/>
  <c r="B11" i="10" s="1"/>
  <c r="X5" i="12"/>
  <c r="S6" i="12"/>
  <c r="B12" i="10" s="1"/>
  <c r="X6" i="12"/>
  <c r="S7" i="12"/>
  <c r="B13" i="10" s="1"/>
  <c r="X7" i="12"/>
  <c r="S8" i="12"/>
  <c r="B14" i="10" s="1"/>
  <c r="X8" i="12"/>
  <c r="S9" i="12"/>
  <c r="B15" i="10" s="1"/>
  <c r="X9" i="12"/>
  <c r="S10" i="12"/>
  <c r="B16" i="10" s="1"/>
  <c r="X10" i="12"/>
  <c r="S11" i="12"/>
  <c r="B17" i="10" s="1"/>
  <c r="X11" i="12"/>
  <c r="S12" i="12"/>
  <c r="B18" i="10" s="1"/>
  <c r="X12" i="12"/>
  <c r="S13" i="12"/>
  <c r="B19" i="10" s="1"/>
  <c r="X13" i="12"/>
  <c r="S14" i="12"/>
  <c r="B20" i="10" s="1"/>
  <c r="X14" i="12"/>
  <c r="S15" i="12"/>
  <c r="B21" i="10" s="1"/>
  <c r="X15" i="12"/>
  <c r="S16" i="12"/>
  <c r="B22" i="10" s="1"/>
  <c r="X16" i="12"/>
  <c r="S17" i="12"/>
  <c r="B23" i="10" s="1"/>
  <c r="X17" i="12"/>
  <c r="X3" i="12"/>
  <c r="S3" i="12"/>
  <c r="B9" i="10" s="1"/>
  <c r="B25" i="10" l="1"/>
  <c r="B26" i="10"/>
  <c r="K17" i="12"/>
  <c r="N17" i="12" s="1"/>
  <c r="L13" i="12"/>
  <c r="M13" i="12"/>
  <c r="O13" i="12"/>
  <c r="P13" i="12"/>
  <c r="Q13" i="12"/>
  <c r="L14" i="12"/>
  <c r="M14" i="12"/>
  <c r="O14" i="12"/>
  <c r="P14" i="12"/>
  <c r="Q14" i="12"/>
  <c r="L15" i="12"/>
  <c r="M15" i="12"/>
  <c r="O15" i="12"/>
  <c r="P15" i="12"/>
  <c r="Q15" i="12"/>
  <c r="R15" i="12"/>
  <c r="L16" i="12"/>
  <c r="M16" i="12"/>
  <c r="P16" i="12"/>
  <c r="R16" i="12"/>
  <c r="L17" i="12"/>
  <c r="M17" i="12"/>
  <c r="O17" i="12"/>
  <c r="P17" i="12"/>
  <c r="R17" i="12"/>
  <c r="Q17" i="12" l="1"/>
  <c r="K13" i="12"/>
  <c r="K16" i="12"/>
  <c r="N16" i="12" s="1"/>
  <c r="K15" i="12"/>
  <c r="N15" i="12" s="1"/>
  <c r="K14" i="12"/>
  <c r="N13" i="12" l="1"/>
  <c r="R13" i="12"/>
  <c r="N14" i="12"/>
  <c r="R14" i="12"/>
  <c r="O16" i="12"/>
  <c r="Q16" i="12"/>
  <c r="B18" i="6"/>
  <c r="E4" i="60" s="1"/>
  <c r="I4" i="10" l="1"/>
  <c r="H4" i="58"/>
  <c r="G4" i="17"/>
  <c r="H4" i="20"/>
  <c r="K4" i="13"/>
  <c r="O58" i="38"/>
  <c r="I58" i="38"/>
  <c r="C58" i="38"/>
  <c r="O47" i="38"/>
  <c r="I47" i="38"/>
  <c r="C47" i="38"/>
  <c r="M1" i="74"/>
  <c r="J4" i="56" l="1"/>
  <c r="J3" i="56"/>
  <c r="I4" i="50"/>
  <c r="I3" i="50"/>
  <c r="I101" i="5"/>
  <c r="I100" i="5"/>
  <c r="I36" i="5"/>
  <c r="I35" i="5"/>
  <c r="I4" i="5"/>
  <c r="I3" i="5"/>
  <c r="F5" i="3"/>
  <c r="D3" i="38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J2" i="56"/>
  <c r="G3" i="50"/>
  <c r="I1" i="61"/>
  <c r="C3" i="36"/>
  <c r="B4" i="72"/>
  <c r="C3" i="74"/>
  <c r="B4" i="45"/>
  <c r="F5" i="21"/>
  <c r="F4" i="21"/>
  <c r="A9" i="32"/>
  <c r="G6" i="32"/>
  <c r="G6" i="31"/>
  <c r="G6" i="30"/>
  <c r="G20" i="29"/>
  <c r="G19" i="29"/>
  <c r="A10" i="29"/>
  <c r="G6" i="29"/>
  <c r="G19" i="28"/>
  <c r="G18" i="28"/>
  <c r="G17" i="28"/>
  <c r="A10" i="28"/>
  <c r="G6" i="28"/>
  <c r="I1" i="16"/>
  <c r="I99" i="5"/>
  <c r="I34" i="5"/>
  <c r="I2" i="5"/>
  <c r="E5" i="3"/>
  <c r="K42" i="20"/>
  <c r="K41" i="20"/>
  <c r="X31" i="14"/>
  <c r="X30" i="14"/>
  <c r="X29" i="14"/>
  <c r="X28" i="14"/>
  <c r="X27" i="14"/>
  <c r="X26" i="14"/>
  <c r="X25" i="14"/>
  <c r="X24" i="14"/>
  <c r="X23" i="14"/>
  <c r="X22" i="14"/>
  <c r="X21" i="14"/>
  <c r="X20" i="14"/>
  <c r="X19" i="14"/>
  <c r="X18" i="14"/>
  <c r="X17" i="14"/>
  <c r="X16" i="14"/>
  <c r="X15" i="14"/>
  <c r="X14" i="14"/>
  <c r="X13" i="14"/>
  <c r="X12" i="14"/>
  <c r="X11" i="14"/>
  <c r="X10" i="14"/>
  <c r="X9" i="14"/>
  <c r="X8" i="14"/>
  <c r="X7" i="14"/>
  <c r="X6" i="14"/>
  <c r="X5" i="14"/>
  <c r="X4" i="14"/>
  <c r="X3" i="14"/>
  <c r="M34" i="11"/>
  <c r="L34" i="11"/>
  <c r="M33" i="11"/>
  <c r="L33" i="11"/>
  <c r="M32" i="11"/>
  <c r="L32" i="11"/>
  <c r="M31" i="11"/>
  <c r="L31" i="11"/>
  <c r="M30" i="11"/>
  <c r="L30" i="11"/>
  <c r="M29" i="11"/>
  <c r="L29" i="11"/>
  <c r="M28" i="11"/>
  <c r="L28" i="11"/>
  <c r="M27" i="11"/>
  <c r="L27" i="11"/>
  <c r="M26" i="11"/>
  <c r="L26" i="11"/>
  <c r="M25" i="11"/>
  <c r="L25" i="11"/>
  <c r="M24" i="11"/>
  <c r="L24" i="11"/>
  <c r="M23" i="11"/>
  <c r="L23" i="11"/>
  <c r="M22" i="11"/>
  <c r="L22" i="11"/>
  <c r="M21" i="11"/>
  <c r="L21" i="11"/>
  <c r="M20" i="11"/>
  <c r="L20" i="11"/>
  <c r="M19" i="11"/>
  <c r="L19" i="11"/>
  <c r="M18" i="11"/>
  <c r="L18" i="11"/>
  <c r="M17" i="11"/>
  <c r="L17" i="11"/>
  <c r="M16" i="11"/>
  <c r="L16" i="11"/>
  <c r="M15" i="11"/>
  <c r="L15" i="11"/>
  <c r="M14" i="11"/>
  <c r="L14" i="11"/>
  <c r="T14" i="12" s="1"/>
  <c r="C20" i="10" s="1"/>
  <c r="M13" i="11"/>
  <c r="L13" i="11"/>
  <c r="T13" i="12" s="1"/>
  <c r="C19" i="10" s="1"/>
  <c r="M12" i="11"/>
  <c r="J12" i="11"/>
  <c r="H12" i="11"/>
  <c r="F12" i="11"/>
  <c r="M11" i="11"/>
  <c r="J11" i="11"/>
  <c r="H11" i="11"/>
  <c r="F11" i="11"/>
  <c r="M10" i="11"/>
  <c r="L10" i="11"/>
  <c r="T8" i="12" s="1"/>
  <c r="C14" i="10" s="1"/>
  <c r="M9" i="11"/>
  <c r="L9" i="11"/>
  <c r="T7" i="12" s="1"/>
  <c r="C13" i="10" s="1"/>
  <c r="M8" i="11"/>
  <c r="L8" i="11"/>
  <c r="M7" i="11"/>
  <c r="L7" i="11"/>
  <c r="T5" i="12" s="1"/>
  <c r="C11" i="10" s="1"/>
  <c r="M6" i="11"/>
  <c r="G16" i="12" s="1"/>
  <c r="L6" i="11"/>
  <c r="T4" i="12" s="1"/>
  <c r="C10" i="10" s="1"/>
  <c r="M5" i="11"/>
  <c r="L5" i="11"/>
  <c r="T11" i="12" s="1"/>
  <c r="C17" i="10" s="1"/>
  <c r="M4" i="11"/>
  <c r="L4" i="11"/>
  <c r="F18" i="19"/>
  <c r="M3" i="33"/>
  <c r="B2" i="72"/>
  <c r="F3" i="45"/>
  <c r="B3" i="45"/>
  <c r="B6" i="45" s="1"/>
  <c r="B2" i="45"/>
  <c r="W16" i="12" l="1"/>
  <c r="G22" i="10" s="1"/>
  <c r="AK16" i="12"/>
  <c r="T16" i="12"/>
  <c r="C22" i="10" s="1"/>
  <c r="T17" i="12"/>
  <c r="C23" i="10" s="1"/>
  <c r="T15" i="12"/>
  <c r="C21" i="10" s="1"/>
  <c r="T12" i="12"/>
  <c r="C18" i="10" s="1"/>
  <c r="T10" i="12"/>
  <c r="C16" i="10" s="1"/>
  <c r="T9" i="12"/>
  <c r="C15" i="10" s="1"/>
  <c r="G14" i="12"/>
  <c r="F24" i="20"/>
  <c r="D25" i="3"/>
  <c r="D8" i="3"/>
  <c r="E25" i="3"/>
  <c r="E24" i="3"/>
  <c r="L11" i="11"/>
  <c r="T6" i="12" s="1"/>
  <c r="C12" i="10" s="1"/>
  <c r="L12" i="11"/>
  <c r="F16" i="12"/>
  <c r="F14" i="12"/>
  <c r="F13" i="12"/>
  <c r="F17" i="12"/>
  <c r="F15" i="12"/>
  <c r="G15" i="12"/>
  <c r="G17" i="12"/>
  <c r="G13" i="12"/>
  <c r="G17" i="32"/>
  <c r="D1" i="33"/>
  <c r="N1" i="38"/>
  <c r="N2" i="38"/>
  <c r="M1" i="36"/>
  <c r="B4" i="32"/>
  <c r="B4" i="31"/>
  <c r="B4" i="30"/>
  <c r="B6" i="28"/>
  <c r="B6" i="29"/>
  <c r="D4" i="5"/>
  <c r="C15" i="73"/>
  <c r="D5" i="56"/>
  <c r="J2" i="50"/>
  <c r="C15" i="39"/>
  <c r="M2" i="10"/>
  <c r="V17" i="12" l="1"/>
  <c r="F23" i="10" s="1"/>
  <c r="AJ17" i="12"/>
  <c r="V13" i="12"/>
  <c r="F19" i="10" s="1"/>
  <c r="AJ13" i="12"/>
  <c r="V14" i="12"/>
  <c r="F20" i="10" s="1"/>
  <c r="AJ14" i="12"/>
  <c r="V15" i="12"/>
  <c r="F21" i="10" s="1"/>
  <c r="AJ15" i="12"/>
  <c r="V16" i="12"/>
  <c r="F22" i="10" s="1"/>
  <c r="AJ16" i="12"/>
  <c r="W17" i="12"/>
  <c r="G23" i="10" s="1"/>
  <c r="AK17" i="12"/>
  <c r="W15" i="12"/>
  <c r="G21" i="10" s="1"/>
  <c r="AK15" i="12"/>
  <c r="W14" i="12"/>
  <c r="G20" i="10" s="1"/>
  <c r="AK14" i="12"/>
  <c r="W13" i="12"/>
  <c r="G19" i="10" s="1"/>
  <c r="AK13" i="12"/>
  <c r="AF22" i="12"/>
  <c r="AE22" i="12"/>
  <c r="AF21" i="12"/>
  <c r="AE21" i="12"/>
  <c r="AF20" i="12"/>
  <c r="AE20" i="12"/>
  <c r="AF19" i="12"/>
  <c r="AE19" i="12"/>
  <c r="AF18" i="12"/>
  <c r="AE18" i="12"/>
  <c r="Z22" i="12" l="1"/>
  <c r="J29" i="10" s="1"/>
  <c r="Z19" i="12"/>
  <c r="J26" i="10" s="1"/>
  <c r="Z20" i="12"/>
  <c r="J27" i="10" s="1"/>
  <c r="Z21" i="12"/>
  <c r="J28" i="10" s="1"/>
  <c r="Z18" i="12"/>
  <c r="J25" i="10" s="1"/>
  <c r="D4" i="56"/>
  <c r="H3" i="56"/>
  <c r="D3" i="56"/>
  <c r="H2" i="56"/>
  <c r="I2" i="56" l="1"/>
  <c r="D2" i="56"/>
  <c r="H4" i="56"/>
  <c r="O5" i="11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G31" i="16"/>
  <c r="G29" i="16"/>
  <c r="C29" i="16"/>
  <c r="C28" i="16"/>
  <c r="G27" i="16"/>
  <c r="C26" i="16"/>
  <c r="G25" i="16"/>
  <c r="C25" i="16"/>
  <c r="C24" i="16"/>
  <c r="G23" i="16"/>
  <c r="C63" i="9" l="1"/>
  <c r="L38" i="13" l="1"/>
  <c r="K38" i="13"/>
  <c r="L37" i="13"/>
  <c r="K37" i="13"/>
  <c r="L36" i="13"/>
  <c r="K36" i="13"/>
  <c r="L35" i="13"/>
  <c r="K35" i="13"/>
  <c r="L34" i="13"/>
  <c r="K34" i="13"/>
  <c r="L33" i="13"/>
  <c r="K33" i="13"/>
  <c r="L32" i="13"/>
  <c r="K32" i="13"/>
  <c r="J24" i="14"/>
  <c r="J25" i="14"/>
  <c r="J26" i="14"/>
  <c r="J27" i="14"/>
  <c r="J28" i="14"/>
  <c r="J29" i="14"/>
  <c r="J30" i="14"/>
  <c r="J31" i="14"/>
  <c r="J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G30" i="16" l="1"/>
  <c r="L31" i="13"/>
  <c r="K31" i="13"/>
  <c r="G28" i="16" l="1"/>
  <c r="L30" i="13"/>
  <c r="K30" i="13"/>
  <c r="L29" i="13"/>
  <c r="K29" i="13"/>
  <c r="H22" i="14"/>
  <c r="J29" i="13" s="1"/>
  <c r="S22" i="14"/>
  <c r="T22" i="14"/>
  <c r="V22" i="14"/>
  <c r="AC22" i="14" s="1"/>
  <c r="W22" i="14"/>
  <c r="I29" i="13" s="1"/>
  <c r="Y22" i="14"/>
  <c r="H23" i="14"/>
  <c r="J30" i="13" s="1"/>
  <c r="P23" i="14"/>
  <c r="S23" i="14" s="1"/>
  <c r="R23" i="14"/>
  <c r="T23" i="14"/>
  <c r="V23" i="14"/>
  <c r="AC23" i="14" s="1"/>
  <c r="W23" i="14"/>
  <c r="I30" i="13" s="1"/>
  <c r="Y23" i="14"/>
  <c r="H24" i="14"/>
  <c r="P24" i="14"/>
  <c r="S24" i="14"/>
  <c r="T24" i="14"/>
  <c r="V24" i="14"/>
  <c r="AC24" i="14" s="1"/>
  <c r="W24" i="14"/>
  <c r="I31" i="13" s="1"/>
  <c r="D25" i="16" s="1"/>
  <c r="Y24" i="14"/>
  <c r="H25" i="14"/>
  <c r="P25" i="14"/>
  <c r="R25" i="14" s="1"/>
  <c r="V25" i="14"/>
  <c r="AC25" i="14" s="1"/>
  <c r="W25" i="14"/>
  <c r="I32" i="13" s="1"/>
  <c r="D26" i="16" s="1"/>
  <c r="Y25" i="14"/>
  <c r="H26" i="14"/>
  <c r="P26" i="14"/>
  <c r="T26" i="14" s="1"/>
  <c r="S26" i="14"/>
  <c r="V26" i="14"/>
  <c r="AC26" i="14" s="1"/>
  <c r="W26" i="14"/>
  <c r="I33" i="13" s="1"/>
  <c r="D27" i="16" s="1"/>
  <c r="AB27" i="16" s="1"/>
  <c r="Y26" i="14"/>
  <c r="H27" i="14"/>
  <c r="P27" i="14"/>
  <c r="Z27" i="14" s="1"/>
  <c r="AA27" i="14" s="1"/>
  <c r="T27" i="14"/>
  <c r="V27" i="14"/>
  <c r="AC27" i="14" s="1"/>
  <c r="W27" i="14"/>
  <c r="I34" i="13" s="1"/>
  <c r="D28" i="16" s="1"/>
  <c r="V28" i="16" s="1"/>
  <c r="Y27" i="14"/>
  <c r="H28" i="14"/>
  <c r="K28" i="14" s="1"/>
  <c r="P28" i="14"/>
  <c r="S28" i="14" s="1"/>
  <c r="R28" i="14"/>
  <c r="V28" i="14"/>
  <c r="AC28" i="14" s="1"/>
  <c r="W28" i="14"/>
  <c r="I35" i="13" s="1"/>
  <c r="D29" i="16" s="1"/>
  <c r="AD29" i="16" s="1"/>
  <c r="Y28" i="14"/>
  <c r="H29" i="14"/>
  <c r="P29" i="14"/>
  <c r="T29" i="14" s="1"/>
  <c r="S29" i="14"/>
  <c r="V29" i="14"/>
  <c r="AC29" i="14" s="1"/>
  <c r="W29" i="14"/>
  <c r="I36" i="13" s="1"/>
  <c r="D30" i="16" s="1"/>
  <c r="L30" i="16" s="1"/>
  <c r="Y29" i="14"/>
  <c r="H30" i="14"/>
  <c r="P30" i="14"/>
  <c r="R30" i="14" s="1"/>
  <c r="S30" i="14"/>
  <c r="V30" i="14"/>
  <c r="AC30" i="14" s="1"/>
  <c r="W30" i="14"/>
  <c r="I37" i="13" s="1"/>
  <c r="D31" i="16" s="1"/>
  <c r="O31" i="16" s="1"/>
  <c r="Y30" i="14"/>
  <c r="H31" i="14"/>
  <c r="P31" i="14"/>
  <c r="T31" i="14" s="1"/>
  <c r="V31" i="14"/>
  <c r="AC31" i="14" s="1"/>
  <c r="W31" i="14"/>
  <c r="I38" i="13" s="1"/>
  <c r="D32" i="16" s="1"/>
  <c r="U32" i="16" s="1"/>
  <c r="Y31" i="14"/>
  <c r="AE28" i="14" l="1"/>
  <c r="AD28" i="14" s="1"/>
  <c r="M28" i="14"/>
  <c r="E32" i="16"/>
  <c r="J29" i="16"/>
  <c r="AC29" i="16"/>
  <c r="I29" i="16"/>
  <c r="S29" i="16"/>
  <c r="X29" i="16"/>
  <c r="Q29" i="16"/>
  <c r="L29" i="16"/>
  <c r="X32" i="16"/>
  <c r="F32" i="16"/>
  <c r="I32" i="16"/>
  <c r="AC32" i="16"/>
  <c r="P32" i="16"/>
  <c r="T32" i="16"/>
  <c r="AD32" i="16"/>
  <c r="O32" i="16"/>
  <c r="AA32" i="16"/>
  <c r="M31" i="16"/>
  <c r="V31" i="16"/>
  <c r="H31" i="16"/>
  <c r="P31" i="16"/>
  <c r="J31" i="16"/>
  <c r="F31" i="16"/>
  <c r="V29" i="16"/>
  <c r="T29" i="16"/>
  <c r="F28" i="16"/>
  <c r="J28" i="16"/>
  <c r="Z28" i="16"/>
  <c r="H28" i="16"/>
  <c r="P28" i="16"/>
  <c r="M28" i="16"/>
  <c r="AC28" i="16"/>
  <c r="W28" i="16"/>
  <c r="N28" i="16"/>
  <c r="AA28" i="16"/>
  <c r="I28" i="16"/>
  <c r="Q28" i="16"/>
  <c r="AD28" i="16"/>
  <c r="U27" i="16"/>
  <c r="V27" i="16"/>
  <c r="AC27" i="16"/>
  <c r="AD27" i="16"/>
  <c r="T27" i="16"/>
  <c r="AA27" i="16"/>
  <c r="Z27" i="16"/>
  <c r="M27" i="16"/>
  <c r="W27" i="16"/>
  <c r="J27" i="16"/>
  <c r="L27" i="16"/>
  <c r="Y27" i="16"/>
  <c r="X27" i="16"/>
  <c r="Q27" i="16"/>
  <c r="O27" i="16"/>
  <c r="R27" i="16"/>
  <c r="F27" i="16"/>
  <c r="Z32" i="16"/>
  <c r="AB32" i="16"/>
  <c r="R32" i="16"/>
  <c r="J32" i="16"/>
  <c r="Y32" i="16"/>
  <c r="K32" i="16"/>
  <c r="V32" i="16"/>
  <c r="W32" i="16"/>
  <c r="N32" i="16"/>
  <c r="Q32" i="16"/>
  <c r="L32" i="16"/>
  <c r="M32" i="16"/>
  <c r="H32" i="16"/>
  <c r="S32" i="16"/>
  <c r="U31" i="16"/>
  <c r="AB31" i="16"/>
  <c r="AC31" i="16"/>
  <c r="Z31" i="16"/>
  <c r="AD31" i="16"/>
  <c r="L31" i="16"/>
  <c r="AA31" i="16"/>
  <c r="E31" i="16"/>
  <c r="Q31" i="16"/>
  <c r="I31" i="16"/>
  <c r="S31" i="16"/>
  <c r="R31" i="16"/>
  <c r="T31" i="16"/>
  <c r="N31" i="16"/>
  <c r="X31" i="16"/>
  <c r="Y31" i="16"/>
  <c r="W31" i="16"/>
  <c r="K31" i="16"/>
  <c r="AC30" i="16"/>
  <c r="AB30" i="16"/>
  <c r="T30" i="16"/>
  <c r="X30" i="16"/>
  <c r="N30" i="16"/>
  <c r="F30" i="16"/>
  <c r="Z30" i="16"/>
  <c r="E30" i="16"/>
  <c r="AA30" i="16"/>
  <c r="Q30" i="16"/>
  <c r="V30" i="16"/>
  <c r="K30" i="16"/>
  <c r="AD30" i="16"/>
  <c r="W30" i="16"/>
  <c r="S30" i="16"/>
  <c r="O30" i="16"/>
  <c r="J30" i="16"/>
  <c r="P30" i="16"/>
  <c r="R30" i="16"/>
  <c r="I30" i="16"/>
  <c r="U30" i="16"/>
  <c r="Y30" i="16"/>
  <c r="M30" i="16"/>
  <c r="H30" i="16"/>
  <c r="Z29" i="16"/>
  <c r="F29" i="16"/>
  <c r="M29" i="16"/>
  <c r="K29" i="16"/>
  <c r="U29" i="16"/>
  <c r="AA29" i="16"/>
  <c r="E29" i="16"/>
  <c r="AB29" i="16"/>
  <c r="Y29" i="16"/>
  <c r="O29" i="16"/>
  <c r="P29" i="16"/>
  <c r="W29" i="16"/>
  <c r="N29" i="16"/>
  <c r="H29" i="16"/>
  <c r="R29" i="16"/>
  <c r="U28" i="16"/>
  <c r="E28" i="16"/>
  <c r="L28" i="16"/>
  <c r="Y28" i="16"/>
  <c r="K28" i="16"/>
  <c r="S28" i="16"/>
  <c r="T28" i="16"/>
  <c r="R28" i="16"/>
  <c r="O28" i="16"/>
  <c r="X28" i="16"/>
  <c r="AB28" i="16"/>
  <c r="K27" i="16"/>
  <c r="S27" i="16"/>
  <c r="N27" i="16"/>
  <c r="I27" i="16"/>
  <c r="P27" i="16"/>
  <c r="H27" i="16"/>
  <c r="R31" i="14"/>
  <c r="K26" i="14"/>
  <c r="E27" i="16"/>
  <c r="D24" i="16"/>
  <c r="J24" i="16" s="1"/>
  <c r="D23" i="16"/>
  <c r="G26" i="16"/>
  <c r="AC26" i="16"/>
  <c r="S26" i="16"/>
  <c r="Z26" i="16"/>
  <c r="R26" i="16"/>
  <c r="J26" i="16"/>
  <c r="W26" i="16"/>
  <c r="O26" i="16"/>
  <c r="AD26" i="16"/>
  <c r="V26" i="16"/>
  <c r="N26" i="16"/>
  <c r="F26" i="16"/>
  <c r="AA26" i="16"/>
  <c r="K26" i="16"/>
  <c r="L26" i="16"/>
  <c r="AB26" i="16"/>
  <c r="Q26" i="16"/>
  <c r="P26" i="16"/>
  <c r="E26" i="16"/>
  <c r="U26" i="16"/>
  <c r="T26" i="16"/>
  <c r="I26" i="16"/>
  <c r="Y26" i="16"/>
  <c r="H26" i="16"/>
  <c r="X26" i="16"/>
  <c r="M26" i="16"/>
  <c r="AC25" i="16"/>
  <c r="W25" i="16"/>
  <c r="O25" i="16"/>
  <c r="AD25" i="16"/>
  <c r="V25" i="16"/>
  <c r="N25" i="16"/>
  <c r="F25" i="16"/>
  <c r="AA25" i="16"/>
  <c r="S25" i="16"/>
  <c r="K25" i="16"/>
  <c r="Z25" i="16"/>
  <c r="R25" i="16"/>
  <c r="J25" i="16"/>
  <c r="L25" i="16"/>
  <c r="AB25" i="16"/>
  <c r="Q25" i="16"/>
  <c r="P25" i="16"/>
  <c r="E25" i="16"/>
  <c r="U25" i="16"/>
  <c r="T25" i="16"/>
  <c r="I25" i="16"/>
  <c r="Y25" i="16"/>
  <c r="H25" i="16"/>
  <c r="X25" i="16"/>
  <c r="M25" i="16"/>
  <c r="G24" i="16"/>
  <c r="S31" i="14"/>
  <c r="Z31" i="14"/>
  <c r="AA31" i="14" s="1"/>
  <c r="K31" i="14"/>
  <c r="J38" i="13"/>
  <c r="T30" i="14"/>
  <c r="Z30" i="14"/>
  <c r="AA30" i="14" s="1"/>
  <c r="K30" i="14"/>
  <c r="J37" i="13"/>
  <c r="Z29" i="14"/>
  <c r="AA29" i="14" s="1"/>
  <c r="R29" i="14"/>
  <c r="K29" i="14"/>
  <c r="J36" i="13"/>
  <c r="T28" i="14"/>
  <c r="Z28" i="14"/>
  <c r="AA28" i="14" s="1"/>
  <c r="J35" i="13"/>
  <c r="S27" i="14"/>
  <c r="R27" i="14"/>
  <c r="K27" i="14"/>
  <c r="J34" i="13"/>
  <c r="Z26" i="14"/>
  <c r="AA26" i="14" s="1"/>
  <c r="R26" i="14"/>
  <c r="J33" i="13"/>
  <c r="T25" i="14"/>
  <c r="S25" i="14"/>
  <c r="Z25" i="14"/>
  <c r="AA25" i="14" s="1"/>
  <c r="K25" i="14"/>
  <c r="J32" i="13"/>
  <c r="J31" i="13"/>
  <c r="Z24" i="14"/>
  <c r="AA24" i="14" s="1"/>
  <c r="R24" i="14"/>
  <c r="K24" i="14"/>
  <c r="Z23" i="14"/>
  <c r="AA23" i="14" s="1"/>
  <c r="K22" i="14"/>
  <c r="P22" i="14"/>
  <c r="K23" i="14"/>
  <c r="AE31" i="14" l="1"/>
  <c r="AD31" i="14" s="1"/>
  <c r="C51" i="9" s="1"/>
  <c r="M31" i="14"/>
  <c r="AE30" i="14"/>
  <c r="AD30" i="14" s="1"/>
  <c r="C50" i="9" s="1"/>
  <c r="M30" i="14"/>
  <c r="M29" i="14"/>
  <c r="AE29" i="14"/>
  <c r="AD29" i="14" s="1"/>
  <c r="C49" i="9" s="1"/>
  <c r="AE27" i="14"/>
  <c r="AD27" i="14" s="1"/>
  <c r="C47" i="9" s="1"/>
  <c r="M27" i="14"/>
  <c r="AE26" i="14"/>
  <c r="AD26" i="14" s="1"/>
  <c r="M26" i="14"/>
  <c r="M25" i="14"/>
  <c r="AE25" i="14"/>
  <c r="AD25" i="14" s="1"/>
  <c r="C45" i="9" s="1"/>
  <c r="AE24" i="14"/>
  <c r="AD24" i="14" s="1"/>
  <c r="M24" i="14"/>
  <c r="AE23" i="14"/>
  <c r="AD23" i="14" s="1"/>
  <c r="C43" i="9" s="1"/>
  <c r="M23" i="14"/>
  <c r="AE22" i="14"/>
  <c r="AD22" i="14" s="1"/>
  <c r="M22" i="14"/>
  <c r="AB24" i="16"/>
  <c r="O24" i="16"/>
  <c r="T24" i="16"/>
  <c r="AA24" i="16"/>
  <c r="L24" i="16"/>
  <c r="R24" i="16"/>
  <c r="Y24" i="16"/>
  <c r="H24" i="16"/>
  <c r="U24" i="16"/>
  <c r="E24" i="16"/>
  <c r="N24" i="16"/>
  <c r="Z24" i="16"/>
  <c r="P24" i="16"/>
  <c r="X24" i="16"/>
  <c r="F24" i="16"/>
  <c r="K24" i="16"/>
  <c r="V24" i="16"/>
  <c r="W24" i="16"/>
  <c r="AC24" i="16"/>
  <c r="I24" i="16"/>
  <c r="Q24" i="16"/>
  <c r="M24" i="16"/>
  <c r="S24" i="16"/>
  <c r="AD24" i="16"/>
  <c r="C27" i="16"/>
  <c r="C30" i="16"/>
  <c r="C31" i="16"/>
  <c r="C48" i="9"/>
  <c r="C46" i="9"/>
  <c r="C44" i="9"/>
  <c r="R22" i="14"/>
  <c r="Z22" i="14"/>
  <c r="D13" i="11"/>
  <c r="C23" i="16" l="1"/>
  <c r="C32" i="16"/>
  <c r="AA22" i="14"/>
  <c r="C42" i="9" s="1"/>
  <c r="P61" i="38"/>
  <c r="J61" i="38"/>
  <c r="D61" i="38"/>
  <c r="D50" i="38"/>
  <c r="J26" i="33"/>
  <c r="M26" i="33" s="1"/>
  <c r="J25" i="33"/>
  <c r="M25" i="33" s="1"/>
  <c r="J24" i="33"/>
  <c r="M24" i="33" s="1"/>
  <c r="J23" i="33"/>
  <c r="M23" i="33" s="1"/>
  <c r="J20" i="33"/>
  <c r="M20" i="33" s="1"/>
  <c r="J19" i="33"/>
  <c r="M19" i="33" s="1"/>
  <c r="J18" i="33"/>
  <c r="M18" i="33" s="1"/>
  <c r="J17" i="33"/>
  <c r="M17" i="33" s="1"/>
  <c r="E60" i="33"/>
  <c r="B59" i="33"/>
  <c r="I44" i="33"/>
  <c r="B44" i="33" s="1"/>
  <c r="P44" i="33" s="1"/>
  <c r="I43" i="33"/>
  <c r="B43" i="33" s="1"/>
  <c r="P43" i="33" s="1"/>
  <c r="I42" i="33"/>
  <c r="B42" i="33" s="1"/>
  <c r="P42" i="33" s="1"/>
  <c r="I41" i="33"/>
  <c r="B41" i="33"/>
  <c r="P41" i="33" s="1"/>
  <c r="I40" i="33"/>
  <c r="B40" i="33"/>
  <c r="P40" i="33" s="1"/>
  <c r="I39" i="33"/>
  <c r="B39" i="33"/>
  <c r="P39" i="33" s="1"/>
  <c r="I38" i="33"/>
  <c r="B38" i="33"/>
  <c r="P38" i="33" s="1"/>
  <c r="I37" i="33"/>
  <c r="B37" i="33"/>
  <c r="P37" i="33" s="1"/>
  <c r="I36" i="33"/>
  <c r="B36" i="33"/>
  <c r="P36" i="33" s="1"/>
  <c r="I35" i="33"/>
  <c r="B35" i="33"/>
  <c r="P35" i="33" s="1"/>
  <c r="I34" i="33"/>
  <c r="B34" i="33"/>
  <c r="P34" i="33" s="1"/>
  <c r="I33" i="33"/>
  <c r="B33" i="33"/>
  <c r="P33" i="33" s="1"/>
  <c r="B28" i="33"/>
  <c r="E16" i="33"/>
  <c r="K68" i="33"/>
  <c r="B68" i="33"/>
  <c r="K67" i="33"/>
  <c r="B67" i="33"/>
  <c r="K66" i="33"/>
  <c r="B66" i="33"/>
  <c r="K65" i="33"/>
  <c r="B65" i="33"/>
  <c r="K64" i="33"/>
  <c r="B64" i="33"/>
  <c r="K63" i="33"/>
  <c r="B63" i="33"/>
  <c r="Q62" i="33"/>
  <c r="O62" i="33"/>
  <c r="M62" i="33"/>
  <c r="H62" i="33"/>
  <c r="F62" i="33"/>
  <c r="D62" i="33"/>
  <c r="B62" i="33"/>
  <c r="B60" i="33"/>
  <c r="B58" i="33"/>
  <c r="B57" i="33"/>
  <c r="B56" i="33"/>
  <c r="B55" i="33"/>
  <c r="B54" i="33"/>
  <c r="B53" i="33"/>
  <c r="B52" i="33"/>
  <c r="B51" i="33"/>
  <c r="B49" i="33"/>
  <c r="B47" i="33"/>
  <c r="B43" i="38" s="1"/>
  <c r="B32" i="33"/>
  <c r="P32" i="33" s="1"/>
  <c r="H30" i="33"/>
  <c r="B30" i="33"/>
  <c r="F17" i="33"/>
  <c r="B17" i="33"/>
  <c r="B16" i="33"/>
  <c r="G13" i="33"/>
  <c r="B13" i="33"/>
  <c r="B10" i="33"/>
  <c r="I9" i="33"/>
  <c r="B9" i="33"/>
  <c r="J5" i="33"/>
  <c r="B5" i="33"/>
  <c r="J4" i="33"/>
  <c r="B4" i="33"/>
  <c r="B3" i="33"/>
  <c r="A35" i="72" l="1"/>
  <c r="A35" i="45"/>
  <c r="F16" i="21" l="1"/>
  <c r="D16" i="21"/>
  <c r="B56" i="52" l="1"/>
  <c r="C10" i="50"/>
  <c r="C32" i="39" l="1"/>
  <c r="I33" i="39"/>
  <c r="I34" i="39"/>
  <c r="I35" i="39"/>
  <c r="I36" i="39"/>
  <c r="I37" i="39"/>
  <c r="I38" i="39"/>
  <c r="I39" i="39"/>
  <c r="I40" i="39"/>
  <c r="I32" i="39"/>
  <c r="Y39" i="42" l="1"/>
  <c r="X39" i="42"/>
  <c r="W39" i="42"/>
  <c r="V39" i="42"/>
  <c r="U39" i="42"/>
  <c r="T39" i="42"/>
  <c r="S39" i="42"/>
  <c r="R39" i="42"/>
  <c r="Q39" i="42"/>
  <c r="P39" i="42"/>
  <c r="O39" i="42"/>
  <c r="N39" i="42"/>
  <c r="J8" i="50" l="1"/>
  <c r="K61" i="45"/>
  <c r="K60" i="45"/>
  <c r="K59" i="45"/>
  <c r="K58" i="45"/>
  <c r="K56" i="45"/>
  <c r="K55" i="45"/>
  <c r="K54" i="45"/>
  <c r="K53" i="45"/>
  <c r="K52" i="45"/>
  <c r="B60" i="52" l="1"/>
  <c r="H16" i="73" l="1"/>
  <c r="K9" i="33" s="1"/>
  <c r="J13" i="73"/>
  <c r="H13" i="73"/>
  <c r="O6" i="33" l="1"/>
  <c r="B3" i="72"/>
  <c r="B6" i="72" s="1"/>
  <c r="B101" i="72" l="1"/>
  <c r="B100" i="72"/>
  <c r="H16" i="74"/>
  <c r="H16" i="36"/>
  <c r="C6" i="74"/>
  <c r="A50" i="74"/>
  <c r="J50" i="74" s="1"/>
  <c r="A47" i="74"/>
  <c r="C47" i="74" s="1"/>
  <c r="A44" i="74"/>
  <c r="J44" i="74" s="1"/>
  <c r="A41" i="74"/>
  <c r="H41" i="74" s="1"/>
  <c r="A38" i="74"/>
  <c r="J38" i="74" s="1"/>
  <c r="A35" i="74"/>
  <c r="C35" i="74" s="1"/>
  <c r="A32" i="74"/>
  <c r="J32" i="74" s="1"/>
  <c r="A29" i="74"/>
  <c r="H29" i="74" s="1"/>
  <c r="R26" i="74"/>
  <c r="A26" i="74"/>
  <c r="C26" i="74" s="1"/>
  <c r="F22" i="74"/>
  <c r="D22" i="74" s="1"/>
  <c r="F21" i="74"/>
  <c r="A21" i="74" s="1"/>
  <c r="F20" i="74"/>
  <c r="D20" i="74" s="1"/>
  <c r="O6" i="74"/>
  <c r="M6" i="74"/>
  <c r="N6" i="74" s="1"/>
  <c r="F50" i="74"/>
  <c r="F47" i="74"/>
  <c r="F44" i="74"/>
  <c r="F41" i="74"/>
  <c r="F38" i="74"/>
  <c r="F35" i="74"/>
  <c r="F32" i="74"/>
  <c r="F29" i="74"/>
  <c r="F26" i="74"/>
  <c r="O22" i="74"/>
  <c r="O21" i="74"/>
  <c r="O20" i="74"/>
  <c r="I4" i="74"/>
  <c r="M2" i="74"/>
  <c r="I2" i="74"/>
  <c r="C2" i="74"/>
  <c r="G21" i="72"/>
  <c r="G22" i="72"/>
  <c r="G23" i="72"/>
  <c r="G24" i="72"/>
  <c r="G25" i="72"/>
  <c r="G26" i="72"/>
  <c r="G27" i="72"/>
  <c r="G28" i="72"/>
  <c r="G20" i="72"/>
  <c r="A50" i="36"/>
  <c r="J50" i="36" s="1"/>
  <c r="A47" i="36"/>
  <c r="J47" i="36" s="1"/>
  <c r="A44" i="36"/>
  <c r="E44" i="36" s="1"/>
  <c r="A41" i="36"/>
  <c r="J41" i="36" s="1"/>
  <c r="A38" i="36"/>
  <c r="J38" i="36" s="1"/>
  <c r="A35" i="36"/>
  <c r="H35" i="36" s="1"/>
  <c r="A32" i="36"/>
  <c r="E32" i="36" s="1"/>
  <c r="A29" i="36"/>
  <c r="C29" i="36" s="1"/>
  <c r="A26" i="36"/>
  <c r="H26" i="36" s="1"/>
  <c r="B46" i="73"/>
  <c r="B46" i="33" s="1"/>
  <c r="B45" i="73"/>
  <c r="B45" i="33" s="1"/>
  <c r="F22" i="36"/>
  <c r="F21" i="36"/>
  <c r="F20" i="36"/>
  <c r="O6" i="36"/>
  <c r="M6" i="36"/>
  <c r="N6" i="36" s="1"/>
  <c r="C6" i="36"/>
  <c r="I28" i="72" l="1"/>
  <c r="N41" i="33"/>
  <c r="I27" i="72"/>
  <c r="N40" i="33"/>
  <c r="I26" i="72"/>
  <c r="N39" i="33"/>
  <c r="I25" i="72"/>
  <c r="N38" i="33"/>
  <c r="I24" i="72"/>
  <c r="N37" i="33"/>
  <c r="I23" i="72"/>
  <c r="N36" i="33"/>
  <c r="I22" i="72"/>
  <c r="N35" i="33"/>
  <c r="I21" i="72"/>
  <c r="N34" i="33"/>
  <c r="I20" i="72"/>
  <c r="N33" i="33"/>
  <c r="E41" i="36"/>
  <c r="M34" i="74"/>
  <c r="N34" i="74" s="1"/>
  <c r="E47" i="36"/>
  <c r="E50" i="36"/>
  <c r="C50" i="36"/>
  <c r="H50" i="36"/>
  <c r="C47" i="36"/>
  <c r="H47" i="36"/>
  <c r="H44" i="36"/>
  <c r="C44" i="36"/>
  <c r="J44" i="36"/>
  <c r="H41" i="36"/>
  <c r="C41" i="36"/>
  <c r="E38" i="36"/>
  <c r="C38" i="36"/>
  <c r="H38" i="36"/>
  <c r="J35" i="36"/>
  <c r="C35" i="36"/>
  <c r="E35" i="36"/>
  <c r="D21" i="74"/>
  <c r="E29" i="74"/>
  <c r="M48" i="74"/>
  <c r="N48" i="74" s="1"/>
  <c r="M45" i="74"/>
  <c r="N45" i="74" s="1"/>
  <c r="C44" i="74"/>
  <c r="O44" i="74" s="1"/>
  <c r="M46" i="74"/>
  <c r="N46" i="74" s="1"/>
  <c r="M39" i="74"/>
  <c r="N39" i="74" s="1"/>
  <c r="M40" i="74"/>
  <c r="N40" i="74" s="1"/>
  <c r="C38" i="74"/>
  <c r="O38" i="74" s="1"/>
  <c r="H38" i="74"/>
  <c r="E32" i="74"/>
  <c r="H32" i="74"/>
  <c r="E44" i="74"/>
  <c r="C50" i="74"/>
  <c r="O50" i="74" s="1"/>
  <c r="C32" i="74"/>
  <c r="O32" i="74" s="1"/>
  <c r="E41" i="74"/>
  <c r="H44" i="74"/>
  <c r="H50" i="74"/>
  <c r="E26" i="74"/>
  <c r="J29" i="74"/>
  <c r="E35" i="74"/>
  <c r="J41" i="74"/>
  <c r="E47" i="74"/>
  <c r="M47" i="74" s="1"/>
  <c r="N47" i="74" s="1"/>
  <c r="M21" i="74"/>
  <c r="N21" i="74" s="1"/>
  <c r="M37" i="74"/>
  <c r="N37" i="74" s="1"/>
  <c r="M49" i="74"/>
  <c r="N49" i="74" s="1"/>
  <c r="H26" i="74"/>
  <c r="C29" i="74"/>
  <c r="O29" i="74" s="1"/>
  <c r="H35" i="74"/>
  <c r="E38" i="74"/>
  <c r="C41" i="74"/>
  <c r="O41" i="74" s="1"/>
  <c r="H47" i="74"/>
  <c r="E50" i="74"/>
  <c r="J26" i="74"/>
  <c r="J35" i="74"/>
  <c r="J47" i="74"/>
  <c r="M43" i="74"/>
  <c r="N43" i="74" s="1"/>
  <c r="M52" i="74"/>
  <c r="N52" i="74" s="1"/>
  <c r="H32" i="36"/>
  <c r="J32" i="36"/>
  <c r="C32" i="36"/>
  <c r="E29" i="36"/>
  <c r="H29" i="36"/>
  <c r="J29" i="36"/>
  <c r="M31" i="74"/>
  <c r="N31" i="74" s="1"/>
  <c r="J26" i="36"/>
  <c r="E26" i="36"/>
  <c r="O26" i="74"/>
  <c r="C26" i="36"/>
  <c r="M28" i="74"/>
  <c r="N28" i="74" s="1"/>
  <c r="A6" i="74"/>
  <c r="C103" i="9" s="1"/>
  <c r="A20" i="74"/>
  <c r="M20" i="74" s="1"/>
  <c r="A22" i="74"/>
  <c r="M22" i="74" s="1"/>
  <c r="O35" i="74"/>
  <c r="J36" i="74"/>
  <c r="J39" i="74"/>
  <c r="J45" i="74"/>
  <c r="O47" i="74"/>
  <c r="J48" i="74"/>
  <c r="J51" i="74"/>
  <c r="B103" i="72"/>
  <c r="B102" i="72"/>
  <c r="M32" i="74" l="1"/>
  <c r="N32" i="74" s="1"/>
  <c r="M38" i="74"/>
  <c r="N38" i="74" s="1"/>
  <c r="M29" i="74"/>
  <c r="N29" i="74" s="1"/>
  <c r="M50" i="74"/>
  <c r="N50" i="74" s="1"/>
  <c r="M35" i="74"/>
  <c r="N35" i="74" s="1"/>
  <c r="M44" i="74"/>
  <c r="N44" i="74" s="1"/>
  <c r="M41" i="74"/>
  <c r="N41" i="74" s="1"/>
  <c r="M26" i="74"/>
  <c r="N26" i="74" s="1"/>
  <c r="M27" i="74" s="1"/>
  <c r="N22" i="74"/>
  <c r="N20" i="74"/>
  <c r="B103" i="45"/>
  <c r="B102" i="45"/>
  <c r="M36" i="74" l="1"/>
  <c r="N36" i="74" s="1"/>
  <c r="M30" i="74"/>
  <c r="N30" i="74" s="1"/>
  <c r="M42" i="74"/>
  <c r="N42" i="74" s="1"/>
  <c r="N27" i="74"/>
  <c r="M51" i="74"/>
  <c r="N51" i="74" s="1"/>
  <c r="M33" i="74"/>
  <c r="N33" i="74" s="1"/>
  <c r="K61" i="72"/>
  <c r="B85" i="72" s="1"/>
  <c r="K60" i="72"/>
  <c r="B84" i="72" s="1"/>
  <c r="K59" i="72"/>
  <c r="B83" i="72" s="1"/>
  <c r="K58" i="72"/>
  <c r="B82" i="72" s="1"/>
  <c r="K56" i="72"/>
  <c r="B81" i="72" s="1"/>
  <c r="K55" i="72"/>
  <c r="B80" i="72" s="1"/>
  <c r="K54" i="72"/>
  <c r="B79" i="72" s="1"/>
  <c r="K53" i="72"/>
  <c r="B78" i="72" s="1"/>
  <c r="K52" i="72"/>
  <c r="B87" i="72"/>
  <c r="B74" i="72"/>
  <c r="K32" i="73"/>
  <c r="B77" i="72" l="1"/>
  <c r="J16" i="33"/>
  <c r="M16" i="33" s="1"/>
  <c r="I40" i="73"/>
  <c r="I39" i="73"/>
  <c r="I38" i="73"/>
  <c r="I37" i="73"/>
  <c r="I36" i="73"/>
  <c r="I35" i="73"/>
  <c r="I34" i="73"/>
  <c r="I33" i="73"/>
  <c r="I32" i="73"/>
  <c r="G22" i="73"/>
  <c r="G21" i="73"/>
  <c r="G17" i="33" s="1"/>
  <c r="E22" i="73"/>
  <c r="E21" i="73"/>
  <c r="E17" i="33" s="1"/>
  <c r="H44" i="73"/>
  <c r="G44" i="73"/>
  <c r="K44" i="33" s="1"/>
  <c r="H43" i="73"/>
  <c r="G43" i="73"/>
  <c r="K43" i="33" s="1"/>
  <c r="H42" i="73"/>
  <c r="G42" i="73"/>
  <c r="K40" i="73"/>
  <c r="G40" i="73"/>
  <c r="K41" i="33" s="1"/>
  <c r="D40" i="73"/>
  <c r="G41" i="33" s="1"/>
  <c r="C40" i="73"/>
  <c r="E41" i="33" s="1"/>
  <c r="K39" i="73"/>
  <c r="G39" i="73"/>
  <c r="K40" i="33" s="1"/>
  <c r="D39" i="73"/>
  <c r="G40" i="33" s="1"/>
  <c r="C39" i="73"/>
  <c r="E40" i="33" s="1"/>
  <c r="K38" i="73"/>
  <c r="G38" i="73"/>
  <c r="K39" i="33" s="1"/>
  <c r="D38" i="73"/>
  <c r="G39" i="33" s="1"/>
  <c r="C38" i="73"/>
  <c r="E39" i="33" s="1"/>
  <c r="K37" i="73"/>
  <c r="G37" i="73"/>
  <c r="K38" i="33" s="1"/>
  <c r="D37" i="73"/>
  <c r="G38" i="33" s="1"/>
  <c r="C37" i="73"/>
  <c r="E38" i="33" s="1"/>
  <c r="K36" i="73"/>
  <c r="G36" i="73"/>
  <c r="K37" i="33" s="1"/>
  <c r="D36" i="73"/>
  <c r="G37" i="33" s="1"/>
  <c r="C36" i="73"/>
  <c r="E37" i="33" s="1"/>
  <c r="K35" i="73"/>
  <c r="G35" i="73"/>
  <c r="K36" i="33" s="1"/>
  <c r="D35" i="73"/>
  <c r="G36" i="33" s="1"/>
  <c r="C35" i="73"/>
  <c r="E36" i="33" s="1"/>
  <c r="K34" i="73"/>
  <c r="G34" i="73"/>
  <c r="K35" i="33" s="1"/>
  <c r="D34" i="73"/>
  <c r="G35" i="33" s="1"/>
  <c r="C34" i="73"/>
  <c r="E35" i="33" s="1"/>
  <c r="K33" i="73"/>
  <c r="G33" i="73"/>
  <c r="K34" i="33" s="1"/>
  <c r="D33" i="73"/>
  <c r="G34" i="33" s="1"/>
  <c r="C33" i="73"/>
  <c r="E34" i="33" s="1"/>
  <c r="G32" i="73"/>
  <c r="K33" i="33" s="1"/>
  <c r="D32" i="73"/>
  <c r="G33" i="33" s="1"/>
  <c r="C32" i="73"/>
  <c r="E33" i="33" s="1"/>
  <c r="G30" i="73"/>
  <c r="K32" i="33" s="1"/>
  <c r="O27" i="73"/>
  <c r="K27" i="73"/>
  <c r="O26" i="73"/>
  <c r="K26" i="73"/>
  <c r="O25" i="73"/>
  <c r="K25" i="73"/>
  <c r="O24" i="73"/>
  <c r="K24" i="73"/>
  <c r="K23" i="73"/>
  <c r="I11" i="73"/>
  <c r="M4" i="33" s="1"/>
  <c r="I10" i="73"/>
  <c r="B99" i="72" l="1"/>
  <c r="K42" i="33"/>
  <c r="F18" i="33"/>
  <c r="E18" i="33"/>
  <c r="G18" i="33"/>
  <c r="B76" i="72"/>
  <c r="B75" i="72"/>
  <c r="C61" i="72"/>
  <c r="C60" i="72"/>
  <c r="C59" i="72"/>
  <c r="C58" i="72"/>
  <c r="C56" i="72"/>
  <c r="C55" i="72"/>
  <c r="C54" i="72"/>
  <c r="C53" i="72"/>
  <c r="X31" i="72"/>
  <c r="W31" i="72" s="1"/>
  <c r="K31" i="72"/>
  <c r="O31" i="72" s="1"/>
  <c r="X30" i="72"/>
  <c r="W30" i="72" s="1"/>
  <c r="K30" i="72"/>
  <c r="Q30" i="72" s="1"/>
  <c r="X29" i="72"/>
  <c r="W29" i="72" s="1"/>
  <c r="K29" i="72"/>
  <c r="O29" i="72" s="1"/>
  <c r="X28" i="72"/>
  <c r="K28" i="72"/>
  <c r="Q28" i="72" s="1"/>
  <c r="X27" i="72"/>
  <c r="K27" i="72"/>
  <c r="X26" i="72"/>
  <c r="K26" i="72"/>
  <c r="O26" i="72" s="1"/>
  <c r="X25" i="72"/>
  <c r="K25" i="72"/>
  <c r="O25" i="72" s="1"/>
  <c r="X24" i="72"/>
  <c r="K24" i="72"/>
  <c r="Q24" i="72" s="1"/>
  <c r="X23" i="72"/>
  <c r="K23" i="72"/>
  <c r="X22" i="72"/>
  <c r="K22" i="72"/>
  <c r="O22" i="72" s="1"/>
  <c r="X21" i="72"/>
  <c r="K21" i="72"/>
  <c r="O21" i="72" s="1"/>
  <c r="X20" i="72"/>
  <c r="H20" i="72" s="1"/>
  <c r="K20" i="72"/>
  <c r="Q20" i="72" s="1"/>
  <c r="K18" i="72"/>
  <c r="K14" i="72"/>
  <c r="K49" i="72" s="1"/>
  <c r="B5" i="72"/>
  <c r="C14" i="73" s="1"/>
  <c r="D9" i="33" s="1"/>
  <c r="D3" i="73" l="1"/>
  <c r="F63" i="33" s="1"/>
  <c r="W25" i="72"/>
  <c r="H25" i="72"/>
  <c r="H37" i="73" s="1"/>
  <c r="M38" i="33" s="1"/>
  <c r="W23" i="72"/>
  <c r="H23" i="72"/>
  <c r="H35" i="73" s="1"/>
  <c r="M36" i="33" s="1"/>
  <c r="W27" i="72"/>
  <c r="H27" i="72"/>
  <c r="H39" i="73" s="1"/>
  <c r="M40" i="33" s="1"/>
  <c r="W26" i="72"/>
  <c r="H26" i="72"/>
  <c r="H38" i="73" s="1"/>
  <c r="M39" i="33" s="1"/>
  <c r="W24" i="72"/>
  <c r="H24" i="72"/>
  <c r="H36" i="73" s="1"/>
  <c r="M37" i="33" s="1"/>
  <c r="S53" i="72"/>
  <c r="O54" i="72"/>
  <c r="L55" i="72"/>
  <c r="T55" i="72"/>
  <c r="Q56" i="72"/>
  <c r="N58" i="72"/>
  <c r="V58" i="72"/>
  <c r="S59" i="72"/>
  <c r="P60" i="72"/>
  <c r="M61" i="72"/>
  <c r="U61" i="72"/>
  <c r="L54" i="72"/>
  <c r="T54" i="72"/>
  <c r="Q55" i="72"/>
  <c r="N56" i="72"/>
  <c r="V56" i="72"/>
  <c r="O58" i="72"/>
  <c r="L59" i="72"/>
  <c r="P59" i="72"/>
  <c r="T59" i="72"/>
  <c r="M60" i="72"/>
  <c r="Q60" i="72"/>
  <c r="U60" i="72"/>
  <c r="N61" i="72"/>
  <c r="R61" i="72"/>
  <c r="V61" i="72"/>
  <c r="T52" i="72"/>
  <c r="S52" i="72"/>
  <c r="M54" i="72"/>
  <c r="Q54" i="72"/>
  <c r="U54" i="72"/>
  <c r="N55" i="72"/>
  <c r="R55" i="72"/>
  <c r="V55" i="72"/>
  <c r="O56" i="72"/>
  <c r="S56" i="72"/>
  <c r="L58" i="72"/>
  <c r="P58" i="72"/>
  <c r="T58" i="72"/>
  <c r="M59" i="72"/>
  <c r="Q59" i="72"/>
  <c r="U59" i="72"/>
  <c r="N60" i="72"/>
  <c r="R60" i="72"/>
  <c r="V60" i="72"/>
  <c r="O61" i="72"/>
  <c r="S61" i="72"/>
  <c r="N52" i="72"/>
  <c r="V53" i="72"/>
  <c r="S54" i="72"/>
  <c r="P55" i="72"/>
  <c r="M56" i="72"/>
  <c r="U56" i="72"/>
  <c r="R58" i="72"/>
  <c r="O59" i="72"/>
  <c r="L60" i="72"/>
  <c r="T60" i="72"/>
  <c r="Q61" i="72"/>
  <c r="P52" i="72"/>
  <c r="P54" i="72"/>
  <c r="M55" i="72"/>
  <c r="U55" i="72"/>
  <c r="R56" i="72"/>
  <c r="S58" i="72"/>
  <c r="U52" i="72"/>
  <c r="N53" i="72"/>
  <c r="N54" i="72"/>
  <c r="R54" i="72"/>
  <c r="V54" i="72"/>
  <c r="O55" i="72"/>
  <c r="S55" i="72"/>
  <c r="L56" i="72"/>
  <c r="P56" i="72"/>
  <c r="T56" i="72"/>
  <c r="M58" i="72"/>
  <c r="Q58" i="72"/>
  <c r="U58" i="72"/>
  <c r="N59" i="72"/>
  <c r="R59" i="72"/>
  <c r="V59" i="72"/>
  <c r="O60" i="72"/>
  <c r="S60" i="72"/>
  <c r="L61" i="72"/>
  <c r="P61" i="72"/>
  <c r="T61" i="72"/>
  <c r="O53" i="72"/>
  <c r="R53" i="72"/>
  <c r="L52" i="72"/>
  <c r="Q52" i="72"/>
  <c r="V52" i="72"/>
  <c r="L53" i="72"/>
  <c r="P53" i="72"/>
  <c r="T53" i="72"/>
  <c r="M52" i="72"/>
  <c r="R52" i="72"/>
  <c r="M53" i="72"/>
  <c r="Q53" i="72"/>
  <c r="U53" i="72"/>
  <c r="W28" i="72"/>
  <c r="H28" i="72"/>
  <c r="H40" i="73" s="1"/>
  <c r="M41" i="33" s="1"/>
  <c r="W21" i="72"/>
  <c r="H21" i="72"/>
  <c r="H33" i="73" s="1"/>
  <c r="M34" i="33" s="1"/>
  <c r="W20" i="72"/>
  <c r="H32" i="73"/>
  <c r="M33" i="33" s="1"/>
  <c r="W22" i="72"/>
  <c r="H22" i="72"/>
  <c r="H34" i="73" s="1"/>
  <c r="M35" i="33" s="1"/>
  <c r="M22" i="72"/>
  <c r="P26" i="72"/>
  <c r="R28" i="72"/>
  <c r="P31" i="72"/>
  <c r="L26" i="72"/>
  <c r="M29" i="72"/>
  <c r="P29" i="72"/>
  <c r="N28" i="72"/>
  <c r="Q26" i="72"/>
  <c r="M26" i="72"/>
  <c r="P25" i="72"/>
  <c r="L25" i="72"/>
  <c r="Q25" i="72"/>
  <c r="M25" i="72"/>
  <c r="R25" i="72"/>
  <c r="N25" i="72"/>
  <c r="P22" i="72"/>
  <c r="P21" i="72"/>
  <c r="L21" i="72"/>
  <c r="Q21" i="72"/>
  <c r="M21" i="72"/>
  <c r="R21" i="72"/>
  <c r="N21" i="72"/>
  <c r="Q31" i="72"/>
  <c r="L31" i="72"/>
  <c r="M31" i="72"/>
  <c r="N30" i="72"/>
  <c r="R30" i="72"/>
  <c r="Q29" i="72"/>
  <c r="L29" i="72"/>
  <c r="N24" i="72"/>
  <c r="R24" i="72"/>
  <c r="Q22" i="72"/>
  <c r="L22" i="72"/>
  <c r="R20" i="72"/>
  <c r="N20" i="72"/>
  <c r="C6" i="72"/>
  <c r="I12" i="73"/>
  <c r="M5" i="33" s="1"/>
  <c r="N14" i="72"/>
  <c r="R14" i="72"/>
  <c r="V14" i="72"/>
  <c r="O52" i="72"/>
  <c r="R27" i="72"/>
  <c r="N27" i="72"/>
  <c r="P27" i="72"/>
  <c r="Q27" i="72"/>
  <c r="M27" i="72"/>
  <c r="L27" i="72"/>
  <c r="L18" i="72"/>
  <c r="R23" i="72"/>
  <c r="N23" i="72"/>
  <c r="Q23" i="72"/>
  <c r="M23" i="72"/>
  <c r="P23" i="72"/>
  <c r="L23" i="72"/>
  <c r="O27" i="72"/>
  <c r="O23" i="72"/>
  <c r="O20" i="72"/>
  <c r="O24" i="72"/>
  <c r="O28" i="72"/>
  <c r="L14" i="72"/>
  <c r="P14" i="72"/>
  <c r="T14" i="72"/>
  <c r="L20" i="72"/>
  <c r="P20" i="72"/>
  <c r="N22" i="72"/>
  <c r="R22" i="72"/>
  <c r="L24" i="72"/>
  <c r="P24" i="72"/>
  <c r="N26" i="72"/>
  <c r="R26" i="72"/>
  <c r="L28" i="72"/>
  <c r="P28" i="72"/>
  <c r="N29" i="72"/>
  <c r="R29" i="72"/>
  <c r="L30" i="72"/>
  <c r="P30" i="72"/>
  <c r="N31" i="72"/>
  <c r="R31" i="72"/>
  <c r="O14" i="72"/>
  <c r="S14" i="72"/>
  <c r="O30" i="72"/>
  <c r="M14" i="72"/>
  <c r="Q14" i="72"/>
  <c r="U14" i="72"/>
  <c r="M20" i="72"/>
  <c r="M24" i="72"/>
  <c r="M28" i="72"/>
  <c r="M30" i="72"/>
  <c r="B42" i="72" l="1"/>
  <c r="K57" i="73" s="1"/>
  <c r="B38" i="72"/>
  <c r="K53" i="73" s="1"/>
  <c r="B16" i="72"/>
  <c r="K18" i="73" s="1"/>
  <c r="B44" i="72"/>
  <c r="K59" i="73" s="1"/>
  <c r="B40" i="72"/>
  <c r="K55" i="73" s="1"/>
  <c r="B41" i="72"/>
  <c r="K56" i="73" s="1"/>
  <c r="B37" i="72"/>
  <c r="K52" i="73" s="1"/>
  <c r="B43" i="72"/>
  <c r="K58" i="73" s="1"/>
  <c r="B39" i="72"/>
  <c r="K54" i="73" s="1"/>
  <c r="B35" i="72"/>
  <c r="K48" i="73" s="1"/>
  <c r="N37" i="73"/>
  <c r="B95" i="72" s="1"/>
  <c r="N35" i="73"/>
  <c r="B93" i="72" s="1"/>
  <c r="N36" i="73"/>
  <c r="B94" i="72" s="1"/>
  <c r="N38" i="73"/>
  <c r="B96" i="72" s="1"/>
  <c r="N39" i="73"/>
  <c r="B97" i="72" s="1"/>
  <c r="R62" i="72"/>
  <c r="P57" i="72"/>
  <c r="V62" i="72"/>
  <c r="Q62" i="72"/>
  <c r="L62" i="72"/>
  <c r="O62" i="72"/>
  <c r="N62" i="72"/>
  <c r="S62" i="72"/>
  <c r="U62" i="72"/>
  <c r="N57" i="72"/>
  <c r="S57" i="72"/>
  <c r="M62" i="72"/>
  <c r="T62" i="72"/>
  <c r="P62" i="72"/>
  <c r="R57" i="72"/>
  <c r="U57" i="72"/>
  <c r="V57" i="72"/>
  <c r="T57" i="72"/>
  <c r="O57" i="72"/>
  <c r="L57" i="72"/>
  <c r="M57" i="72"/>
  <c r="Q57" i="72"/>
  <c r="N40" i="73"/>
  <c r="B98" i="72" s="1"/>
  <c r="N33" i="73"/>
  <c r="B91" i="72" s="1"/>
  <c r="N32" i="73"/>
  <c r="B90" i="72" s="1"/>
  <c r="N34" i="73"/>
  <c r="B92" i="72" s="1"/>
  <c r="J12" i="73"/>
  <c r="H15" i="73"/>
  <c r="I10" i="33" s="1"/>
  <c r="P49" i="72" l="1"/>
  <c r="I8" i="73" s="1"/>
  <c r="O68" i="33" s="1"/>
  <c r="S49" i="72"/>
  <c r="O49" i="72"/>
  <c r="Q49" i="72"/>
  <c r="N49" i="72"/>
  <c r="T49" i="72"/>
  <c r="U49" i="72"/>
  <c r="L49" i="72"/>
  <c r="R49" i="72"/>
  <c r="M49" i="72"/>
  <c r="V49" i="72"/>
  <c r="D8" i="73" s="1"/>
  <c r="F68" i="33" s="1"/>
  <c r="I6" i="73" l="1"/>
  <c r="O66" i="33" s="1"/>
  <c r="I7" i="73"/>
  <c r="O67" i="33" s="1"/>
  <c r="D6" i="73"/>
  <c r="F66" i="33" s="1"/>
  <c r="I4" i="73"/>
  <c r="O64" i="33" s="1"/>
  <c r="D7" i="73"/>
  <c r="F67" i="33" s="1"/>
  <c r="D5" i="73"/>
  <c r="F65" i="33" s="1"/>
  <c r="I5" i="73"/>
  <c r="O65" i="33" s="1"/>
  <c r="I3" i="73"/>
  <c r="O63" i="33" s="1"/>
  <c r="D4" i="73"/>
  <c r="F64" i="33" s="1"/>
  <c r="C99" i="9"/>
  <c r="C98" i="9"/>
  <c r="D25" i="11" l="1"/>
  <c r="D26" i="11"/>
  <c r="D27" i="11"/>
  <c r="D28" i="11"/>
  <c r="D29" i="11"/>
  <c r="D30" i="11"/>
  <c r="D31" i="11"/>
  <c r="D32" i="11"/>
  <c r="D33" i="11"/>
  <c r="D24" i="11"/>
  <c r="D15" i="11"/>
  <c r="D16" i="11"/>
  <c r="D17" i="11"/>
  <c r="D18" i="11"/>
  <c r="D19" i="11"/>
  <c r="D20" i="11"/>
  <c r="D21" i="11"/>
  <c r="D22" i="11"/>
  <c r="D14" i="11"/>
  <c r="D5" i="11"/>
  <c r="D6" i="11"/>
  <c r="D7" i="11"/>
  <c r="D8" i="11"/>
  <c r="D9" i="11"/>
  <c r="D10" i="11"/>
  <c r="D4" i="11"/>
  <c r="J19" i="50" l="1"/>
  <c r="C9" i="50" l="1"/>
  <c r="C8" i="50"/>
  <c r="N5" i="42" l="1"/>
  <c r="N6" i="42"/>
  <c r="N7" i="42"/>
  <c r="N8" i="42"/>
  <c r="N9" i="42"/>
  <c r="N10" i="42"/>
  <c r="N11" i="42"/>
  <c r="N12" i="42"/>
  <c r="N13" i="42"/>
  <c r="N14" i="42"/>
  <c r="N15" i="42"/>
  <c r="N16" i="42"/>
  <c r="N17" i="42"/>
  <c r="N18" i="42"/>
  <c r="N19" i="42"/>
  <c r="N4" i="42"/>
  <c r="B80" i="45" l="1"/>
  <c r="B87" i="45" l="1"/>
  <c r="N46" i="42" l="1"/>
  <c r="O46" i="42"/>
  <c r="P46" i="42"/>
  <c r="Q46" i="42"/>
  <c r="R46" i="42"/>
  <c r="S46" i="42"/>
  <c r="T46" i="42"/>
  <c r="U46" i="42"/>
  <c r="V46" i="42"/>
  <c r="W46" i="42"/>
  <c r="X46" i="42"/>
  <c r="Y46" i="42"/>
  <c r="N47" i="42"/>
  <c r="O47" i="42"/>
  <c r="P47" i="42"/>
  <c r="Q47" i="42"/>
  <c r="R47" i="42"/>
  <c r="S47" i="42"/>
  <c r="T47" i="42"/>
  <c r="U47" i="42"/>
  <c r="V47" i="42"/>
  <c r="W47" i="42"/>
  <c r="X47" i="42"/>
  <c r="Y47" i="42"/>
  <c r="N48" i="42"/>
  <c r="O48" i="42"/>
  <c r="P48" i="42"/>
  <c r="Q48" i="42"/>
  <c r="R48" i="42"/>
  <c r="S48" i="42"/>
  <c r="T48" i="42"/>
  <c r="U48" i="42"/>
  <c r="V48" i="42"/>
  <c r="W48" i="42"/>
  <c r="X48" i="42"/>
  <c r="Y48" i="42"/>
  <c r="Y45" i="42"/>
  <c r="X45" i="42"/>
  <c r="W45" i="42"/>
  <c r="V45" i="42"/>
  <c r="U45" i="42"/>
  <c r="T45" i="42"/>
  <c r="S45" i="42"/>
  <c r="R45" i="42"/>
  <c r="Q45" i="42"/>
  <c r="P45" i="42"/>
  <c r="O45" i="42"/>
  <c r="N45" i="42"/>
  <c r="N35" i="42"/>
  <c r="O35" i="42"/>
  <c r="P35" i="42"/>
  <c r="Q35" i="42"/>
  <c r="R35" i="42"/>
  <c r="S35" i="42"/>
  <c r="T35" i="42"/>
  <c r="U35" i="42"/>
  <c r="V35" i="42"/>
  <c r="W35" i="42"/>
  <c r="X35" i="42"/>
  <c r="Y35" i="42"/>
  <c r="N36" i="42"/>
  <c r="O36" i="42"/>
  <c r="P36" i="42"/>
  <c r="Q36" i="42"/>
  <c r="R36" i="42"/>
  <c r="S36" i="42"/>
  <c r="T36" i="42"/>
  <c r="U36" i="42"/>
  <c r="V36" i="42"/>
  <c r="W36" i="42"/>
  <c r="X36" i="42"/>
  <c r="Y36" i="42"/>
  <c r="N52" i="42"/>
  <c r="O52" i="42"/>
  <c r="P52" i="42"/>
  <c r="Q52" i="42"/>
  <c r="R52" i="42"/>
  <c r="S52" i="42"/>
  <c r="T52" i="42"/>
  <c r="U52" i="42"/>
  <c r="V52" i="42"/>
  <c r="W52" i="42"/>
  <c r="X52" i="42"/>
  <c r="Y52" i="42"/>
  <c r="N37" i="42"/>
  <c r="O37" i="42"/>
  <c r="P37" i="42"/>
  <c r="Q37" i="42"/>
  <c r="R37" i="42"/>
  <c r="S37" i="42"/>
  <c r="T37" i="42"/>
  <c r="U37" i="42"/>
  <c r="V37" i="42"/>
  <c r="W37" i="42"/>
  <c r="X37" i="42"/>
  <c r="Y37" i="42"/>
  <c r="N38" i="42"/>
  <c r="O38" i="42"/>
  <c r="P38" i="42"/>
  <c r="Q38" i="42"/>
  <c r="R38" i="42"/>
  <c r="S38" i="42"/>
  <c r="T38" i="42"/>
  <c r="U38" i="42"/>
  <c r="V38" i="42"/>
  <c r="W38" i="42"/>
  <c r="X38" i="42"/>
  <c r="Y38" i="42"/>
  <c r="Y34" i="42"/>
  <c r="X34" i="42"/>
  <c r="W34" i="42"/>
  <c r="V34" i="42"/>
  <c r="U34" i="42"/>
  <c r="T34" i="42"/>
  <c r="S34" i="42"/>
  <c r="R34" i="42"/>
  <c r="Q34" i="42"/>
  <c r="P34" i="42"/>
  <c r="O34" i="42"/>
  <c r="N34" i="42"/>
  <c r="X5" i="42"/>
  <c r="X6" i="42"/>
  <c r="X7" i="42"/>
  <c r="X8" i="42"/>
  <c r="X9" i="42"/>
  <c r="X10" i="42"/>
  <c r="X11" i="42"/>
  <c r="X12" i="42"/>
  <c r="X13" i="42"/>
  <c r="X14" i="42"/>
  <c r="X15" i="42"/>
  <c r="X16" i="42"/>
  <c r="X17" i="42"/>
  <c r="X18" i="42"/>
  <c r="X19" i="42"/>
  <c r="Y5" i="42"/>
  <c r="Y6" i="42"/>
  <c r="Y7" i="42"/>
  <c r="Y8" i="42"/>
  <c r="Y9" i="42"/>
  <c r="Y10" i="42"/>
  <c r="Y11" i="42"/>
  <c r="Y12" i="42"/>
  <c r="Y13" i="42"/>
  <c r="Y14" i="42"/>
  <c r="Y15" i="42"/>
  <c r="Y16" i="42"/>
  <c r="Y17" i="42"/>
  <c r="Y18" i="42"/>
  <c r="Y19" i="42"/>
  <c r="Y4" i="42"/>
  <c r="X4" i="42"/>
  <c r="W5" i="42"/>
  <c r="W6" i="42"/>
  <c r="W7" i="42"/>
  <c r="W8" i="42"/>
  <c r="W9" i="42"/>
  <c r="W10" i="42"/>
  <c r="W11" i="42"/>
  <c r="W12" i="42"/>
  <c r="W13" i="42"/>
  <c r="W14" i="42"/>
  <c r="W15" i="42"/>
  <c r="W16" i="42"/>
  <c r="W17" i="42"/>
  <c r="W18" i="42"/>
  <c r="W19" i="42"/>
  <c r="W4" i="42"/>
  <c r="V5" i="42"/>
  <c r="V6" i="42"/>
  <c r="V7" i="42"/>
  <c r="V8" i="42"/>
  <c r="V9" i="42"/>
  <c r="V10" i="42"/>
  <c r="V11" i="42"/>
  <c r="V12" i="42"/>
  <c r="V13" i="42"/>
  <c r="V14" i="42"/>
  <c r="V15" i="42"/>
  <c r="V16" i="42"/>
  <c r="V17" i="42"/>
  <c r="V18" i="42"/>
  <c r="V19" i="42"/>
  <c r="V4" i="42"/>
  <c r="U5" i="42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4" i="42"/>
  <c r="T5" i="42"/>
  <c r="T6" i="42"/>
  <c r="T7" i="42"/>
  <c r="T8" i="42"/>
  <c r="T9" i="42"/>
  <c r="T10" i="42"/>
  <c r="T11" i="42"/>
  <c r="T12" i="42"/>
  <c r="T13" i="42"/>
  <c r="T14" i="42"/>
  <c r="T15" i="42"/>
  <c r="T16" i="42"/>
  <c r="T17" i="42"/>
  <c r="T18" i="42"/>
  <c r="T19" i="42"/>
  <c r="T4" i="42"/>
  <c r="S5" i="42"/>
  <c r="S6" i="42"/>
  <c r="S7" i="42"/>
  <c r="S8" i="42"/>
  <c r="S9" i="42"/>
  <c r="S10" i="42"/>
  <c r="S11" i="42"/>
  <c r="S12" i="42"/>
  <c r="S13" i="42"/>
  <c r="S14" i="42"/>
  <c r="S15" i="42"/>
  <c r="S16" i="42"/>
  <c r="S17" i="42"/>
  <c r="S18" i="42"/>
  <c r="S19" i="42"/>
  <c r="S4" i="42"/>
  <c r="Q5" i="42"/>
  <c r="R5" i="42"/>
  <c r="Q6" i="42"/>
  <c r="R6" i="42"/>
  <c r="Q7" i="42"/>
  <c r="R7" i="42"/>
  <c r="Q8" i="42"/>
  <c r="R8" i="42"/>
  <c r="Q9" i="42"/>
  <c r="R9" i="42"/>
  <c r="Q10" i="42"/>
  <c r="R10" i="42"/>
  <c r="Q11" i="42"/>
  <c r="R11" i="42"/>
  <c r="Q12" i="42"/>
  <c r="R12" i="42"/>
  <c r="Q13" i="42"/>
  <c r="R13" i="42"/>
  <c r="Q14" i="42"/>
  <c r="R14" i="42"/>
  <c r="Q15" i="42"/>
  <c r="R15" i="42"/>
  <c r="Q16" i="42"/>
  <c r="R16" i="42"/>
  <c r="Q17" i="42"/>
  <c r="R17" i="42"/>
  <c r="Q18" i="42"/>
  <c r="R18" i="42"/>
  <c r="Q19" i="42"/>
  <c r="R19" i="42"/>
  <c r="R4" i="42"/>
  <c r="Q4" i="42"/>
  <c r="P5" i="42"/>
  <c r="P6" i="42"/>
  <c r="P7" i="42"/>
  <c r="P8" i="42"/>
  <c r="P9" i="42"/>
  <c r="P10" i="42"/>
  <c r="P11" i="42"/>
  <c r="P12" i="42"/>
  <c r="P13" i="42"/>
  <c r="P14" i="42"/>
  <c r="P15" i="42"/>
  <c r="P16" i="42"/>
  <c r="P17" i="42"/>
  <c r="P18" i="42"/>
  <c r="P19" i="42"/>
  <c r="P4" i="42"/>
  <c r="O5" i="42"/>
  <c r="O6" i="42"/>
  <c r="O7" i="42"/>
  <c r="O8" i="42"/>
  <c r="O9" i="42"/>
  <c r="O10" i="42"/>
  <c r="O11" i="42"/>
  <c r="O12" i="42"/>
  <c r="O13" i="42"/>
  <c r="O14" i="42"/>
  <c r="O15" i="42"/>
  <c r="O16" i="42"/>
  <c r="O17" i="42"/>
  <c r="O18" i="42"/>
  <c r="O19" i="42"/>
  <c r="O4" i="42"/>
  <c r="O27" i="26"/>
  <c r="N27" i="26"/>
  <c r="M27" i="26"/>
  <c r="L27" i="26"/>
  <c r="K27" i="26"/>
  <c r="J27" i="26"/>
  <c r="I27" i="26"/>
  <c r="H27" i="26"/>
  <c r="G27" i="26"/>
  <c r="F27" i="26"/>
  <c r="E27" i="26"/>
  <c r="D27" i="26"/>
  <c r="D33" i="26" l="1"/>
  <c r="E33" i="26"/>
  <c r="F33" i="26"/>
  <c r="G33" i="26"/>
  <c r="H33" i="26"/>
  <c r="I33" i="26"/>
  <c r="J33" i="26"/>
  <c r="K33" i="26"/>
  <c r="L33" i="26"/>
  <c r="M33" i="26"/>
  <c r="N33" i="26"/>
  <c r="O33" i="26"/>
  <c r="D34" i="26"/>
  <c r="E34" i="26"/>
  <c r="F34" i="26"/>
  <c r="G34" i="26"/>
  <c r="H34" i="26"/>
  <c r="I34" i="26"/>
  <c r="J34" i="26"/>
  <c r="K34" i="26"/>
  <c r="L34" i="26"/>
  <c r="M34" i="26"/>
  <c r="N34" i="26"/>
  <c r="O34" i="26"/>
  <c r="D35" i="26"/>
  <c r="E35" i="26"/>
  <c r="F35" i="26"/>
  <c r="G35" i="26"/>
  <c r="H35" i="26"/>
  <c r="I35" i="26"/>
  <c r="J35" i="26"/>
  <c r="K35" i="26"/>
  <c r="L35" i="26"/>
  <c r="M35" i="26"/>
  <c r="N35" i="26"/>
  <c r="O35" i="26"/>
  <c r="D36" i="26"/>
  <c r="E36" i="26"/>
  <c r="F36" i="26"/>
  <c r="G36" i="26"/>
  <c r="H36" i="26"/>
  <c r="I36" i="26"/>
  <c r="J36" i="26"/>
  <c r="K36" i="26"/>
  <c r="L36" i="26"/>
  <c r="M36" i="26"/>
  <c r="N36" i="26"/>
  <c r="O36" i="26"/>
  <c r="D37" i="26"/>
  <c r="E37" i="26"/>
  <c r="F37" i="26"/>
  <c r="G37" i="26"/>
  <c r="H37" i="26"/>
  <c r="I37" i="26"/>
  <c r="J37" i="26"/>
  <c r="K37" i="26"/>
  <c r="L37" i="26"/>
  <c r="M37" i="26"/>
  <c r="N37" i="26"/>
  <c r="O37" i="26"/>
  <c r="D38" i="26"/>
  <c r="E38" i="26"/>
  <c r="F38" i="26"/>
  <c r="G38" i="26"/>
  <c r="H38" i="26"/>
  <c r="I38" i="26"/>
  <c r="J38" i="26"/>
  <c r="K38" i="26"/>
  <c r="L38" i="26"/>
  <c r="M38" i="26"/>
  <c r="N38" i="26"/>
  <c r="O38" i="26"/>
  <c r="D39" i="26"/>
  <c r="E39" i="26"/>
  <c r="F39" i="26"/>
  <c r="G39" i="26"/>
  <c r="H39" i="26"/>
  <c r="I39" i="26"/>
  <c r="J39" i="26"/>
  <c r="K39" i="26"/>
  <c r="L39" i="26"/>
  <c r="M39" i="26"/>
  <c r="N39" i="26"/>
  <c r="O39" i="26"/>
  <c r="D40" i="26"/>
  <c r="E40" i="26"/>
  <c r="F40" i="26"/>
  <c r="G40" i="26"/>
  <c r="H40" i="26"/>
  <c r="I40" i="26"/>
  <c r="J40" i="26"/>
  <c r="K40" i="26"/>
  <c r="L40" i="26"/>
  <c r="M40" i="26"/>
  <c r="N40" i="26"/>
  <c r="O40" i="26"/>
  <c r="D41" i="26"/>
  <c r="E41" i="26"/>
  <c r="F41" i="26"/>
  <c r="G41" i="26"/>
  <c r="H41" i="26"/>
  <c r="I41" i="26"/>
  <c r="J41" i="26"/>
  <c r="K41" i="26"/>
  <c r="L41" i="26"/>
  <c r="M41" i="26"/>
  <c r="N41" i="26"/>
  <c r="O41" i="26"/>
  <c r="D42" i="26"/>
  <c r="E42" i="26"/>
  <c r="F42" i="26"/>
  <c r="G42" i="26"/>
  <c r="H42" i="26"/>
  <c r="I42" i="26"/>
  <c r="J42" i="26"/>
  <c r="K42" i="26"/>
  <c r="L42" i="26"/>
  <c r="M42" i="26"/>
  <c r="N42" i="26"/>
  <c r="O42" i="26"/>
  <c r="D43" i="26"/>
  <c r="E43" i="26"/>
  <c r="F43" i="26"/>
  <c r="G43" i="26"/>
  <c r="H43" i="26"/>
  <c r="I43" i="26"/>
  <c r="J43" i="26"/>
  <c r="K43" i="26"/>
  <c r="L43" i="26"/>
  <c r="M43" i="26"/>
  <c r="N43" i="26"/>
  <c r="O43" i="26"/>
  <c r="D44" i="26"/>
  <c r="E44" i="26"/>
  <c r="F44" i="26"/>
  <c r="G44" i="26"/>
  <c r="H44" i="26"/>
  <c r="I44" i="26"/>
  <c r="J44" i="26"/>
  <c r="K44" i="26"/>
  <c r="L44" i="26"/>
  <c r="M44" i="26"/>
  <c r="N44" i="26"/>
  <c r="O44" i="26"/>
  <c r="D45" i="26"/>
  <c r="E45" i="26"/>
  <c r="F45" i="26"/>
  <c r="G45" i="26"/>
  <c r="H45" i="26"/>
  <c r="I45" i="26"/>
  <c r="J45" i="26"/>
  <c r="K45" i="26"/>
  <c r="L45" i="26"/>
  <c r="M45" i="26"/>
  <c r="N45" i="26"/>
  <c r="O45" i="26"/>
  <c r="D46" i="26"/>
  <c r="E46" i="26"/>
  <c r="F46" i="26"/>
  <c r="G46" i="26"/>
  <c r="H46" i="26"/>
  <c r="I46" i="26"/>
  <c r="J46" i="26"/>
  <c r="K46" i="26"/>
  <c r="L46" i="26"/>
  <c r="M46" i="26"/>
  <c r="N46" i="26"/>
  <c r="O46" i="26"/>
  <c r="D47" i="26"/>
  <c r="E47" i="26"/>
  <c r="F47" i="26"/>
  <c r="G47" i="26"/>
  <c r="H47" i="26"/>
  <c r="I47" i="26"/>
  <c r="J47" i="26"/>
  <c r="K47" i="26"/>
  <c r="L47" i="26"/>
  <c r="M47" i="26"/>
  <c r="N47" i="26"/>
  <c r="O47" i="26"/>
  <c r="D48" i="26"/>
  <c r="E48" i="26"/>
  <c r="F48" i="26"/>
  <c r="G48" i="26"/>
  <c r="H48" i="26"/>
  <c r="I48" i="26"/>
  <c r="J48" i="26"/>
  <c r="K48" i="26"/>
  <c r="L48" i="26"/>
  <c r="M48" i="26"/>
  <c r="N48" i="26"/>
  <c r="O48" i="26"/>
  <c r="D49" i="26"/>
  <c r="E49" i="26"/>
  <c r="F49" i="26"/>
  <c r="G49" i="26"/>
  <c r="H49" i="26"/>
  <c r="I49" i="26"/>
  <c r="J49" i="26"/>
  <c r="K49" i="26"/>
  <c r="L49" i="26"/>
  <c r="M49" i="26"/>
  <c r="N49" i="26"/>
  <c r="O49" i="26"/>
  <c r="D50" i="26"/>
  <c r="E50" i="26"/>
  <c r="F50" i="26"/>
  <c r="G50" i="26"/>
  <c r="H50" i="26"/>
  <c r="I50" i="26"/>
  <c r="J50" i="26"/>
  <c r="K50" i="26"/>
  <c r="L50" i="26"/>
  <c r="M50" i="26"/>
  <c r="N50" i="26"/>
  <c r="O50" i="26"/>
  <c r="D51" i="26"/>
  <c r="E51" i="26"/>
  <c r="F51" i="26"/>
  <c r="G51" i="26"/>
  <c r="H51" i="26"/>
  <c r="I51" i="26"/>
  <c r="J51" i="26"/>
  <c r="K51" i="26"/>
  <c r="L51" i="26"/>
  <c r="M51" i="26"/>
  <c r="N51" i="26"/>
  <c r="O51" i="26"/>
  <c r="D52" i="26"/>
  <c r="E52" i="26"/>
  <c r="F52" i="26"/>
  <c r="G52" i="26"/>
  <c r="H52" i="26"/>
  <c r="I52" i="26"/>
  <c r="J52" i="26"/>
  <c r="K52" i="26"/>
  <c r="L52" i="26"/>
  <c r="M52" i="26"/>
  <c r="N52" i="26"/>
  <c r="O52" i="26"/>
  <c r="D53" i="26"/>
  <c r="E53" i="26"/>
  <c r="F53" i="26"/>
  <c r="G53" i="26"/>
  <c r="H53" i="26"/>
  <c r="I53" i="26"/>
  <c r="J53" i="26"/>
  <c r="K53" i="26"/>
  <c r="L53" i="26"/>
  <c r="M53" i="26"/>
  <c r="N53" i="26"/>
  <c r="O53" i="26"/>
  <c r="D54" i="26"/>
  <c r="E54" i="26"/>
  <c r="F54" i="26"/>
  <c r="G54" i="26"/>
  <c r="H54" i="26"/>
  <c r="I54" i="26"/>
  <c r="J54" i="26"/>
  <c r="K54" i="26"/>
  <c r="L54" i="26"/>
  <c r="M54" i="26"/>
  <c r="N54" i="26"/>
  <c r="O54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D5" i="26"/>
  <c r="E5" i="26"/>
  <c r="F5" i="26"/>
  <c r="G5" i="26"/>
  <c r="H5" i="26"/>
  <c r="I5" i="26"/>
  <c r="J5" i="26"/>
  <c r="K5" i="26"/>
  <c r="L5" i="26"/>
  <c r="M5" i="26"/>
  <c r="N5" i="26"/>
  <c r="O5" i="26"/>
  <c r="D6" i="26"/>
  <c r="E6" i="26"/>
  <c r="F6" i="26"/>
  <c r="G6" i="26"/>
  <c r="H6" i="26"/>
  <c r="I6" i="26"/>
  <c r="J6" i="26"/>
  <c r="K6" i="26"/>
  <c r="L6" i="26"/>
  <c r="M6" i="26"/>
  <c r="N6" i="26"/>
  <c r="O6" i="26"/>
  <c r="D7" i="26"/>
  <c r="E7" i="26"/>
  <c r="F7" i="26"/>
  <c r="G7" i="26"/>
  <c r="H7" i="26"/>
  <c r="I7" i="26"/>
  <c r="J7" i="26"/>
  <c r="K7" i="26"/>
  <c r="L7" i="26"/>
  <c r="M7" i="26"/>
  <c r="N7" i="26"/>
  <c r="O7" i="26"/>
  <c r="D8" i="26"/>
  <c r="E8" i="26"/>
  <c r="F8" i="26"/>
  <c r="G8" i="26"/>
  <c r="H8" i="26"/>
  <c r="I8" i="26"/>
  <c r="J8" i="26"/>
  <c r="K8" i="26"/>
  <c r="L8" i="26"/>
  <c r="M8" i="26"/>
  <c r="N8" i="26"/>
  <c r="O8" i="26"/>
  <c r="D9" i="26"/>
  <c r="E9" i="26"/>
  <c r="F9" i="26"/>
  <c r="G9" i="26"/>
  <c r="H9" i="26"/>
  <c r="I9" i="26"/>
  <c r="J9" i="26"/>
  <c r="K9" i="26"/>
  <c r="L9" i="26"/>
  <c r="M9" i="26"/>
  <c r="N9" i="26"/>
  <c r="O9" i="26"/>
  <c r="D10" i="26"/>
  <c r="E10" i="26"/>
  <c r="F10" i="26"/>
  <c r="G10" i="26"/>
  <c r="H10" i="26"/>
  <c r="I10" i="26"/>
  <c r="J10" i="26"/>
  <c r="K10" i="26"/>
  <c r="L10" i="26"/>
  <c r="M10" i="26"/>
  <c r="N10" i="26"/>
  <c r="O10" i="26"/>
  <c r="D11" i="26"/>
  <c r="E11" i="26"/>
  <c r="F11" i="26"/>
  <c r="G11" i="26"/>
  <c r="H11" i="26"/>
  <c r="I11" i="26"/>
  <c r="J11" i="26"/>
  <c r="K11" i="26"/>
  <c r="L11" i="26"/>
  <c r="M11" i="26"/>
  <c r="N11" i="26"/>
  <c r="O11" i="26"/>
  <c r="D12" i="26"/>
  <c r="E12" i="26"/>
  <c r="F12" i="26"/>
  <c r="G12" i="26"/>
  <c r="H12" i="26"/>
  <c r="I12" i="26"/>
  <c r="J12" i="26"/>
  <c r="K12" i="26"/>
  <c r="L12" i="26"/>
  <c r="M12" i="26"/>
  <c r="N12" i="26"/>
  <c r="O12" i="26"/>
  <c r="D13" i="26"/>
  <c r="E13" i="26"/>
  <c r="F13" i="26"/>
  <c r="G13" i="26"/>
  <c r="H13" i="26"/>
  <c r="I13" i="26"/>
  <c r="J13" i="26"/>
  <c r="K13" i="26"/>
  <c r="L13" i="26"/>
  <c r="M13" i="26"/>
  <c r="N13" i="26"/>
  <c r="O13" i="26"/>
  <c r="D14" i="26"/>
  <c r="E14" i="26"/>
  <c r="F14" i="26"/>
  <c r="G14" i="26"/>
  <c r="H14" i="26"/>
  <c r="I14" i="26"/>
  <c r="J14" i="26"/>
  <c r="K14" i="26"/>
  <c r="L14" i="26"/>
  <c r="M14" i="26"/>
  <c r="N14" i="26"/>
  <c r="O14" i="26"/>
  <c r="D15" i="26"/>
  <c r="E15" i="26"/>
  <c r="F15" i="26"/>
  <c r="G15" i="26"/>
  <c r="H15" i="26"/>
  <c r="I15" i="26"/>
  <c r="J15" i="26"/>
  <c r="K15" i="26"/>
  <c r="L15" i="26"/>
  <c r="M15" i="26"/>
  <c r="N15" i="26"/>
  <c r="O15" i="26"/>
  <c r="D16" i="26"/>
  <c r="E16" i="26"/>
  <c r="F16" i="26"/>
  <c r="G16" i="26"/>
  <c r="H16" i="26"/>
  <c r="I16" i="26"/>
  <c r="J16" i="26"/>
  <c r="K16" i="26"/>
  <c r="L16" i="26"/>
  <c r="M16" i="26"/>
  <c r="N16" i="26"/>
  <c r="O16" i="26"/>
  <c r="D17" i="26"/>
  <c r="E17" i="26"/>
  <c r="F17" i="26"/>
  <c r="G17" i="26"/>
  <c r="H17" i="26"/>
  <c r="I17" i="26"/>
  <c r="J17" i="26"/>
  <c r="K17" i="26"/>
  <c r="L17" i="26"/>
  <c r="M17" i="26"/>
  <c r="N17" i="26"/>
  <c r="O17" i="26"/>
  <c r="D18" i="26"/>
  <c r="E18" i="26"/>
  <c r="F18" i="26"/>
  <c r="G18" i="26"/>
  <c r="H18" i="26"/>
  <c r="I18" i="26"/>
  <c r="J18" i="26"/>
  <c r="K18" i="26"/>
  <c r="L18" i="26"/>
  <c r="M18" i="26"/>
  <c r="N18" i="26"/>
  <c r="O18" i="26"/>
  <c r="D19" i="26"/>
  <c r="E19" i="26"/>
  <c r="F19" i="26"/>
  <c r="G19" i="26"/>
  <c r="H19" i="26"/>
  <c r="I19" i="26"/>
  <c r="J19" i="26"/>
  <c r="K19" i="26"/>
  <c r="L19" i="26"/>
  <c r="M19" i="26"/>
  <c r="N19" i="26"/>
  <c r="O19" i="26"/>
  <c r="D20" i="26"/>
  <c r="E20" i="26"/>
  <c r="F20" i="26"/>
  <c r="G20" i="26"/>
  <c r="H20" i="26"/>
  <c r="I20" i="26"/>
  <c r="J20" i="26"/>
  <c r="K20" i="26"/>
  <c r="L20" i="26"/>
  <c r="M20" i="26"/>
  <c r="N20" i="26"/>
  <c r="O20" i="26"/>
  <c r="D21" i="26"/>
  <c r="E21" i="26"/>
  <c r="F21" i="26"/>
  <c r="G21" i="26"/>
  <c r="H21" i="26"/>
  <c r="I21" i="26"/>
  <c r="J21" i="26"/>
  <c r="K21" i="26"/>
  <c r="L21" i="26"/>
  <c r="M21" i="26"/>
  <c r="N21" i="26"/>
  <c r="O21" i="26"/>
  <c r="D22" i="26"/>
  <c r="E22" i="26"/>
  <c r="F22" i="26"/>
  <c r="G22" i="26"/>
  <c r="H22" i="26"/>
  <c r="I22" i="26"/>
  <c r="J22" i="26"/>
  <c r="K22" i="26"/>
  <c r="L22" i="26"/>
  <c r="M22" i="26"/>
  <c r="N22" i="26"/>
  <c r="O22" i="26"/>
  <c r="D23" i="26"/>
  <c r="E23" i="26"/>
  <c r="F23" i="26"/>
  <c r="G23" i="26"/>
  <c r="H23" i="26"/>
  <c r="I23" i="26"/>
  <c r="J23" i="26"/>
  <c r="K23" i="26"/>
  <c r="L23" i="26"/>
  <c r="M23" i="26"/>
  <c r="N23" i="26"/>
  <c r="O23" i="26"/>
  <c r="D24" i="26"/>
  <c r="E24" i="26"/>
  <c r="F24" i="26"/>
  <c r="G24" i="26"/>
  <c r="H24" i="26"/>
  <c r="I24" i="26"/>
  <c r="J24" i="26"/>
  <c r="K24" i="26"/>
  <c r="L24" i="26"/>
  <c r="M24" i="26"/>
  <c r="N24" i="26"/>
  <c r="O24" i="26"/>
  <c r="D25" i="26"/>
  <c r="E25" i="26"/>
  <c r="F25" i="26"/>
  <c r="G25" i="26"/>
  <c r="H25" i="26"/>
  <c r="I25" i="26"/>
  <c r="J25" i="26"/>
  <c r="K25" i="26"/>
  <c r="L25" i="26"/>
  <c r="M25" i="26"/>
  <c r="N25" i="26"/>
  <c r="O25" i="26"/>
  <c r="D26" i="26"/>
  <c r="E26" i="26"/>
  <c r="F26" i="26"/>
  <c r="G26" i="26"/>
  <c r="H26" i="26"/>
  <c r="I26" i="26"/>
  <c r="J26" i="26"/>
  <c r="K26" i="26"/>
  <c r="L26" i="26"/>
  <c r="M26" i="26"/>
  <c r="N26" i="26"/>
  <c r="O26" i="26"/>
  <c r="O4" i="26"/>
  <c r="N4" i="26"/>
  <c r="M4" i="26"/>
  <c r="L4" i="26"/>
  <c r="K4" i="26"/>
  <c r="J4" i="26"/>
  <c r="I4" i="26"/>
  <c r="H4" i="26"/>
  <c r="G4" i="26"/>
  <c r="F4" i="26"/>
  <c r="E4" i="26"/>
  <c r="D4" i="26"/>
  <c r="W3" i="14"/>
  <c r="I10" i="13" s="1"/>
  <c r="W4" i="14"/>
  <c r="I11" i="13" s="1"/>
  <c r="W5" i="14"/>
  <c r="I12" i="13" s="1"/>
  <c r="W6" i="14"/>
  <c r="I13" i="13" s="1"/>
  <c r="W7" i="14"/>
  <c r="I14" i="13" s="1"/>
  <c r="W8" i="14"/>
  <c r="I15" i="13" s="1"/>
  <c r="W9" i="14"/>
  <c r="I16" i="13" s="1"/>
  <c r="W10" i="14"/>
  <c r="I17" i="13" s="1"/>
  <c r="W11" i="14"/>
  <c r="I18" i="13" s="1"/>
  <c r="W12" i="14"/>
  <c r="I19" i="13" s="1"/>
  <c r="W13" i="14"/>
  <c r="I20" i="13" s="1"/>
  <c r="W14" i="14"/>
  <c r="I21" i="13" s="1"/>
  <c r="W15" i="14"/>
  <c r="I22" i="13" s="1"/>
  <c r="W16" i="14"/>
  <c r="I23" i="13" s="1"/>
  <c r="W17" i="14"/>
  <c r="I24" i="13" s="1"/>
  <c r="W18" i="14"/>
  <c r="I25" i="13" s="1"/>
  <c r="W19" i="14"/>
  <c r="I26" i="13" s="1"/>
  <c r="W20" i="14"/>
  <c r="I27" i="13" s="1"/>
  <c r="W21" i="14"/>
  <c r="I28" i="13" s="1"/>
  <c r="W2" i="14"/>
  <c r="I9" i="13" s="1"/>
  <c r="C32" i="59" l="1"/>
  <c r="C31" i="59"/>
  <c r="C29" i="59"/>
  <c r="C28" i="59"/>
  <c r="C61" i="45"/>
  <c r="C60" i="45"/>
  <c r="C59" i="45"/>
  <c r="C58" i="45"/>
  <c r="C56" i="45"/>
  <c r="C55" i="45"/>
  <c r="C54" i="45"/>
  <c r="C53" i="45"/>
  <c r="C32" i="26" l="1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B47" i="59" l="1"/>
  <c r="D24" i="5" s="1"/>
  <c r="C40" i="5"/>
  <c r="C41" i="5"/>
  <c r="C42" i="5"/>
  <c r="C43" i="5"/>
  <c r="C44" i="5"/>
  <c r="C19" i="60" l="1"/>
  <c r="C18" i="60"/>
  <c r="B50" i="59"/>
  <c r="D27" i="5" s="1"/>
  <c r="I10" i="60"/>
  <c r="G10" i="60"/>
  <c r="G9" i="60"/>
  <c r="I23" i="33" l="1"/>
  <c r="C46" i="52" l="1"/>
  <c r="C9" i="60"/>
  <c r="C10" i="60"/>
  <c r="C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5" i="33" s="1"/>
  <c r="B59" i="52"/>
  <c r="C40" i="60" l="1"/>
  <c r="C54" i="9" s="1"/>
  <c r="B48" i="59"/>
  <c r="D25" i="5" s="1"/>
  <c r="D35" i="60"/>
  <c r="D41" i="50"/>
  <c r="C47" i="50" l="1"/>
  <c r="C130" i="9" s="1"/>
  <c r="AB1" i="61" l="1"/>
  <c r="F1" i="61"/>
  <c r="D1" i="61"/>
  <c r="B1" i="61"/>
  <c r="N4" i="11" l="1"/>
  <c r="O4" i="11"/>
  <c r="B78" i="45"/>
  <c r="B79" i="45"/>
  <c r="B81" i="45"/>
  <c r="B83" i="45"/>
  <c r="C125" i="9" s="1"/>
  <c r="B84" i="45"/>
  <c r="C126" i="9" s="1"/>
  <c r="B85" i="45"/>
  <c r="C127" i="9" s="1"/>
  <c r="B82" i="45"/>
  <c r="B77" i="45"/>
  <c r="C124" i="9" l="1"/>
  <c r="N20" i="33"/>
  <c r="N19" i="33"/>
  <c r="N18" i="33"/>
  <c r="N26" i="33"/>
  <c r="N25" i="33"/>
  <c r="N24" i="33"/>
  <c r="N23" i="33"/>
  <c r="N16" i="33"/>
  <c r="N17" i="33"/>
  <c r="K23" i="39"/>
  <c r="K25" i="39"/>
  <c r="K26" i="39"/>
  <c r="K27" i="39"/>
  <c r="K24" i="39"/>
  <c r="O25" i="39"/>
  <c r="O26" i="39"/>
  <c r="O27" i="39"/>
  <c r="O24" i="39"/>
  <c r="I16" i="33" l="1"/>
  <c r="F18" i="60" l="1"/>
  <c r="E31" i="17" l="1"/>
  <c r="E26" i="17"/>
  <c r="E25" i="17"/>
  <c r="C43" i="56" l="1"/>
  <c r="D78" i="33"/>
  <c r="D74" i="39"/>
  <c r="C120" i="9" l="1"/>
  <c r="C119" i="9"/>
  <c r="B74" i="45"/>
  <c r="C116" i="9" s="1"/>
  <c r="B45" i="39" l="1"/>
  <c r="B46" i="39"/>
  <c r="C11" i="60" l="1"/>
  <c r="C41" i="60"/>
  <c r="C55" i="9" s="1"/>
  <c r="C38" i="60"/>
  <c r="C52" i="9" s="1"/>
  <c r="C39" i="60" l="1"/>
  <c r="C53" i="9" s="1"/>
  <c r="C12" i="50"/>
  <c r="J17" i="50"/>
  <c r="K17" i="50"/>
  <c r="G31" i="50"/>
  <c r="C27" i="52"/>
  <c r="D27" i="50" l="1"/>
  <c r="B57" i="52"/>
  <c r="D83" i="33" s="1"/>
  <c r="C49" i="50"/>
  <c r="C132" i="9" s="1"/>
  <c r="D86" i="33"/>
  <c r="D84" i="33"/>
  <c r="C45" i="50"/>
  <c r="C128" i="9" s="1"/>
  <c r="D82" i="33"/>
  <c r="C46" i="50" l="1"/>
  <c r="C129" i="9" s="1"/>
  <c r="D3" i="61" l="1"/>
  <c r="J3" i="61" l="1"/>
  <c r="N3" i="61"/>
  <c r="R3" i="61"/>
  <c r="V3" i="61"/>
  <c r="Z3" i="61"/>
  <c r="AD3" i="61"/>
  <c r="K3" i="61"/>
  <c r="S3" i="61"/>
  <c r="AA3" i="61"/>
  <c r="L3" i="61"/>
  <c r="P3" i="61"/>
  <c r="T3" i="61"/>
  <c r="X3" i="61"/>
  <c r="AB3" i="61"/>
  <c r="H3" i="61"/>
  <c r="I3" i="61"/>
  <c r="M3" i="61"/>
  <c r="Q3" i="61"/>
  <c r="U3" i="61"/>
  <c r="Y3" i="61"/>
  <c r="AC3" i="61"/>
  <c r="O3" i="61"/>
  <c r="W3" i="61"/>
  <c r="AE3" i="61"/>
  <c r="F3" i="6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D18" i="5" l="1"/>
  <c r="C75" i="9" s="1"/>
  <c r="D17" i="5"/>
  <c r="C74" i="9" s="1"/>
  <c r="D16" i="5"/>
  <c r="C73" i="9" s="1"/>
  <c r="D19" i="5"/>
  <c r="C76" i="9" s="1"/>
  <c r="D15" i="5"/>
  <c r="C72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D73" i="39" l="1"/>
  <c r="C141" i="9" s="1"/>
  <c r="D72" i="39"/>
  <c r="C140" i="9" s="1"/>
  <c r="D71" i="39"/>
  <c r="C139" i="9" s="1"/>
  <c r="D73" i="33"/>
  <c r="D77" i="33"/>
  <c r="D72" i="33"/>
  <c r="D76" i="33"/>
  <c r="D74" i="33"/>
  <c r="D71" i="33"/>
  <c r="D75" i="33"/>
  <c r="D68" i="39"/>
  <c r="D65" i="39"/>
  <c r="D67" i="39"/>
  <c r="D69" i="39"/>
  <c r="D66" i="39"/>
  <c r="D70" i="39"/>
  <c r="C138" i="9" s="1"/>
  <c r="C3" i="50" l="1"/>
  <c r="C2" i="50" l="1"/>
  <c r="C48" i="50" l="1"/>
  <c r="C131" i="9" s="1"/>
  <c r="C4" i="50"/>
  <c r="F3" i="50"/>
  <c r="F2" i="50"/>
  <c r="G2" i="50" l="1"/>
  <c r="F4" i="50"/>
  <c r="C134" i="9" l="1"/>
  <c r="C137" i="9"/>
  <c r="C136" i="9"/>
  <c r="C135" i="9"/>
  <c r="C133" i="9"/>
  <c r="D2" i="38" l="1"/>
  <c r="C2" i="36"/>
  <c r="B5" i="45"/>
  <c r="H16" i="39" l="1"/>
  <c r="I11" i="39"/>
  <c r="I10" i="39"/>
  <c r="X31" i="45" l="1"/>
  <c r="W31" i="45" s="1"/>
  <c r="K31" i="45"/>
  <c r="O31" i="45" s="1"/>
  <c r="X30" i="45"/>
  <c r="W30" i="45" s="1"/>
  <c r="K30" i="45"/>
  <c r="O30" i="45" s="1"/>
  <c r="X29" i="45"/>
  <c r="W29" i="45" s="1"/>
  <c r="K29" i="45"/>
  <c r="O29" i="45" s="1"/>
  <c r="X28" i="45"/>
  <c r="K28" i="45"/>
  <c r="O28" i="45" s="1"/>
  <c r="G28" i="45"/>
  <c r="I28" i="45" s="1"/>
  <c r="X27" i="45"/>
  <c r="K27" i="45"/>
  <c r="O27" i="45" s="1"/>
  <c r="G27" i="45"/>
  <c r="I27" i="45" s="1"/>
  <c r="X26" i="45"/>
  <c r="K26" i="45"/>
  <c r="O26" i="45" s="1"/>
  <c r="G26" i="45"/>
  <c r="I26" i="45" s="1"/>
  <c r="X25" i="45"/>
  <c r="K25" i="45"/>
  <c r="G25" i="45"/>
  <c r="I25" i="45" s="1"/>
  <c r="X24" i="45"/>
  <c r="K24" i="45"/>
  <c r="O24" i="45" s="1"/>
  <c r="G24" i="45"/>
  <c r="I24" i="45" s="1"/>
  <c r="X23" i="45"/>
  <c r="K23" i="45"/>
  <c r="O23" i="45" s="1"/>
  <c r="G23" i="45"/>
  <c r="I23" i="45" s="1"/>
  <c r="X22" i="45"/>
  <c r="K22" i="45"/>
  <c r="O22" i="45" s="1"/>
  <c r="G22" i="45"/>
  <c r="I22" i="45" s="1"/>
  <c r="X21" i="45"/>
  <c r="K21" i="45"/>
  <c r="G21" i="45"/>
  <c r="I21" i="45" s="1"/>
  <c r="X20" i="45"/>
  <c r="W20" i="45" s="1"/>
  <c r="K20" i="45"/>
  <c r="O20" i="45" s="1"/>
  <c r="G20" i="45"/>
  <c r="I20" i="45" s="1"/>
  <c r="K18" i="45"/>
  <c r="L18" i="45" s="1"/>
  <c r="K14" i="45"/>
  <c r="C14" i="39"/>
  <c r="S26" i="42"/>
  <c r="R26" i="42"/>
  <c r="Q26" i="42"/>
  <c r="P26" i="42"/>
  <c r="O26" i="42"/>
  <c r="N26" i="42"/>
  <c r="S25" i="42"/>
  <c r="R25" i="42"/>
  <c r="Q25" i="42"/>
  <c r="P25" i="42"/>
  <c r="O25" i="42"/>
  <c r="N25" i="42"/>
  <c r="C55" i="74"/>
  <c r="C54" i="74"/>
  <c r="H44" i="39"/>
  <c r="G44" i="39"/>
  <c r="B101" i="45" s="1"/>
  <c r="H43" i="39"/>
  <c r="G43" i="39"/>
  <c r="B100" i="45" s="1"/>
  <c r="H42" i="39"/>
  <c r="G42" i="39"/>
  <c r="K40" i="39"/>
  <c r="G40" i="39"/>
  <c r="C52" i="74" s="1"/>
  <c r="D40" i="39"/>
  <c r="C40" i="39"/>
  <c r="K39" i="39"/>
  <c r="G39" i="39"/>
  <c r="C49" i="74" s="1"/>
  <c r="D39" i="39"/>
  <c r="C39" i="39"/>
  <c r="K38" i="39"/>
  <c r="G38" i="39"/>
  <c r="C46" i="74" s="1"/>
  <c r="D38" i="39"/>
  <c r="C38" i="39"/>
  <c r="K37" i="39"/>
  <c r="G37" i="39"/>
  <c r="C43" i="74" s="1"/>
  <c r="D37" i="39"/>
  <c r="C37" i="39"/>
  <c r="K36" i="39"/>
  <c r="G36" i="39"/>
  <c r="C40" i="74" s="1"/>
  <c r="D36" i="39"/>
  <c r="C36" i="39"/>
  <c r="K35" i="39"/>
  <c r="G35" i="39"/>
  <c r="C37" i="74" s="1"/>
  <c r="D35" i="39"/>
  <c r="C35" i="39"/>
  <c r="K34" i="39"/>
  <c r="G34" i="39"/>
  <c r="C34" i="74" s="1"/>
  <c r="D34" i="39"/>
  <c r="C34" i="39"/>
  <c r="K33" i="39"/>
  <c r="G33" i="39"/>
  <c r="C31" i="74" s="1"/>
  <c r="D33" i="39"/>
  <c r="C33" i="39"/>
  <c r="K32" i="39"/>
  <c r="G32" i="39"/>
  <c r="C28" i="74" s="1"/>
  <c r="D32" i="39"/>
  <c r="G30" i="39"/>
  <c r="G22" i="39"/>
  <c r="E22" i="39"/>
  <c r="G21" i="39"/>
  <c r="E21" i="39"/>
  <c r="J13" i="39"/>
  <c r="H13" i="39"/>
  <c r="Q63" i="38"/>
  <c r="P63" i="38"/>
  <c r="K63" i="38"/>
  <c r="J63" i="38"/>
  <c r="E63" i="38"/>
  <c r="D63" i="38"/>
  <c r="M58" i="38"/>
  <c r="G58" i="38"/>
  <c r="A58" i="38"/>
  <c r="Q52" i="38"/>
  <c r="P52" i="38"/>
  <c r="K52" i="38"/>
  <c r="J52" i="38"/>
  <c r="E52" i="38"/>
  <c r="D52" i="38"/>
  <c r="M47" i="38"/>
  <c r="G47" i="38"/>
  <c r="A47" i="38"/>
  <c r="K39" i="38"/>
  <c r="J38" i="38"/>
  <c r="L37" i="38"/>
  <c r="J37" i="38"/>
  <c r="H37" i="38"/>
  <c r="K35" i="38"/>
  <c r="J34" i="38"/>
  <c r="L33" i="38"/>
  <c r="J33" i="38"/>
  <c r="H33" i="38"/>
  <c r="K31" i="38"/>
  <c r="J30" i="38"/>
  <c r="L29" i="38"/>
  <c r="J29" i="38"/>
  <c r="H29" i="38"/>
  <c r="K27" i="38"/>
  <c r="J26" i="38"/>
  <c r="L25" i="38"/>
  <c r="J25" i="38"/>
  <c r="H25" i="38"/>
  <c r="K23" i="38"/>
  <c r="J22" i="38"/>
  <c r="L21" i="38"/>
  <c r="J21" i="38"/>
  <c r="H21" i="38"/>
  <c r="K19" i="38"/>
  <c r="J18" i="38"/>
  <c r="L17" i="38"/>
  <c r="J17" i="38"/>
  <c r="H17" i="38"/>
  <c r="K15" i="38"/>
  <c r="J14" i="38"/>
  <c r="L13" i="38"/>
  <c r="J13" i="38"/>
  <c r="H13" i="38"/>
  <c r="K11" i="38"/>
  <c r="J10" i="38"/>
  <c r="L9" i="38"/>
  <c r="J9" i="38"/>
  <c r="H9" i="38"/>
  <c r="K7" i="38"/>
  <c r="J6" i="38"/>
  <c r="L5" i="38"/>
  <c r="J5" i="38"/>
  <c r="H5" i="38"/>
  <c r="J2" i="38"/>
  <c r="J1" i="38"/>
  <c r="F50" i="36"/>
  <c r="G37" i="38" s="1"/>
  <c r="F47" i="36"/>
  <c r="G33" i="38" s="1"/>
  <c r="F44" i="36"/>
  <c r="G29" i="38" s="1"/>
  <c r="F41" i="36"/>
  <c r="G25" i="38" s="1"/>
  <c r="F38" i="36"/>
  <c r="G21" i="38" s="1"/>
  <c r="F35" i="36"/>
  <c r="G17" i="38" s="1"/>
  <c r="F32" i="36"/>
  <c r="G13" i="38" s="1"/>
  <c r="F29" i="36"/>
  <c r="G9" i="38" s="1"/>
  <c r="F26" i="36"/>
  <c r="G5" i="38" s="1"/>
  <c r="O22" i="36"/>
  <c r="D22" i="36"/>
  <c r="O21" i="36"/>
  <c r="O20" i="36"/>
  <c r="D20" i="36"/>
  <c r="A6" i="36"/>
  <c r="B116" i="45" s="1"/>
  <c r="I4" i="36"/>
  <c r="M2" i="36"/>
  <c r="I2" i="36"/>
  <c r="J42" i="74"/>
  <c r="J33" i="74"/>
  <c r="J30" i="74"/>
  <c r="J27" i="74"/>
  <c r="F10" i="33"/>
  <c r="O1" i="33"/>
  <c r="M1" i="33"/>
  <c r="C46" i="36" l="1"/>
  <c r="D30" i="38" s="1"/>
  <c r="C43" i="36"/>
  <c r="D26" i="38" s="1"/>
  <c r="M62" i="38" s="1"/>
  <c r="B116" i="72"/>
  <c r="B99" i="45"/>
  <c r="C100" i="9"/>
  <c r="C102" i="9"/>
  <c r="C101" i="9"/>
  <c r="C40" i="36"/>
  <c r="D22" i="38" s="1"/>
  <c r="G62" i="38" s="1"/>
  <c r="W23" i="45"/>
  <c r="H23" i="45"/>
  <c r="H35" i="39" s="1"/>
  <c r="W24" i="45"/>
  <c r="H24" i="45"/>
  <c r="H36" i="39" s="1"/>
  <c r="W25" i="45"/>
  <c r="H25" i="45"/>
  <c r="H37" i="39" s="1"/>
  <c r="W26" i="45"/>
  <c r="H26" i="45"/>
  <c r="H38" i="39" s="1"/>
  <c r="W27" i="45"/>
  <c r="H27" i="45"/>
  <c r="H39" i="39" s="1"/>
  <c r="C49" i="36"/>
  <c r="D34" i="38" s="1"/>
  <c r="C37" i="36"/>
  <c r="D18" i="38" s="1"/>
  <c r="A62" i="38" s="1"/>
  <c r="B76" i="45"/>
  <c r="C118" i="9" s="1"/>
  <c r="B75" i="45"/>
  <c r="C117" i="9" s="1"/>
  <c r="C34" i="36"/>
  <c r="D14" i="38" s="1"/>
  <c r="M51" i="38" s="1"/>
  <c r="W22" i="45"/>
  <c r="H22" i="45"/>
  <c r="H34" i="39" s="1"/>
  <c r="S14" i="45"/>
  <c r="Q14" i="45"/>
  <c r="C121" i="9"/>
  <c r="C122" i="9"/>
  <c r="C52" i="36"/>
  <c r="D38" i="38" s="1"/>
  <c r="W28" i="45"/>
  <c r="H28" i="45"/>
  <c r="H40" i="39" s="1"/>
  <c r="C31" i="36"/>
  <c r="D10" i="38" s="1"/>
  <c r="G51" i="38" s="1"/>
  <c r="W21" i="45"/>
  <c r="H21" i="45"/>
  <c r="H33" i="39" s="1"/>
  <c r="H20" i="45"/>
  <c r="H32" i="39" s="1"/>
  <c r="L26" i="45"/>
  <c r="M26" i="45"/>
  <c r="Q26" i="45"/>
  <c r="L24" i="45"/>
  <c r="P24" i="45"/>
  <c r="M22" i="45"/>
  <c r="J30" i="36"/>
  <c r="A22" i="36"/>
  <c r="A20" i="36"/>
  <c r="M20" i="36" s="1"/>
  <c r="N31" i="45"/>
  <c r="P31" i="45"/>
  <c r="L31" i="45"/>
  <c r="Q31" i="45"/>
  <c r="M31" i="45"/>
  <c r="R31" i="45"/>
  <c r="L30" i="45"/>
  <c r="P30" i="45"/>
  <c r="N29" i="45"/>
  <c r="P29" i="45"/>
  <c r="L29" i="45"/>
  <c r="Q29" i="45"/>
  <c r="M29" i="45"/>
  <c r="R29" i="45"/>
  <c r="J51" i="36"/>
  <c r="M52" i="36"/>
  <c r="N52" i="36" s="1"/>
  <c r="P27" i="45"/>
  <c r="J45" i="36"/>
  <c r="M44" i="36"/>
  <c r="N44" i="36" s="1"/>
  <c r="O44" i="36"/>
  <c r="M46" i="36"/>
  <c r="N46" i="36" s="1"/>
  <c r="R26" i="45"/>
  <c r="M43" i="36"/>
  <c r="N43" i="36" s="1"/>
  <c r="J42" i="36"/>
  <c r="B25" i="38"/>
  <c r="M40" i="36"/>
  <c r="N40" i="36" s="1"/>
  <c r="J39" i="36"/>
  <c r="J36" i="36"/>
  <c r="L23" i="45"/>
  <c r="B17" i="38"/>
  <c r="M23" i="45"/>
  <c r="N22" i="45"/>
  <c r="K9" i="38"/>
  <c r="M31" i="36"/>
  <c r="N31" i="36" s="1"/>
  <c r="B42" i="38"/>
  <c r="C55" i="36"/>
  <c r="K37" i="38"/>
  <c r="O50" i="36"/>
  <c r="J48" i="36"/>
  <c r="M49" i="36"/>
  <c r="N49" i="36" s="1"/>
  <c r="K33" i="38"/>
  <c r="D33" i="38"/>
  <c r="K29" i="38"/>
  <c r="K25" i="38"/>
  <c r="M41" i="36"/>
  <c r="N41" i="36" s="1"/>
  <c r="K21" i="38"/>
  <c r="O38" i="36"/>
  <c r="K17" i="38"/>
  <c r="M37" i="36"/>
  <c r="N37" i="36" s="1"/>
  <c r="J33" i="36"/>
  <c r="M34" i="36"/>
  <c r="N34" i="36" s="1"/>
  <c r="K13" i="38"/>
  <c r="D13" i="38"/>
  <c r="M48" i="38" s="1"/>
  <c r="B9" i="38"/>
  <c r="L28" i="45"/>
  <c r="P28" i="45"/>
  <c r="Q27" i="45"/>
  <c r="L27" i="45"/>
  <c r="M27" i="45"/>
  <c r="P26" i="45"/>
  <c r="N26" i="45"/>
  <c r="P23" i="45"/>
  <c r="Q23" i="45"/>
  <c r="R22" i="45"/>
  <c r="P22" i="45"/>
  <c r="L22" i="45"/>
  <c r="Q22" i="45"/>
  <c r="H15" i="39"/>
  <c r="I12" i="39"/>
  <c r="L20" i="45"/>
  <c r="P20" i="45"/>
  <c r="C28" i="36"/>
  <c r="D6" i="38" s="1"/>
  <c r="A51" i="38" s="1"/>
  <c r="O26" i="36"/>
  <c r="K5" i="38"/>
  <c r="C18" i="33"/>
  <c r="L14" i="45"/>
  <c r="P14" i="45"/>
  <c r="T14" i="45"/>
  <c r="R25" i="45"/>
  <c r="N25" i="45"/>
  <c r="Q25" i="45"/>
  <c r="M25" i="45"/>
  <c r="P25" i="45"/>
  <c r="L25" i="45"/>
  <c r="O25" i="45"/>
  <c r="B41" i="38"/>
  <c r="C54" i="36"/>
  <c r="A21" i="36"/>
  <c r="M21" i="36" s="1"/>
  <c r="N21" i="36" s="1"/>
  <c r="I5" i="38"/>
  <c r="J27" i="36"/>
  <c r="M28" i="36"/>
  <c r="D21" i="36"/>
  <c r="R21" i="45"/>
  <c r="N21" i="45"/>
  <c r="Q21" i="45"/>
  <c r="M21" i="45"/>
  <c r="P21" i="45"/>
  <c r="L21" i="45"/>
  <c r="O21" i="45"/>
  <c r="I9" i="38"/>
  <c r="I13" i="38"/>
  <c r="I17" i="38"/>
  <c r="I21" i="38"/>
  <c r="I25" i="38"/>
  <c r="I29" i="38"/>
  <c r="I33" i="38"/>
  <c r="I37" i="38"/>
  <c r="M14" i="45"/>
  <c r="U14" i="45"/>
  <c r="M20" i="45"/>
  <c r="Q20" i="45"/>
  <c r="N23" i="45"/>
  <c r="R23" i="45"/>
  <c r="M24" i="45"/>
  <c r="Q24" i="45"/>
  <c r="N27" i="45"/>
  <c r="R27" i="45"/>
  <c r="M28" i="45"/>
  <c r="Q28" i="45"/>
  <c r="M30" i="45"/>
  <c r="Q30" i="45"/>
  <c r="K49" i="45"/>
  <c r="D3" i="39" s="1"/>
  <c r="N14" i="45"/>
  <c r="R14" i="45"/>
  <c r="V14" i="45"/>
  <c r="N20" i="45"/>
  <c r="R20" i="45"/>
  <c r="N24" i="45"/>
  <c r="R24" i="45"/>
  <c r="N28" i="45"/>
  <c r="R28" i="45"/>
  <c r="N30" i="45"/>
  <c r="R30" i="45"/>
  <c r="O14" i="45"/>
  <c r="R61" i="45" l="1"/>
  <c r="U61" i="45"/>
  <c r="M61" i="45"/>
  <c r="V60" i="45"/>
  <c r="P60" i="45"/>
  <c r="U60" i="45"/>
  <c r="U59" i="45"/>
  <c r="L59" i="45"/>
  <c r="M56" i="45"/>
  <c r="R56" i="45"/>
  <c r="P56" i="45"/>
  <c r="S55" i="45"/>
  <c r="N55" i="45"/>
  <c r="U55" i="45"/>
  <c r="R54" i="45"/>
  <c r="L54" i="45"/>
  <c r="U54" i="45"/>
  <c r="V61" i="45"/>
  <c r="L61" i="45"/>
  <c r="Q61" i="45"/>
  <c r="O60" i="45"/>
  <c r="T60" i="45"/>
  <c r="N59" i="45"/>
  <c r="O59" i="45"/>
  <c r="P59" i="45"/>
  <c r="Q56" i="45"/>
  <c r="V56" i="45"/>
  <c r="T56" i="45"/>
  <c r="T55" i="45"/>
  <c r="R55" i="45"/>
  <c r="V55" i="45"/>
  <c r="V54" i="45"/>
  <c r="P54" i="45"/>
  <c r="O61" i="45"/>
  <c r="P61" i="45"/>
  <c r="N60" i="45"/>
  <c r="S60" i="45"/>
  <c r="M60" i="45"/>
  <c r="R59" i="45"/>
  <c r="S59" i="45"/>
  <c r="T59" i="45"/>
  <c r="U56" i="45"/>
  <c r="O56" i="45"/>
  <c r="S56" i="45"/>
  <c r="M55" i="45"/>
  <c r="L55" i="45"/>
  <c r="M54" i="45"/>
  <c r="O54" i="45"/>
  <c r="T54" i="45"/>
  <c r="N61" i="45"/>
  <c r="S61" i="45"/>
  <c r="T61" i="45"/>
  <c r="R60" i="45"/>
  <c r="L60" i="45"/>
  <c r="Q60" i="45"/>
  <c r="V59" i="45"/>
  <c r="Q59" i="45"/>
  <c r="M59" i="45"/>
  <c r="N56" i="45"/>
  <c r="L56" i="45"/>
  <c r="O55" i="45"/>
  <c r="Q55" i="45"/>
  <c r="P55" i="45"/>
  <c r="N54" i="45"/>
  <c r="S54" i="45"/>
  <c r="Q54" i="45"/>
  <c r="Q58" i="45"/>
  <c r="L58" i="45"/>
  <c r="N58" i="45"/>
  <c r="T58" i="45"/>
  <c r="R58" i="45"/>
  <c r="M58" i="45"/>
  <c r="U58" i="45"/>
  <c r="O58" i="45"/>
  <c r="P58" i="45"/>
  <c r="S58" i="45"/>
  <c r="V58" i="45"/>
  <c r="O53" i="45"/>
  <c r="S53" i="45"/>
  <c r="Q53" i="45"/>
  <c r="M53" i="45"/>
  <c r="V53" i="45"/>
  <c r="P53" i="45"/>
  <c r="L53" i="45"/>
  <c r="U53" i="45"/>
  <c r="N53" i="45"/>
  <c r="R53" i="45"/>
  <c r="T53" i="45"/>
  <c r="O27" i="38"/>
  <c r="N27" i="38"/>
  <c r="O19" i="38"/>
  <c r="N19" i="38"/>
  <c r="N11" i="38"/>
  <c r="J50" i="38" s="1"/>
  <c r="O11" i="38"/>
  <c r="M45" i="36"/>
  <c r="N45" i="36" s="1"/>
  <c r="M42" i="36"/>
  <c r="N42" i="36" s="1"/>
  <c r="N39" i="39"/>
  <c r="V52" i="45"/>
  <c r="R52" i="45"/>
  <c r="N52" i="45"/>
  <c r="U52" i="45"/>
  <c r="Q52" i="45"/>
  <c r="M52" i="45"/>
  <c r="O52" i="45"/>
  <c r="T52" i="45"/>
  <c r="P52" i="45"/>
  <c r="L52" i="45"/>
  <c r="S52" i="45"/>
  <c r="M38" i="36"/>
  <c r="N38" i="36" s="1"/>
  <c r="N37" i="39"/>
  <c r="N35" i="39"/>
  <c r="N36" i="39"/>
  <c r="N38" i="39"/>
  <c r="F33" i="38"/>
  <c r="M47" i="36"/>
  <c r="N47" i="36" s="1"/>
  <c r="M35" i="36"/>
  <c r="N35" i="36" s="1"/>
  <c r="N34" i="39"/>
  <c r="F13" i="38"/>
  <c r="M32" i="36"/>
  <c r="N32" i="36" s="1"/>
  <c r="N20" i="36"/>
  <c r="M22" i="36"/>
  <c r="N22" i="36" s="1"/>
  <c r="N40" i="39"/>
  <c r="M50" i="36"/>
  <c r="N32" i="39"/>
  <c r="B90" i="45" s="1"/>
  <c r="N33" i="39"/>
  <c r="M29" i="36"/>
  <c r="B21" i="38"/>
  <c r="B29" i="38"/>
  <c r="D29" i="38"/>
  <c r="B13" i="38"/>
  <c r="N15" i="38" s="1"/>
  <c r="D21" i="38"/>
  <c r="G59" i="38" s="1"/>
  <c r="O32" i="36"/>
  <c r="O41" i="36"/>
  <c r="O29" i="36"/>
  <c r="D9" i="38"/>
  <c r="G48" i="38" s="1"/>
  <c r="D25" i="38"/>
  <c r="D17" i="38"/>
  <c r="A59" i="38" s="1"/>
  <c r="O35" i="36"/>
  <c r="B37" i="38"/>
  <c r="D37" i="38"/>
  <c r="K38" i="38" s="1"/>
  <c r="B33" i="38"/>
  <c r="O47" i="36"/>
  <c r="C6" i="45"/>
  <c r="C88" i="9"/>
  <c r="J12" i="39"/>
  <c r="J6" i="33"/>
  <c r="B5" i="38"/>
  <c r="D5" i="38"/>
  <c r="M26" i="36"/>
  <c r="N26" i="36" s="1"/>
  <c r="N28" i="36"/>
  <c r="M49" i="38"/>
  <c r="K14" i="38"/>
  <c r="M50" i="38" s="1"/>
  <c r="F15" i="38"/>
  <c r="F35" i="38"/>
  <c r="K34" i="38"/>
  <c r="B44" i="45" l="1"/>
  <c r="B40" i="45"/>
  <c r="B35" i="45"/>
  <c r="B38" i="45"/>
  <c r="B43" i="45"/>
  <c r="B39" i="45"/>
  <c r="B41" i="45"/>
  <c r="B37" i="45"/>
  <c r="B42" i="45"/>
  <c r="B16" i="45"/>
  <c r="N39" i="38"/>
  <c r="O39" i="38"/>
  <c r="O35" i="38"/>
  <c r="N35" i="38"/>
  <c r="O31" i="38"/>
  <c r="N31" i="38"/>
  <c r="N23" i="38"/>
  <c r="O23" i="38"/>
  <c r="O15" i="38"/>
  <c r="P50" i="38"/>
  <c r="O7" i="38"/>
  <c r="N7" i="38"/>
  <c r="M39" i="36"/>
  <c r="N39" i="36" s="1"/>
  <c r="B97" i="45"/>
  <c r="C96" i="9"/>
  <c r="B96" i="45"/>
  <c r="C95" i="9"/>
  <c r="B95" i="45"/>
  <c r="C94" i="9"/>
  <c r="B94" i="45"/>
  <c r="B93" i="45"/>
  <c r="C92" i="9"/>
  <c r="F31" i="38"/>
  <c r="F29" i="38"/>
  <c r="N29" i="38" s="1"/>
  <c r="M59" i="38"/>
  <c r="F25" i="38"/>
  <c r="N25" i="38" s="1"/>
  <c r="O25" i="38" s="1"/>
  <c r="E28" i="36"/>
  <c r="F6" i="38" s="1"/>
  <c r="C51" i="38" s="1"/>
  <c r="E28" i="74"/>
  <c r="B91" i="45"/>
  <c r="N13" i="38"/>
  <c r="O13" i="38" s="1"/>
  <c r="B92" i="45"/>
  <c r="B98" i="45"/>
  <c r="C91" i="9"/>
  <c r="C90" i="9"/>
  <c r="C39" i="72"/>
  <c r="C38" i="72"/>
  <c r="I53" i="73" s="1"/>
  <c r="L52" i="33" s="1"/>
  <c r="C42" i="72"/>
  <c r="C37" i="72"/>
  <c r="I52" i="73" s="1"/>
  <c r="L51" i="33" s="1"/>
  <c r="C44" i="72"/>
  <c r="C43" i="72"/>
  <c r="M14" i="36" s="1"/>
  <c r="N14" i="36" s="1"/>
  <c r="C41" i="72"/>
  <c r="E56" i="73" s="1"/>
  <c r="F55" i="33" s="1"/>
  <c r="C35" i="72"/>
  <c r="D23" i="36" s="1"/>
  <c r="C16" i="72"/>
  <c r="C17" i="72" s="1"/>
  <c r="C40" i="72"/>
  <c r="C97" i="9"/>
  <c r="C93" i="9"/>
  <c r="F21" i="38"/>
  <c r="N21" i="38" s="1"/>
  <c r="C89" i="9"/>
  <c r="F17" i="38"/>
  <c r="N17" i="38" s="1"/>
  <c r="O17" i="38" s="1"/>
  <c r="M48" i="36"/>
  <c r="N48" i="36" s="1"/>
  <c r="M36" i="36"/>
  <c r="N36" i="36" s="1"/>
  <c r="N62" i="45"/>
  <c r="U62" i="45"/>
  <c r="V62" i="45"/>
  <c r="S62" i="45"/>
  <c r="Q62" i="45"/>
  <c r="R62" i="45"/>
  <c r="M62" i="45"/>
  <c r="T62" i="45"/>
  <c r="O62" i="45"/>
  <c r="P62" i="45"/>
  <c r="L62" i="45"/>
  <c r="R57" i="45"/>
  <c r="V57" i="45"/>
  <c r="T57" i="45"/>
  <c r="S57" i="45"/>
  <c r="O57" i="45"/>
  <c r="U57" i="45"/>
  <c r="Q57" i="45"/>
  <c r="M57" i="45"/>
  <c r="L57" i="45"/>
  <c r="P57" i="45"/>
  <c r="N57" i="45"/>
  <c r="M33" i="36"/>
  <c r="N33" i="36" s="1"/>
  <c r="N50" i="36"/>
  <c r="M51" i="36" s="1"/>
  <c r="N51" i="36" s="1"/>
  <c r="F37" i="38"/>
  <c r="N37" i="38" s="1"/>
  <c r="O37" i="38" s="1"/>
  <c r="N29" i="36"/>
  <c r="M30" i="36" s="1"/>
  <c r="N30" i="36" s="1"/>
  <c r="F9" i="38"/>
  <c r="A60" i="38"/>
  <c r="F27" i="38"/>
  <c r="K10" i="38"/>
  <c r="G50" i="38" s="1"/>
  <c r="M60" i="38"/>
  <c r="K30" i="38"/>
  <c r="G60" i="38"/>
  <c r="F39" i="38"/>
  <c r="K22" i="38"/>
  <c r="G61" i="38" s="1"/>
  <c r="F23" i="38"/>
  <c r="K18" i="38"/>
  <c r="A61" i="38" s="1"/>
  <c r="F19" i="38"/>
  <c r="F11" i="38"/>
  <c r="K26" i="38"/>
  <c r="M61" i="38" s="1"/>
  <c r="G49" i="38"/>
  <c r="N33" i="38"/>
  <c r="O33" i="38" s="1"/>
  <c r="K6" i="38"/>
  <c r="A50" i="38" s="1"/>
  <c r="A48" i="38"/>
  <c r="A49" i="38"/>
  <c r="F7" i="38"/>
  <c r="F5" i="38"/>
  <c r="N5" i="38" s="1"/>
  <c r="O5" i="38" s="1"/>
  <c r="M27" i="36"/>
  <c r="N27" i="36" s="1"/>
  <c r="O29" i="38" l="1"/>
  <c r="N30" i="38" s="1"/>
  <c r="O30" i="38" s="1"/>
  <c r="M15" i="36"/>
  <c r="N15" i="36" s="1"/>
  <c r="G58" i="73"/>
  <c r="H58" i="73" s="1"/>
  <c r="K43" i="72"/>
  <c r="I59" i="73"/>
  <c r="J59" i="73" s="1"/>
  <c r="K44" i="72"/>
  <c r="E52" i="36"/>
  <c r="F38" i="38" s="1"/>
  <c r="E52" i="74"/>
  <c r="E49" i="36"/>
  <c r="F34" i="38" s="1"/>
  <c r="E49" i="74"/>
  <c r="E46" i="36"/>
  <c r="F30" i="38" s="1"/>
  <c r="E46" i="74"/>
  <c r="E43" i="36"/>
  <c r="F26" i="38" s="1"/>
  <c r="O62" i="38" s="1"/>
  <c r="E43" i="74"/>
  <c r="E40" i="36"/>
  <c r="F22" i="38" s="1"/>
  <c r="I62" i="38" s="1"/>
  <c r="E40" i="74"/>
  <c r="E37" i="36"/>
  <c r="F18" i="38" s="1"/>
  <c r="C62" i="38" s="1"/>
  <c r="E37" i="74"/>
  <c r="N26" i="38"/>
  <c r="O26" i="38" s="1"/>
  <c r="E31" i="36"/>
  <c r="F10" i="38" s="1"/>
  <c r="I51" i="38" s="1"/>
  <c r="E31" i="74"/>
  <c r="E34" i="36"/>
  <c r="F14" i="38" s="1"/>
  <c r="O51" i="38" s="1"/>
  <c r="E34" i="74"/>
  <c r="A23" i="36"/>
  <c r="E48" i="73"/>
  <c r="F48" i="73" s="1"/>
  <c r="B104" i="72"/>
  <c r="K42" i="72"/>
  <c r="E57" i="73"/>
  <c r="F56" i="33" s="1"/>
  <c r="K40" i="72"/>
  <c r="E55" i="73"/>
  <c r="F54" i="33" s="1"/>
  <c r="K38" i="72"/>
  <c r="E53" i="73"/>
  <c r="F52" i="33" s="1"/>
  <c r="K37" i="72"/>
  <c r="E52" i="73"/>
  <c r="F51" i="33" s="1"/>
  <c r="K39" i="72"/>
  <c r="E54" i="73"/>
  <c r="F53" i="33" s="1"/>
  <c r="C38" i="45"/>
  <c r="K38" i="45" s="1"/>
  <c r="K59" i="39"/>
  <c r="K58" i="39"/>
  <c r="K48" i="39"/>
  <c r="C39" i="45"/>
  <c r="K39" i="45" s="1"/>
  <c r="C37" i="45"/>
  <c r="E52" i="39" s="1"/>
  <c r="C41" i="45"/>
  <c r="V41" i="45" s="1"/>
  <c r="K55" i="39"/>
  <c r="K57" i="39"/>
  <c r="C16" i="45"/>
  <c r="C17" i="45" s="1"/>
  <c r="K35" i="72"/>
  <c r="V35" i="72"/>
  <c r="K41" i="72"/>
  <c r="V41" i="72"/>
  <c r="C35" i="45"/>
  <c r="N18" i="38"/>
  <c r="O18" i="38" s="1"/>
  <c r="O21" i="38"/>
  <c r="N22" i="38" s="1"/>
  <c r="O22" i="38" s="1"/>
  <c r="N34" i="38"/>
  <c r="O34" i="38" s="1"/>
  <c r="N49" i="45"/>
  <c r="I5" i="39" s="1"/>
  <c r="P49" i="45"/>
  <c r="I8" i="39" s="1"/>
  <c r="Q49" i="45"/>
  <c r="D4" i="39" s="1"/>
  <c r="T49" i="45"/>
  <c r="D7" i="39" s="1"/>
  <c r="S49" i="45"/>
  <c r="D5" i="39" s="1"/>
  <c r="O49" i="45"/>
  <c r="I6" i="39" s="1"/>
  <c r="L49" i="45"/>
  <c r="I3" i="39" s="1"/>
  <c r="M49" i="45"/>
  <c r="I4" i="39" s="1"/>
  <c r="V49" i="45"/>
  <c r="D8" i="39" s="1"/>
  <c r="R49" i="45"/>
  <c r="D6" i="39" s="1"/>
  <c r="U49" i="45"/>
  <c r="I7" i="39" s="1"/>
  <c r="N14" i="38"/>
  <c r="O14" i="38" s="1"/>
  <c r="N38" i="38"/>
  <c r="O38" i="38" s="1"/>
  <c r="N9" i="38"/>
  <c r="O9" i="38" s="1"/>
  <c r="N6" i="38"/>
  <c r="O6" i="38" s="1"/>
  <c r="C43" i="45"/>
  <c r="K53" i="39"/>
  <c r="K56" i="39"/>
  <c r="K54" i="39"/>
  <c r="K18" i="39"/>
  <c r="C42" i="45"/>
  <c r="K52" i="39"/>
  <c r="C40" i="45"/>
  <c r="C44" i="45"/>
  <c r="L58" i="33" l="1"/>
  <c r="I57" i="33"/>
  <c r="G47" i="33"/>
  <c r="D23" i="74"/>
  <c r="M23" i="74" s="1"/>
  <c r="N23" i="74" s="1"/>
  <c r="C104" i="9"/>
  <c r="S43" i="72"/>
  <c r="M43" i="72"/>
  <c r="Q43" i="72"/>
  <c r="N43" i="72"/>
  <c r="L43" i="72"/>
  <c r="R43" i="72"/>
  <c r="T43" i="72"/>
  <c r="P43" i="72"/>
  <c r="O43" i="72"/>
  <c r="S44" i="72"/>
  <c r="M44" i="72"/>
  <c r="R44" i="72"/>
  <c r="O44" i="72"/>
  <c r="L44" i="72"/>
  <c r="T44" i="72"/>
  <c r="Q44" i="72"/>
  <c r="P44" i="72"/>
  <c r="N44" i="72"/>
  <c r="M15" i="74"/>
  <c r="M14" i="74"/>
  <c r="M10" i="74"/>
  <c r="M9" i="74"/>
  <c r="M23" i="36"/>
  <c r="N23" i="36" s="1"/>
  <c r="N13" i="36"/>
  <c r="M9" i="36"/>
  <c r="K45" i="72"/>
  <c r="M38" i="72"/>
  <c r="Q42" i="72"/>
  <c r="M13" i="36"/>
  <c r="M12" i="36"/>
  <c r="U37" i="72"/>
  <c r="M8" i="36"/>
  <c r="O40" i="72"/>
  <c r="M11" i="36"/>
  <c r="N39" i="72"/>
  <c r="M10" i="36"/>
  <c r="E48" i="39"/>
  <c r="F48" i="39" s="1"/>
  <c r="B104" i="45"/>
  <c r="U39" i="72"/>
  <c r="E56" i="39"/>
  <c r="K41" i="45"/>
  <c r="E53" i="39"/>
  <c r="U40" i="72"/>
  <c r="L37" i="72"/>
  <c r="E54" i="39"/>
  <c r="I52" i="39"/>
  <c r="K42" i="45"/>
  <c r="K37" i="45"/>
  <c r="K40" i="45"/>
  <c r="I53" i="39"/>
  <c r="V50" i="72"/>
  <c r="S35" i="72"/>
  <c r="K35" i="45"/>
  <c r="S35" i="45" s="1"/>
  <c r="V35" i="45"/>
  <c r="V50" i="45" s="1"/>
  <c r="C8" i="39" s="1"/>
  <c r="K44" i="45"/>
  <c r="I59" i="39"/>
  <c r="J59" i="39" s="1"/>
  <c r="K43" i="45"/>
  <c r="G58" i="39"/>
  <c r="H58" i="39" s="1"/>
  <c r="N10" i="38"/>
  <c r="O10" i="38" s="1"/>
  <c r="E57" i="39"/>
  <c r="E55" i="39"/>
  <c r="U39" i="45"/>
  <c r="N39" i="45"/>
  <c r="M38" i="45"/>
  <c r="G6" i="5"/>
  <c r="N12" i="36" l="1"/>
  <c r="N8" i="36"/>
  <c r="N11" i="36"/>
  <c r="N9" i="36"/>
  <c r="N10" i="36"/>
  <c r="A23" i="74"/>
  <c r="N15" i="74"/>
  <c r="C114" i="9" s="1"/>
  <c r="L50" i="72"/>
  <c r="H3" i="73" s="1"/>
  <c r="I60" i="73"/>
  <c r="G60" i="73"/>
  <c r="P50" i="72"/>
  <c r="O50" i="72"/>
  <c r="H6" i="73" s="1"/>
  <c r="N50" i="72"/>
  <c r="H5" i="73" s="1"/>
  <c r="M50" i="72"/>
  <c r="H4" i="73" s="1"/>
  <c r="S50" i="72"/>
  <c r="C5" i="73" s="1"/>
  <c r="Q50" i="72"/>
  <c r="C4" i="73" s="1"/>
  <c r="N14" i="74"/>
  <c r="B113" i="45" s="1"/>
  <c r="N9" i="74"/>
  <c r="N10" i="74"/>
  <c r="M13" i="74"/>
  <c r="U40" i="45"/>
  <c r="M11" i="74"/>
  <c r="M8" i="74"/>
  <c r="M12" i="74"/>
  <c r="M16" i="36"/>
  <c r="N16" i="36" s="1"/>
  <c r="K50" i="72"/>
  <c r="C3" i="73" s="1"/>
  <c r="R45" i="72"/>
  <c r="R50" i="72" s="1"/>
  <c r="C6" i="73" s="1"/>
  <c r="E60" i="73"/>
  <c r="U50" i="72"/>
  <c r="H7" i="73" s="1"/>
  <c r="Q42" i="45"/>
  <c r="U37" i="45"/>
  <c r="V47" i="72"/>
  <c r="E8" i="73" s="1"/>
  <c r="H68" i="33" s="1"/>
  <c r="C8" i="73"/>
  <c r="D68" i="33" s="1"/>
  <c r="L37" i="45"/>
  <c r="O40" i="45"/>
  <c r="K45" i="45"/>
  <c r="S44" i="45"/>
  <c r="P44" i="45"/>
  <c r="T44" i="45"/>
  <c r="N44" i="45"/>
  <c r="M44" i="45"/>
  <c r="O44" i="45"/>
  <c r="Q44" i="45"/>
  <c r="L44" i="45"/>
  <c r="R44" i="45"/>
  <c r="S43" i="45"/>
  <c r="Q43" i="45"/>
  <c r="T43" i="45"/>
  <c r="R43" i="45"/>
  <c r="O43" i="45"/>
  <c r="L43" i="45"/>
  <c r="M43" i="45"/>
  <c r="P43" i="45"/>
  <c r="N43" i="45"/>
  <c r="V47" i="45"/>
  <c r="E8" i="39" s="1"/>
  <c r="K11" i="20"/>
  <c r="K12" i="20"/>
  <c r="K13" i="20"/>
  <c r="K14" i="20"/>
  <c r="K15" i="20"/>
  <c r="K16" i="20"/>
  <c r="K17" i="20"/>
  <c r="K18" i="20"/>
  <c r="K10" i="20"/>
  <c r="H8" i="73" l="1"/>
  <c r="M68" i="33" s="1"/>
  <c r="D66" i="33"/>
  <c r="M66" i="33"/>
  <c r="M63" i="33"/>
  <c r="D63" i="33"/>
  <c r="M64" i="33"/>
  <c r="D65" i="33"/>
  <c r="M67" i="33"/>
  <c r="M65" i="33"/>
  <c r="B108" i="45"/>
  <c r="B109" i="45"/>
  <c r="J60" i="73"/>
  <c r="L59" i="33" s="1"/>
  <c r="H60" i="73"/>
  <c r="I59" i="33" s="1"/>
  <c r="B114" i="45"/>
  <c r="C113" i="9"/>
  <c r="C109" i="9"/>
  <c r="N13" i="74"/>
  <c r="C108" i="9"/>
  <c r="Q47" i="72"/>
  <c r="E4" i="73" s="1"/>
  <c r="D64" i="33"/>
  <c r="L47" i="72"/>
  <c r="J3" i="73" s="1"/>
  <c r="P47" i="72"/>
  <c r="O47" i="72"/>
  <c r="J6" i="73" s="1"/>
  <c r="S47" i="72"/>
  <c r="E5" i="73" s="1"/>
  <c r="M47" i="72"/>
  <c r="J4" i="73" s="1"/>
  <c r="N47" i="72"/>
  <c r="J5" i="73" s="1"/>
  <c r="K47" i="72"/>
  <c r="N8" i="74"/>
  <c r="N11" i="74"/>
  <c r="N12" i="74"/>
  <c r="U50" i="45"/>
  <c r="H7" i="39" s="1"/>
  <c r="I60" i="39"/>
  <c r="J60" i="39" s="1"/>
  <c r="M16" i="74"/>
  <c r="E28" i="73"/>
  <c r="R47" i="72"/>
  <c r="E6" i="73" s="1"/>
  <c r="T50" i="72"/>
  <c r="C7" i="73" s="1"/>
  <c r="B111" i="72"/>
  <c r="B113" i="72"/>
  <c r="B112" i="72"/>
  <c r="B109" i="72"/>
  <c r="B108" i="72"/>
  <c r="B107" i="72"/>
  <c r="B114" i="72"/>
  <c r="B110" i="72"/>
  <c r="U47" i="72"/>
  <c r="J7" i="73" s="1"/>
  <c r="Q50" i="45"/>
  <c r="C4" i="39" s="1"/>
  <c r="G60" i="39"/>
  <c r="H60" i="39" s="1"/>
  <c r="E60" i="39"/>
  <c r="F60" i="39" s="1"/>
  <c r="K50" i="45"/>
  <c r="C3" i="39" s="1"/>
  <c r="R45" i="45"/>
  <c r="R50" i="45" s="1"/>
  <c r="C6" i="39" s="1"/>
  <c r="O50" i="45"/>
  <c r="H6" i="39" s="1"/>
  <c r="M50" i="45"/>
  <c r="H4" i="39" s="1"/>
  <c r="P50" i="45"/>
  <c r="H8" i="39" s="1"/>
  <c r="L50" i="45"/>
  <c r="H3" i="39" s="1"/>
  <c r="N50" i="45"/>
  <c r="H5" i="39" s="1"/>
  <c r="S50" i="45"/>
  <c r="C5" i="39" s="1"/>
  <c r="D13" i="24"/>
  <c r="D9" i="24"/>
  <c r="J8" i="73" l="1"/>
  <c r="Q68" i="33" s="1"/>
  <c r="E3" i="73"/>
  <c r="H63" i="33" s="1"/>
  <c r="E18" i="73"/>
  <c r="F13" i="33" s="1"/>
  <c r="H66" i="33"/>
  <c r="Q66" i="33"/>
  <c r="Q65" i="33"/>
  <c r="Q67" i="33"/>
  <c r="Q64" i="33"/>
  <c r="Q63" i="33"/>
  <c r="H64" i="33"/>
  <c r="H65" i="33"/>
  <c r="B111" i="45"/>
  <c r="C112" i="9"/>
  <c r="B107" i="45"/>
  <c r="B110" i="45"/>
  <c r="J13" i="33"/>
  <c r="B86" i="72"/>
  <c r="G30" i="33"/>
  <c r="C110" i="9"/>
  <c r="C107" i="9"/>
  <c r="B112" i="45"/>
  <c r="C111" i="9"/>
  <c r="T47" i="72"/>
  <c r="E7" i="73" s="1"/>
  <c r="D67" i="33"/>
  <c r="Q47" i="45"/>
  <c r="E4" i="39" s="1"/>
  <c r="U47" i="45"/>
  <c r="J7" i="39" s="1"/>
  <c r="N16" i="74"/>
  <c r="M17" i="74" s="1"/>
  <c r="H5" i="36"/>
  <c r="C147" i="9"/>
  <c r="F60" i="73"/>
  <c r="F59" i="33" s="1"/>
  <c r="B1" i="73"/>
  <c r="E28" i="39"/>
  <c r="B1" i="39"/>
  <c r="K47" i="45"/>
  <c r="L47" i="45"/>
  <c r="J3" i="39" s="1"/>
  <c r="O47" i="45"/>
  <c r="J6" i="39" s="1"/>
  <c r="C123" i="9"/>
  <c r="M47" i="45"/>
  <c r="J4" i="39" s="1"/>
  <c r="P47" i="45"/>
  <c r="J8" i="39" s="1"/>
  <c r="N47" i="45"/>
  <c r="J5" i="39" s="1"/>
  <c r="R47" i="45"/>
  <c r="E6" i="39" s="1"/>
  <c r="S47" i="45"/>
  <c r="E5" i="39" s="1"/>
  <c r="T50" i="45"/>
  <c r="C7" i="39" s="1"/>
  <c r="E3" i="39" l="1"/>
  <c r="E18" i="39"/>
  <c r="H67" i="33"/>
  <c r="B73" i="72"/>
  <c r="N17" i="74"/>
  <c r="C115" i="9"/>
  <c r="H5" i="74"/>
  <c r="B86" i="45"/>
  <c r="B115" i="45"/>
  <c r="B115" i="72"/>
  <c r="C151" i="9"/>
  <c r="C144" i="9"/>
  <c r="M17" i="36"/>
  <c r="C150" i="9"/>
  <c r="C149" i="9"/>
  <c r="C143" i="9"/>
  <c r="T47" i="45"/>
  <c r="E7" i="39" s="1"/>
  <c r="S11" i="11"/>
  <c r="O11" i="11"/>
  <c r="N11" i="11"/>
  <c r="N17" i="36" l="1"/>
  <c r="A8" i="36"/>
  <c r="C152" i="9"/>
  <c r="A8" i="74"/>
  <c r="C148" i="9"/>
  <c r="B73" i="45"/>
  <c r="C142" i="9"/>
  <c r="C153" i="9"/>
  <c r="C145" i="9"/>
  <c r="P11" i="11"/>
  <c r="Q11" i="11"/>
  <c r="O9" i="12"/>
  <c r="O10" i="12"/>
  <c r="O11" i="12"/>
  <c r="O18" i="12"/>
  <c r="O19" i="12"/>
  <c r="O20" i="12"/>
  <c r="O21" i="12"/>
  <c r="O22" i="12"/>
  <c r="S12" i="11"/>
  <c r="N16" i="11"/>
  <c r="O16" i="11"/>
  <c r="B106" i="72" l="1"/>
  <c r="B105" i="72"/>
  <c r="C106" i="9"/>
  <c r="B106" i="45"/>
  <c r="C105" i="9"/>
  <c r="B105" i="45"/>
  <c r="C146" i="9"/>
  <c r="P16" i="11"/>
  <c r="Q16" i="11"/>
  <c r="P3" i="12"/>
  <c r="P4" i="12"/>
  <c r="P5" i="12"/>
  <c r="R5" i="12"/>
  <c r="P6" i="12"/>
  <c r="Q6" i="12"/>
  <c r="P7" i="12"/>
  <c r="R7" i="12"/>
  <c r="L8" i="12"/>
  <c r="P8" i="12"/>
  <c r="R8" i="12"/>
  <c r="P9" i="12"/>
  <c r="Q9" i="12"/>
  <c r="R9" i="12"/>
  <c r="N10" i="12"/>
  <c r="P10" i="12"/>
  <c r="Q10" i="12"/>
  <c r="R10" i="12"/>
  <c r="L11" i="12"/>
  <c r="N11" i="12"/>
  <c r="P11" i="12"/>
  <c r="Q11" i="12"/>
  <c r="R11" i="12"/>
  <c r="N12" i="12"/>
  <c r="P12" i="12"/>
  <c r="P18" i="12"/>
  <c r="Q18" i="12"/>
  <c r="R18" i="12"/>
  <c r="L19" i="12"/>
  <c r="N19" i="12"/>
  <c r="P19" i="12"/>
  <c r="Q19" i="12"/>
  <c r="R19" i="12"/>
  <c r="L20" i="12"/>
  <c r="N20" i="12"/>
  <c r="P20" i="12"/>
  <c r="Q20" i="12"/>
  <c r="R20" i="12"/>
  <c r="L21" i="12"/>
  <c r="N21" i="12"/>
  <c r="P21" i="12"/>
  <c r="Q21" i="12"/>
  <c r="R21" i="12"/>
  <c r="L22" i="12"/>
  <c r="P22" i="12"/>
  <c r="Q22" i="12"/>
  <c r="R22" i="12"/>
  <c r="O6" i="11"/>
  <c r="O7" i="11"/>
  <c r="O8" i="11"/>
  <c r="O9" i="11"/>
  <c r="O10" i="11"/>
  <c r="O12" i="11"/>
  <c r="O13" i="11"/>
  <c r="O14" i="11"/>
  <c r="O15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N5" i="11"/>
  <c r="N6" i="11"/>
  <c r="N7" i="11"/>
  <c r="N8" i="11"/>
  <c r="N9" i="11"/>
  <c r="N10" i="11"/>
  <c r="N12" i="11"/>
  <c r="N13" i="11"/>
  <c r="N14" i="11"/>
  <c r="N15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S16" i="11" l="1"/>
  <c r="AD17" i="10"/>
  <c r="K8" i="12"/>
  <c r="Q8" i="12" s="1"/>
  <c r="K12" i="12"/>
  <c r="AD11" i="10"/>
  <c r="AD15" i="10"/>
  <c r="AD13" i="10"/>
  <c r="K10" i="12"/>
  <c r="AD9" i="10"/>
  <c r="P23" i="12"/>
  <c r="K11" i="12"/>
  <c r="M11" i="12" s="1"/>
  <c r="K9" i="12"/>
  <c r="N9" i="12" s="1"/>
  <c r="K7" i="12"/>
  <c r="K6" i="12"/>
  <c r="O6" i="12" s="1"/>
  <c r="K5" i="12"/>
  <c r="L5" i="12" s="1"/>
  <c r="K4" i="12"/>
  <c r="K3" i="12"/>
  <c r="AD10" i="10"/>
  <c r="AD12" i="10"/>
  <c r="AD14" i="10"/>
  <c r="AD16" i="10"/>
  <c r="AD18" i="10"/>
  <c r="P5" i="11"/>
  <c r="Q5" i="11"/>
  <c r="P6" i="11"/>
  <c r="Q6" i="11"/>
  <c r="P7" i="11"/>
  <c r="Q7" i="11"/>
  <c r="P8" i="11"/>
  <c r="Q8" i="11"/>
  <c r="P9" i="11"/>
  <c r="Q9" i="11"/>
  <c r="P10" i="11"/>
  <c r="Q10" i="11"/>
  <c r="P12" i="11"/>
  <c r="Q12" i="11"/>
  <c r="P13" i="11"/>
  <c r="Q13" i="11"/>
  <c r="P14" i="11"/>
  <c r="Q14" i="11"/>
  <c r="P15" i="11"/>
  <c r="Q15" i="11"/>
  <c r="P17" i="11"/>
  <c r="Q17" i="11"/>
  <c r="P18" i="11"/>
  <c r="Q18" i="11"/>
  <c r="P19" i="11"/>
  <c r="Q19" i="11"/>
  <c r="P20" i="11"/>
  <c r="Q20" i="11"/>
  <c r="P21" i="11"/>
  <c r="Q21" i="11"/>
  <c r="P22" i="11"/>
  <c r="Q22" i="11"/>
  <c r="P23" i="11"/>
  <c r="Q23" i="11"/>
  <c r="P24" i="11"/>
  <c r="Q24" i="11"/>
  <c r="P25" i="11"/>
  <c r="Q25" i="11"/>
  <c r="P26" i="11"/>
  <c r="Q26" i="11"/>
  <c r="P27" i="11"/>
  <c r="Q27" i="11"/>
  <c r="P28" i="11"/>
  <c r="Q28" i="11"/>
  <c r="P29" i="11"/>
  <c r="Q29" i="11"/>
  <c r="P30" i="11"/>
  <c r="Q30" i="11"/>
  <c r="P31" i="11"/>
  <c r="Q31" i="11"/>
  <c r="P32" i="11"/>
  <c r="Q32" i="11"/>
  <c r="P33" i="11"/>
  <c r="Q33" i="11"/>
  <c r="P34" i="11"/>
  <c r="Q34" i="11"/>
  <c r="S6" i="11" l="1"/>
  <c r="L12" i="12"/>
  <c r="R12" i="12"/>
  <c r="S34" i="11"/>
  <c r="S32" i="11"/>
  <c r="S30" i="11"/>
  <c r="S28" i="11"/>
  <c r="S26" i="11"/>
  <c r="S24" i="11"/>
  <c r="S22" i="11"/>
  <c r="S20" i="11"/>
  <c r="S18" i="11"/>
  <c r="S15" i="11"/>
  <c r="H8" i="12" s="1"/>
  <c r="Z8" i="12" s="1"/>
  <c r="S13" i="11"/>
  <c r="S10" i="11"/>
  <c r="S8" i="11"/>
  <c r="S33" i="11"/>
  <c r="S31" i="11"/>
  <c r="S29" i="11"/>
  <c r="S27" i="11"/>
  <c r="S25" i="11"/>
  <c r="S23" i="11"/>
  <c r="S21" i="11"/>
  <c r="S19" i="11"/>
  <c r="S17" i="11"/>
  <c r="S14" i="11"/>
  <c r="S9" i="11"/>
  <c r="H5" i="12" s="1"/>
  <c r="Z5" i="12" s="1"/>
  <c r="S7" i="11"/>
  <c r="S5" i="11"/>
  <c r="Q4" i="11"/>
  <c r="G4" i="12"/>
  <c r="G8" i="12"/>
  <c r="G12" i="12"/>
  <c r="G5" i="12"/>
  <c r="G9" i="12"/>
  <c r="G3" i="12"/>
  <c r="G6" i="12"/>
  <c r="G10" i="12"/>
  <c r="G7" i="12"/>
  <c r="G11" i="12"/>
  <c r="F6" i="12"/>
  <c r="F10" i="12"/>
  <c r="F9" i="12"/>
  <c r="F7" i="12"/>
  <c r="F11" i="12"/>
  <c r="F5" i="12"/>
  <c r="F4" i="12"/>
  <c r="F8" i="12"/>
  <c r="F12" i="12"/>
  <c r="P4" i="11"/>
  <c r="F3" i="12"/>
  <c r="L6" i="12"/>
  <c r="R6" i="12"/>
  <c r="Q3" i="12"/>
  <c r="R3" i="12"/>
  <c r="M8" i="12"/>
  <c r="R4" i="12"/>
  <c r="L4" i="12"/>
  <c r="L7" i="12"/>
  <c r="O7" i="12"/>
  <c r="Q7" i="12"/>
  <c r="L3" i="12"/>
  <c r="O3" i="12"/>
  <c r="M12" i="12"/>
  <c r="O12" i="12"/>
  <c r="Q12" i="12"/>
  <c r="M10" i="12"/>
  <c r="L10" i="12"/>
  <c r="N8" i="12"/>
  <c r="O8" i="12"/>
  <c r="N5" i="12"/>
  <c r="Q5" i="12"/>
  <c r="M9" i="12"/>
  <c r="L9" i="12"/>
  <c r="M7" i="12"/>
  <c r="N7" i="12"/>
  <c r="M6" i="12"/>
  <c r="N6" i="12"/>
  <c r="O4" i="12"/>
  <c r="Q4" i="12"/>
  <c r="M5" i="12"/>
  <c r="O5" i="12"/>
  <c r="M3" i="12"/>
  <c r="N3" i="12"/>
  <c r="N4" i="12"/>
  <c r="M4" i="12"/>
  <c r="V7" i="12" l="1"/>
  <c r="F13" i="10" s="1"/>
  <c r="AJ7" i="12"/>
  <c r="V3" i="12"/>
  <c r="F9" i="10" s="1"/>
  <c r="AJ3" i="12"/>
  <c r="V9" i="12"/>
  <c r="F15" i="10" s="1"/>
  <c r="AJ9" i="12"/>
  <c r="V10" i="12"/>
  <c r="F16" i="10" s="1"/>
  <c r="AJ10" i="12"/>
  <c r="V8" i="12"/>
  <c r="F14" i="10" s="1"/>
  <c r="AJ8" i="12"/>
  <c r="V4" i="12"/>
  <c r="F10" i="10" s="1"/>
  <c r="AJ4" i="12"/>
  <c r="V5" i="12"/>
  <c r="F11" i="10" s="1"/>
  <c r="AJ5" i="12"/>
  <c r="V12" i="12"/>
  <c r="F18" i="10" s="1"/>
  <c r="AJ12" i="12"/>
  <c r="V11" i="12"/>
  <c r="F17" i="10" s="1"/>
  <c r="AJ11" i="12"/>
  <c r="V6" i="12"/>
  <c r="F12" i="10" s="1"/>
  <c r="AJ6" i="12"/>
  <c r="W11" i="12"/>
  <c r="G17" i="10" s="1"/>
  <c r="AK11" i="12"/>
  <c r="W3" i="12"/>
  <c r="G9" i="10" s="1"/>
  <c r="AK3" i="12"/>
  <c r="W8" i="12"/>
  <c r="G14" i="10" s="1"/>
  <c r="AK8" i="12"/>
  <c r="W9" i="12"/>
  <c r="G15" i="10" s="1"/>
  <c r="AK9" i="12"/>
  <c r="W10" i="12"/>
  <c r="G16" i="10" s="1"/>
  <c r="AK10" i="12"/>
  <c r="W5" i="12"/>
  <c r="G11" i="10" s="1"/>
  <c r="AK5" i="12"/>
  <c r="W7" i="12"/>
  <c r="G13" i="10" s="1"/>
  <c r="AK7" i="12"/>
  <c r="W4" i="12"/>
  <c r="G10" i="10" s="1"/>
  <c r="AK4" i="12"/>
  <c r="W6" i="12"/>
  <c r="G12" i="10" s="1"/>
  <c r="AK6" i="12"/>
  <c r="W12" i="12"/>
  <c r="G18" i="10" s="1"/>
  <c r="AK12" i="12"/>
  <c r="H16" i="12"/>
  <c r="Z16" i="12" s="1"/>
  <c r="AI16" i="12" s="1"/>
  <c r="H15" i="12"/>
  <c r="Z15" i="12" s="1"/>
  <c r="J21" i="10" s="1"/>
  <c r="H14" i="12"/>
  <c r="Z14" i="12" s="1"/>
  <c r="J20" i="10" s="1"/>
  <c r="H12" i="12"/>
  <c r="Z12" i="12" s="1"/>
  <c r="AH12" i="12" s="1"/>
  <c r="H13" i="12"/>
  <c r="Z13" i="12" s="1"/>
  <c r="J19" i="10" s="1"/>
  <c r="H11" i="12"/>
  <c r="Z11" i="12" s="1"/>
  <c r="J17" i="10" s="1"/>
  <c r="H10" i="12"/>
  <c r="Z10" i="12" s="1"/>
  <c r="J16" i="10" s="1"/>
  <c r="H9" i="12"/>
  <c r="Z9" i="12" s="1"/>
  <c r="J15" i="10" s="1"/>
  <c r="AI8" i="12"/>
  <c r="AH8" i="12"/>
  <c r="H7" i="12"/>
  <c r="Z7" i="12" s="1"/>
  <c r="J13" i="10" s="1"/>
  <c r="H6" i="12"/>
  <c r="Z6" i="12" s="1"/>
  <c r="J12" i="10" s="1"/>
  <c r="AI5" i="12"/>
  <c r="AH5" i="12"/>
  <c r="H4" i="12"/>
  <c r="Z4" i="12" s="1"/>
  <c r="H17" i="12"/>
  <c r="Z17" i="12" s="1"/>
  <c r="J14" i="10"/>
  <c r="S4" i="11"/>
  <c r="R23" i="12"/>
  <c r="Q23" i="12"/>
  <c r="V3" i="14"/>
  <c r="AC3" i="14" s="1"/>
  <c r="V4" i="14"/>
  <c r="AC4" i="14" s="1"/>
  <c r="V5" i="14"/>
  <c r="AC5" i="14" s="1"/>
  <c r="V6" i="14"/>
  <c r="AC6" i="14" s="1"/>
  <c r="V7" i="14"/>
  <c r="AC7" i="14" s="1"/>
  <c r="V8" i="14"/>
  <c r="AC8" i="14" s="1"/>
  <c r="V9" i="14"/>
  <c r="AC9" i="14" s="1"/>
  <c r="V10" i="14"/>
  <c r="AC10" i="14" s="1"/>
  <c r="V11" i="14"/>
  <c r="AC11" i="14" s="1"/>
  <c r="V12" i="14"/>
  <c r="AC12" i="14" s="1"/>
  <c r="V13" i="14"/>
  <c r="AC13" i="14" s="1"/>
  <c r="V14" i="14"/>
  <c r="AC14" i="14" s="1"/>
  <c r="V15" i="14"/>
  <c r="AC15" i="14" s="1"/>
  <c r="V16" i="14"/>
  <c r="AC16" i="14" s="1"/>
  <c r="V17" i="14"/>
  <c r="AC17" i="14" s="1"/>
  <c r="V18" i="14"/>
  <c r="AC18" i="14" s="1"/>
  <c r="V19" i="14"/>
  <c r="AC19" i="14" s="1"/>
  <c r="V20" i="14"/>
  <c r="AC20" i="14" s="1"/>
  <c r="V21" i="14"/>
  <c r="AC21" i="14" s="1"/>
  <c r="V2" i="14"/>
  <c r="T3" i="12" l="1"/>
  <c r="C9" i="10" s="1"/>
  <c r="J22" i="10"/>
  <c r="AH16" i="12"/>
  <c r="AI17" i="12"/>
  <c r="AH17" i="12"/>
  <c r="AI12" i="12"/>
  <c r="AH15" i="12"/>
  <c r="AI15" i="12"/>
  <c r="AI14" i="12"/>
  <c r="AH14" i="12"/>
  <c r="AI13" i="12"/>
  <c r="AH13" i="12"/>
  <c r="AI11" i="12"/>
  <c r="AH11" i="12"/>
  <c r="AI10" i="12"/>
  <c r="AH10" i="12"/>
  <c r="AI9" i="12"/>
  <c r="AH9" i="12"/>
  <c r="AI7" i="12"/>
  <c r="AH7" i="12"/>
  <c r="AI6" i="12"/>
  <c r="AH6" i="12"/>
  <c r="AI4" i="12"/>
  <c r="AH4" i="12"/>
  <c r="J10" i="10"/>
  <c r="H3" i="12"/>
  <c r="Z3" i="12" s="1"/>
  <c r="J11" i="10"/>
  <c r="J23" i="10"/>
  <c r="J18" i="10"/>
  <c r="F100" i="5"/>
  <c r="F99" i="5"/>
  <c r="D99" i="5"/>
  <c r="F35" i="5"/>
  <c r="F34" i="5"/>
  <c r="D34" i="5"/>
  <c r="F3" i="5"/>
  <c r="F2" i="5"/>
  <c r="D2" i="5"/>
  <c r="J9" i="10" l="1"/>
  <c r="AH3" i="12"/>
  <c r="AI3" i="12"/>
  <c r="C1" i="9"/>
  <c r="D35" i="5"/>
  <c r="D100" i="5"/>
  <c r="Y3" i="14"/>
  <c r="Y4" i="14"/>
  <c r="Y5" i="14"/>
  <c r="Y6" i="14"/>
  <c r="Y7" i="14"/>
  <c r="Y8" i="14"/>
  <c r="Y9" i="14"/>
  <c r="Y10" i="14"/>
  <c r="Y11" i="14"/>
  <c r="Y12" i="14"/>
  <c r="Y13" i="14"/>
  <c r="Y14" i="14"/>
  <c r="Y15" i="14"/>
  <c r="Y16" i="14"/>
  <c r="Y17" i="14"/>
  <c r="Y18" i="14"/>
  <c r="Y19" i="14"/>
  <c r="Y20" i="14"/>
  <c r="Y21" i="14"/>
  <c r="Y2" i="14"/>
  <c r="F23" i="20" l="1"/>
  <c r="F8" i="21"/>
  <c r="F27" i="20" s="1"/>
  <c r="F7" i="21"/>
  <c r="E3" i="21"/>
  <c r="B20" i="28"/>
  <c r="C4" i="9"/>
  <c r="E39" i="20"/>
  <c r="B39" i="20" s="1"/>
  <c r="D22" i="21"/>
  <c r="D21" i="21"/>
  <c r="E19" i="21"/>
  <c r="F19" i="21" s="1"/>
  <c r="C55" i="5"/>
  <c r="G55" i="5" s="1"/>
  <c r="H3" i="14"/>
  <c r="P3" i="14"/>
  <c r="H4" i="14"/>
  <c r="P4" i="14"/>
  <c r="H5" i="14"/>
  <c r="J12" i="13" s="1"/>
  <c r="H6" i="14"/>
  <c r="J13" i="13" s="1"/>
  <c r="H7" i="14"/>
  <c r="J14" i="13" s="1"/>
  <c r="H8" i="14"/>
  <c r="J15" i="13" s="1"/>
  <c r="H9" i="14"/>
  <c r="J16" i="13" s="1"/>
  <c r="H10" i="14"/>
  <c r="J17" i="13" s="1"/>
  <c r="H11" i="14"/>
  <c r="J18" i="13" s="1"/>
  <c r="H12" i="14"/>
  <c r="H13" i="14"/>
  <c r="H14" i="14"/>
  <c r="H15" i="14"/>
  <c r="H16" i="14"/>
  <c r="J23" i="13" s="1"/>
  <c r="H17" i="14"/>
  <c r="H18" i="14"/>
  <c r="J25" i="13" s="1"/>
  <c r="H19" i="14"/>
  <c r="H20" i="14"/>
  <c r="H21" i="14"/>
  <c r="H2" i="14"/>
  <c r="AN2" i="14" s="1"/>
  <c r="Q9" i="13" s="1"/>
  <c r="P2" i="14"/>
  <c r="C39" i="9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D12" i="61"/>
  <c r="D9" i="61"/>
  <c r="D5" i="61"/>
  <c r="D4" i="61"/>
  <c r="D3" i="16"/>
  <c r="N9" i="13"/>
  <c r="D18" i="61"/>
  <c r="C5" i="9"/>
  <c r="C3" i="9"/>
  <c r="C2" i="9"/>
  <c r="L2" i="27"/>
  <c r="M2" i="27" s="1"/>
  <c r="D11" i="21"/>
  <c r="F11" i="21" s="1"/>
  <c r="D9" i="21"/>
  <c r="F9" i="21" s="1"/>
  <c r="D10" i="21"/>
  <c r="F30" i="20" s="1"/>
  <c r="F80" i="5" s="1"/>
  <c r="D80" i="5" s="1"/>
  <c r="L80" i="5" s="1"/>
  <c r="R11" i="14"/>
  <c r="R12" i="14"/>
  <c r="R13" i="14"/>
  <c r="R14" i="14"/>
  <c r="R15" i="14"/>
  <c r="R16" i="14"/>
  <c r="R17" i="14"/>
  <c r="R18" i="14"/>
  <c r="R19" i="14"/>
  <c r="R20" i="14"/>
  <c r="R21" i="14"/>
  <c r="R4" i="14"/>
  <c r="R5" i="14"/>
  <c r="R6" i="14"/>
  <c r="R7" i="14"/>
  <c r="R8" i="14"/>
  <c r="R9" i="14"/>
  <c r="R10" i="14"/>
  <c r="D15" i="21"/>
  <c r="F15" i="21" s="1"/>
  <c r="E12" i="21"/>
  <c r="F12" i="21" s="1"/>
  <c r="H34" i="20" s="1"/>
  <c r="D14" i="21"/>
  <c r="F14" i="21" s="1"/>
  <c r="S11" i="14"/>
  <c r="T11" i="14"/>
  <c r="S12" i="14"/>
  <c r="T12" i="14"/>
  <c r="S13" i="14"/>
  <c r="T13" i="14"/>
  <c r="S14" i="14"/>
  <c r="T14" i="14"/>
  <c r="S15" i="14"/>
  <c r="T15" i="14"/>
  <c r="S16" i="14"/>
  <c r="T16" i="14"/>
  <c r="S17" i="14"/>
  <c r="T17" i="14"/>
  <c r="S18" i="14"/>
  <c r="T18" i="14"/>
  <c r="S19" i="14"/>
  <c r="T19" i="14"/>
  <c r="S20" i="14"/>
  <c r="T20" i="14"/>
  <c r="T3" i="14"/>
  <c r="S21" i="14"/>
  <c r="T21" i="14"/>
  <c r="T4" i="14"/>
  <c r="S5" i="14"/>
  <c r="T5" i="14"/>
  <c r="S6" i="14"/>
  <c r="T6" i="14"/>
  <c r="S7" i="14"/>
  <c r="T7" i="14"/>
  <c r="S8" i="14"/>
  <c r="T8" i="14"/>
  <c r="S9" i="14"/>
  <c r="T9" i="14"/>
  <c r="S10" i="14"/>
  <c r="T10" i="14"/>
  <c r="K21" i="12"/>
  <c r="M21" i="12" s="1"/>
  <c r="K22" i="12"/>
  <c r="D20" i="5"/>
  <c r="C77" i="9" s="1"/>
  <c r="E23" i="17"/>
  <c r="E28" i="17"/>
  <c r="E30" i="17"/>
  <c r="D12" i="5"/>
  <c r="C65" i="9" s="1"/>
  <c r="D67" i="5"/>
  <c r="C62" i="9" s="1"/>
  <c r="L40" i="5"/>
  <c r="C58" i="9"/>
  <c r="C59" i="9"/>
  <c r="L43" i="5"/>
  <c r="C61" i="9"/>
  <c r="C39" i="5"/>
  <c r="C56" i="9" s="1"/>
  <c r="L157" i="5"/>
  <c r="C21" i="9"/>
  <c r="L3" i="27"/>
  <c r="M3" i="27" s="1"/>
  <c r="L4" i="27"/>
  <c r="M4" i="27" s="1"/>
  <c r="L5" i="27"/>
  <c r="M5" i="27" s="1"/>
  <c r="T5" i="27" s="1"/>
  <c r="H16" i="20" s="1"/>
  <c r="E71" i="5"/>
  <c r="B3" i="3"/>
  <c r="C3" i="3"/>
  <c r="B2" i="3"/>
  <c r="D14" i="1"/>
  <c r="D22" i="1"/>
  <c r="T19" i="2"/>
  <c r="T27" i="2"/>
  <c r="F105" i="5"/>
  <c r="D92" i="5"/>
  <c r="D46" i="5"/>
  <c r="C96" i="5"/>
  <c r="C97" i="5"/>
  <c r="E96" i="5"/>
  <c r="E97" i="5"/>
  <c r="C98" i="5"/>
  <c r="G97" i="5"/>
  <c r="I96" i="5"/>
  <c r="I97" i="5"/>
  <c r="G96" i="5"/>
  <c r="B5" i="5"/>
  <c r="B69" i="5"/>
  <c r="F17" i="19"/>
  <c r="A21" i="19" s="1"/>
  <c r="D32" i="21"/>
  <c r="D31" i="21"/>
  <c r="E30" i="21"/>
  <c r="D30" i="21"/>
  <c r="G29" i="21"/>
  <c r="D29" i="21"/>
  <c r="E29" i="21"/>
  <c r="D8" i="21"/>
  <c r="D7" i="2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K31" i="10"/>
  <c r="K32" i="10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K9" i="13"/>
  <c r="K10" i="13"/>
  <c r="K11" i="13"/>
  <c r="K12" i="13"/>
  <c r="K13" i="13"/>
  <c r="K14" i="13"/>
  <c r="K15" i="13"/>
  <c r="K16" i="13"/>
  <c r="K17" i="13"/>
  <c r="K18" i="13"/>
  <c r="K19" i="13"/>
  <c r="J19" i="13"/>
  <c r="K20" i="13"/>
  <c r="J20" i="13"/>
  <c r="K21" i="13"/>
  <c r="J21" i="13"/>
  <c r="K22" i="13"/>
  <c r="J22" i="13"/>
  <c r="K23" i="13"/>
  <c r="K24" i="13"/>
  <c r="J24" i="13"/>
  <c r="K25" i="13"/>
  <c r="K26" i="13"/>
  <c r="J26" i="13"/>
  <c r="K27" i="13"/>
  <c r="K28" i="13"/>
  <c r="B1" i="16"/>
  <c r="F1" i="16"/>
  <c r="D1" i="16"/>
  <c r="AB1" i="16"/>
  <c r="E31" i="10"/>
  <c r="I31" i="10"/>
  <c r="E32" i="10"/>
  <c r="I32" i="10"/>
  <c r="E33" i="10"/>
  <c r="G33" i="10"/>
  <c r="I33" i="10"/>
  <c r="K33" i="10"/>
  <c r="E34" i="10"/>
  <c r="G34" i="10"/>
  <c r="I34" i="10"/>
  <c r="K34" i="10"/>
  <c r="E35" i="10"/>
  <c r="G35" i="10"/>
  <c r="I35" i="10"/>
  <c r="K35" i="10"/>
  <c r="F37" i="10"/>
  <c r="B35" i="30"/>
  <c r="G18" i="30"/>
  <c r="G19" i="30"/>
  <c r="G20" i="30"/>
  <c r="B21" i="30"/>
  <c r="F3" i="30"/>
  <c r="F4" i="30"/>
  <c r="B3" i="30"/>
  <c r="F5" i="30"/>
  <c r="B34" i="28"/>
  <c r="F3" i="28"/>
  <c r="F4" i="28"/>
  <c r="B3" i="28"/>
  <c r="F5" i="28"/>
  <c r="B35" i="31"/>
  <c r="B21" i="31"/>
  <c r="G17" i="31"/>
  <c r="G18" i="31"/>
  <c r="G19" i="31"/>
  <c r="F3" i="31"/>
  <c r="F4" i="31"/>
  <c r="B3" i="31"/>
  <c r="F5" i="31"/>
  <c r="B35" i="29"/>
  <c r="G17" i="29"/>
  <c r="G18" i="29"/>
  <c r="B21" i="29"/>
  <c r="F3" i="29"/>
  <c r="F4" i="29"/>
  <c r="B3" i="29"/>
  <c r="F5" i="29"/>
  <c r="B32" i="32"/>
  <c r="F3" i="32"/>
  <c r="F4" i="32"/>
  <c r="B3" i="32"/>
  <c r="F5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R4" i="27" l="1"/>
  <c r="D15" i="20" s="1"/>
  <c r="T4" i="27"/>
  <c r="H15" i="20" s="1"/>
  <c r="R3" i="27"/>
  <c r="D14" i="20" s="1"/>
  <c r="T3" i="27"/>
  <c r="H14" i="20" s="1"/>
  <c r="R2" i="27"/>
  <c r="D12" i="20" s="1"/>
  <c r="T2" i="27"/>
  <c r="H12" i="20" s="1"/>
  <c r="S5" i="27"/>
  <c r="R5" i="27"/>
  <c r="D16" i="20" s="1"/>
  <c r="C71" i="9"/>
  <c r="G32" i="20"/>
  <c r="E32" i="20"/>
  <c r="B32" i="20" s="1"/>
  <c r="S2" i="27"/>
  <c r="S4" i="27"/>
  <c r="S3" i="27"/>
  <c r="E16" i="20"/>
  <c r="F18" i="21"/>
  <c r="G18" i="21" s="1"/>
  <c r="N18" i="21" s="1"/>
  <c r="F42" i="20"/>
  <c r="G32" i="10" s="1"/>
  <c r="M22" i="12"/>
  <c r="N22" i="12"/>
  <c r="G29" i="28"/>
  <c r="G27" i="32"/>
  <c r="M11" i="21"/>
  <c r="H32" i="20"/>
  <c r="J8" i="21"/>
  <c r="G30" i="28"/>
  <c r="G28" i="32"/>
  <c r="P33" i="14"/>
  <c r="G13" i="32"/>
  <c r="G15" i="32" s="1"/>
  <c r="A13" i="32" s="1"/>
  <c r="G15" i="31"/>
  <c r="G14" i="31" s="1"/>
  <c r="G16" i="30"/>
  <c r="G15" i="30" s="1"/>
  <c r="AC23" i="16"/>
  <c r="AA23" i="16"/>
  <c r="S23" i="16"/>
  <c r="K23" i="16"/>
  <c r="Z23" i="16"/>
  <c r="R23" i="16"/>
  <c r="J23" i="16"/>
  <c r="W23" i="16"/>
  <c r="O23" i="16"/>
  <c r="AD23" i="16"/>
  <c r="V23" i="16"/>
  <c r="N23" i="16"/>
  <c r="F23" i="16"/>
  <c r="T23" i="16"/>
  <c r="I23" i="16"/>
  <c r="Y23" i="16"/>
  <c r="H23" i="16"/>
  <c r="X23" i="16"/>
  <c r="M23" i="16"/>
  <c r="L23" i="16"/>
  <c r="AB23" i="16"/>
  <c r="Q23" i="16"/>
  <c r="P23" i="16"/>
  <c r="E23" i="16"/>
  <c r="U23" i="16"/>
  <c r="J28" i="13"/>
  <c r="J27" i="13"/>
  <c r="G26" i="30"/>
  <c r="F13" i="21"/>
  <c r="D24" i="3"/>
  <c r="E31" i="3"/>
  <c r="E34" i="20"/>
  <c r="Z2" i="14"/>
  <c r="AA2" i="14" s="1"/>
  <c r="Z10" i="14"/>
  <c r="AA10" i="14" s="1"/>
  <c r="Z9" i="14"/>
  <c r="AA9" i="14" s="1"/>
  <c r="Z8" i="14"/>
  <c r="AA8" i="14" s="1"/>
  <c r="Z7" i="14"/>
  <c r="AA7" i="14" s="1"/>
  <c r="Z6" i="14"/>
  <c r="AA6" i="14" s="1"/>
  <c r="Z5" i="14"/>
  <c r="AA5" i="14" s="1"/>
  <c r="Z4" i="14"/>
  <c r="AA4" i="14" s="1"/>
  <c r="Z21" i="14"/>
  <c r="AA21" i="14" s="1"/>
  <c r="S3" i="14"/>
  <c r="Z3" i="14"/>
  <c r="AA3" i="14" s="1"/>
  <c r="Z20" i="14"/>
  <c r="AA20" i="14" s="1"/>
  <c r="Z19" i="14"/>
  <c r="AA19" i="14" s="1"/>
  <c r="Z18" i="14"/>
  <c r="AA18" i="14" s="1"/>
  <c r="Z17" i="14"/>
  <c r="AA17" i="14" s="1"/>
  <c r="Z16" i="14"/>
  <c r="AA16" i="14" s="1"/>
  <c r="Z15" i="14"/>
  <c r="AA15" i="14" s="1"/>
  <c r="Z14" i="14"/>
  <c r="AA14" i="14" s="1"/>
  <c r="Z13" i="14"/>
  <c r="AA13" i="14" s="1"/>
  <c r="Z12" i="14"/>
  <c r="AA12" i="14" s="1"/>
  <c r="Z11" i="14"/>
  <c r="AA11" i="14" s="1"/>
  <c r="F26" i="20"/>
  <c r="D4" i="27"/>
  <c r="D8" i="27"/>
  <c r="D12" i="27"/>
  <c r="D5" i="27"/>
  <c r="D9" i="27"/>
  <c r="D13" i="27"/>
  <c r="D2" i="27"/>
  <c r="D6" i="27"/>
  <c r="D10" i="27"/>
  <c r="D3" i="27"/>
  <c r="D7" i="27"/>
  <c r="D11" i="27"/>
  <c r="F3" i="27"/>
  <c r="F5" i="27"/>
  <c r="F7" i="27"/>
  <c r="F9" i="27"/>
  <c r="F11" i="27"/>
  <c r="F13" i="27"/>
  <c r="F4" i="27"/>
  <c r="F6" i="27"/>
  <c r="F8" i="27"/>
  <c r="F10" i="27"/>
  <c r="F12" i="27"/>
  <c r="F2" i="27"/>
  <c r="E4" i="27"/>
  <c r="E8" i="27"/>
  <c r="E12" i="27"/>
  <c r="E3" i="27"/>
  <c r="E7" i="27"/>
  <c r="E11" i="27"/>
  <c r="E6" i="27"/>
  <c r="E10" i="27"/>
  <c r="E2" i="27"/>
  <c r="E5" i="27"/>
  <c r="E9" i="27"/>
  <c r="E13" i="27"/>
  <c r="C12" i="27"/>
  <c r="C13" i="27"/>
  <c r="C11" i="27"/>
  <c r="E15" i="20"/>
  <c r="D9" i="5" s="1"/>
  <c r="S2" i="14"/>
  <c r="T2" i="14"/>
  <c r="I9" i="61"/>
  <c r="M9" i="61"/>
  <c r="Q9" i="61"/>
  <c r="U9" i="61"/>
  <c r="Y9" i="61"/>
  <c r="AC9" i="61"/>
  <c r="N9" i="61"/>
  <c r="V9" i="61"/>
  <c r="AD9" i="61"/>
  <c r="K9" i="61"/>
  <c r="O9" i="61"/>
  <c r="S9" i="61"/>
  <c r="W9" i="61"/>
  <c r="AA9" i="61"/>
  <c r="AE9" i="61"/>
  <c r="H9" i="61"/>
  <c r="L9" i="61"/>
  <c r="P9" i="61"/>
  <c r="T9" i="61"/>
  <c r="X9" i="61"/>
  <c r="AB9" i="61"/>
  <c r="J9" i="61"/>
  <c r="R9" i="61"/>
  <c r="Z9" i="61"/>
  <c r="H5" i="61"/>
  <c r="AB5" i="61"/>
  <c r="I5" i="61"/>
  <c r="M5" i="61"/>
  <c r="Q5" i="61"/>
  <c r="U5" i="61"/>
  <c r="Y5" i="61"/>
  <c r="AC5" i="61"/>
  <c r="J5" i="61"/>
  <c r="N5" i="61"/>
  <c r="R5" i="61"/>
  <c r="V5" i="61"/>
  <c r="Z5" i="61"/>
  <c r="AD5" i="61"/>
  <c r="K5" i="61"/>
  <c r="O5" i="61"/>
  <c r="S5" i="61"/>
  <c r="W5" i="61"/>
  <c r="AA5" i="61"/>
  <c r="AE5" i="61"/>
  <c r="L5" i="61"/>
  <c r="P5" i="61"/>
  <c r="T5" i="61"/>
  <c r="X5" i="61"/>
  <c r="H4" i="61"/>
  <c r="L4" i="61"/>
  <c r="P4" i="61"/>
  <c r="T4" i="61"/>
  <c r="X4" i="61"/>
  <c r="AB4" i="61"/>
  <c r="N4" i="61"/>
  <c r="Z4" i="61"/>
  <c r="I4" i="61"/>
  <c r="K4" i="61"/>
  <c r="O4" i="61"/>
  <c r="S4" i="61"/>
  <c r="W4" i="61"/>
  <c r="AA4" i="61"/>
  <c r="AE4" i="61"/>
  <c r="M4" i="61"/>
  <c r="Q4" i="61"/>
  <c r="U4" i="61"/>
  <c r="Y4" i="61"/>
  <c r="AC4" i="61"/>
  <c r="J4" i="61"/>
  <c r="R4" i="61"/>
  <c r="V4" i="61"/>
  <c r="AD4" i="61"/>
  <c r="H12" i="61"/>
  <c r="I12" i="61"/>
  <c r="M12" i="61"/>
  <c r="Q12" i="61"/>
  <c r="U12" i="61"/>
  <c r="Y12" i="61"/>
  <c r="AC12" i="61"/>
  <c r="R12" i="61"/>
  <c r="AD12" i="61"/>
  <c r="J12" i="61"/>
  <c r="V12" i="61"/>
  <c r="K12" i="61"/>
  <c r="O12" i="61"/>
  <c r="S12" i="61"/>
  <c r="W12" i="61"/>
  <c r="AA12" i="61"/>
  <c r="AE12" i="61"/>
  <c r="L12" i="61"/>
  <c r="P12" i="61"/>
  <c r="T12" i="61"/>
  <c r="X12" i="61"/>
  <c r="AB12" i="61"/>
  <c r="N12" i="61"/>
  <c r="Z12" i="61"/>
  <c r="D22" i="16"/>
  <c r="E22" i="16" s="1"/>
  <c r="D22" i="61"/>
  <c r="D21" i="16"/>
  <c r="W21" i="16" s="1"/>
  <c r="D21" i="61"/>
  <c r="D20" i="16"/>
  <c r="F20" i="16" s="1"/>
  <c r="D20" i="61"/>
  <c r="D19" i="16"/>
  <c r="S19" i="16" s="1"/>
  <c r="D19" i="61"/>
  <c r="Z18" i="61"/>
  <c r="AD18" i="61"/>
  <c r="V18" i="61"/>
  <c r="N18" i="61"/>
  <c r="Y18" i="61"/>
  <c r="I18" i="61"/>
  <c r="S18" i="61"/>
  <c r="T18" i="61"/>
  <c r="P18" i="61"/>
  <c r="M18" i="61"/>
  <c r="U18" i="61"/>
  <c r="E18" i="61"/>
  <c r="O18" i="61"/>
  <c r="L18" i="61"/>
  <c r="H18" i="61"/>
  <c r="AC18" i="61"/>
  <c r="X18" i="61"/>
  <c r="J18" i="61"/>
  <c r="Q18" i="61"/>
  <c r="AA18" i="61"/>
  <c r="K18" i="61"/>
  <c r="F18" i="61"/>
  <c r="R18" i="61"/>
  <c r="W18" i="61"/>
  <c r="AB18" i="61"/>
  <c r="D17" i="16"/>
  <c r="Q17" i="16" s="1"/>
  <c r="D17" i="61"/>
  <c r="D16" i="61"/>
  <c r="D15" i="61"/>
  <c r="D14" i="61"/>
  <c r="G20" i="16"/>
  <c r="G20" i="61"/>
  <c r="G19" i="16"/>
  <c r="G19" i="61"/>
  <c r="G18" i="16"/>
  <c r="G18" i="61"/>
  <c r="J9" i="13"/>
  <c r="E3" i="61"/>
  <c r="D13" i="61"/>
  <c r="F12" i="61"/>
  <c r="E12" i="61"/>
  <c r="D11" i="61"/>
  <c r="D10" i="16"/>
  <c r="Z10" i="16" s="1"/>
  <c r="D10" i="61"/>
  <c r="F9" i="61"/>
  <c r="E9" i="61"/>
  <c r="D8" i="16"/>
  <c r="W8" i="16" s="1"/>
  <c r="D8" i="61"/>
  <c r="D7" i="16"/>
  <c r="Q7" i="16" s="1"/>
  <c r="D7" i="61"/>
  <c r="D6" i="16"/>
  <c r="X6" i="16" s="1"/>
  <c r="D6" i="61"/>
  <c r="E5" i="61"/>
  <c r="F5" i="61"/>
  <c r="F4" i="61"/>
  <c r="E4" i="61"/>
  <c r="D18" i="16"/>
  <c r="F18" i="16" s="1"/>
  <c r="R2" i="14"/>
  <c r="G24" i="28"/>
  <c r="F36" i="20"/>
  <c r="F89" i="5" s="1"/>
  <c r="D89" i="5" s="1"/>
  <c r="L89" i="5" s="1"/>
  <c r="F37" i="20"/>
  <c r="F90" i="5" s="1"/>
  <c r="D90" i="5" s="1"/>
  <c r="L90" i="5" s="1"/>
  <c r="F32" i="20"/>
  <c r="G16" i="29"/>
  <c r="G15" i="29" s="1"/>
  <c r="F10" i="21"/>
  <c r="G33" i="29" s="1"/>
  <c r="F29" i="20"/>
  <c r="F79" i="5" s="1"/>
  <c r="D79" i="5" s="1"/>
  <c r="L79" i="5" s="1"/>
  <c r="J22" i="20"/>
  <c r="G18" i="32"/>
  <c r="G19" i="32" s="1"/>
  <c r="A17" i="32" s="1"/>
  <c r="G16" i="31"/>
  <c r="G16" i="28"/>
  <c r="E14" i="20"/>
  <c r="S4" i="14"/>
  <c r="E55" i="5"/>
  <c r="R3" i="14"/>
  <c r="C9" i="27"/>
  <c r="C5" i="27"/>
  <c r="C8" i="27"/>
  <c r="C4" i="27"/>
  <c r="C7" i="27"/>
  <c r="C3" i="27"/>
  <c r="C10" i="27"/>
  <c r="C6" i="27"/>
  <c r="C2" i="27"/>
  <c r="K18" i="12"/>
  <c r="L18" i="12" s="1"/>
  <c r="L23" i="12" s="1"/>
  <c r="K20" i="12"/>
  <c r="K19" i="12"/>
  <c r="M19" i="12" s="1"/>
  <c r="J11" i="13"/>
  <c r="AE14" i="10"/>
  <c r="J10" i="13"/>
  <c r="AE18" i="10"/>
  <c r="J57" i="5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B3" i="24"/>
  <c r="C63" i="5"/>
  <c r="C60" i="9"/>
  <c r="D14" i="16"/>
  <c r="R14" i="16" s="1"/>
  <c r="L158" i="5"/>
  <c r="D12" i="16"/>
  <c r="V12" i="16" s="1"/>
  <c r="L42" i="5"/>
  <c r="E14" i="3"/>
  <c r="D27" i="3"/>
  <c r="D30" i="3"/>
  <c r="L160" i="5"/>
  <c r="AA3" i="16"/>
  <c r="J3" i="16"/>
  <c r="X3" i="16"/>
  <c r="AB3" i="16"/>
  <c r="L3" i="16"/>
  <c r="C62" i="5"/>
  <c r="G62" i="5" s="1"/>
  <c r="AE11" i="10"/>
  <c r="G23" i="32"/>
  <c r="G30" i="30"/>
  <c r="I7" i="21"/>
  <c r="G30" i="29"/>
  <c r="G30" i="31"/>
  <c r="T3" i="16"/>
  <c r="P3" i="16"/>
  <c r="C35" i="9"/>
  <c r="B26" i="24"/>
  <c r="C26" i="24" s="1"/>
  <c r="G31" i="29"/>
  <c r="L44" i="5"/>
  <c r="L41" i="5"/>
  <c r="L39" i="5"/>
  <c r="G26" i="31"/>
  <c r="G26" i="29"/>
  <c r="D31" i="3"/>
  <c r="G25" i="31"/>
  <c r="G25" i="30"/>
  <c r="G22" i="32"/>
  <c r="G25" i="29"/>
  <c r="K4" i="21"/>
  <c r="D4" i="21"/>
  <c r="G4" i="21"/>
  <c r="I4" i="21"/>
  <c r="M4" i="21"/>
  <c r="C34" i="9"/>
  <c r="L159" i="5"/>
  <c r="K9" i="14"/>
  <c r="K7" i="14"/>
  <c r="K5" i="14"/>
  <c r="K21" i="14"/>
  <c r="K3" i="14"/>
  <c r="K19" i="14"/>
  <c r="K17" i="14"/>
  <c r="K15" i="14"/>
  <c r="K13" i="14"/>
  <c r="K11" i="14"/>
  <c r="H3" i="16"/>
  <c r="M3" i="16"/>
  <c r="Q3" i="16"/>
  <c r="U3" i="16"/>
  <c r="Y3" i="16"/>
  <c r="AC3" i="16"/>
  <c r="I3" i="16"/>
  <c r="N3" i="16"/>
  <c r="R3" i="16"/>
  <c r="V3" i="16"/>
  <c r="Z3" i="16"/>
  <c r="AD3" i="16"/>
  <c r="K3" i="16"/>
  <c r="O3" i="16"/>
  <c r="S3" i="16"/>
  <c r="W3" i="16"/>
  <c r="C38" i="9"/>
  <c r="J11" i="21"/>
  <c r="G31" i="30"/>
  <c r="G31" i="31"/>
  <c r="C57" i="9"/>
  <c r="D72" i="5"/>
  <c r="G17" i="30"/>
  <c r="H4" i="21"/>
  <c r="H24" i="21" s="1"/>
  <c r="B11" i="24" s="1"/>
  <c r="L4" i="21"/>
  <c r="N4" i="21"/>
  <c r="J4" i="21"/>
  <c r="K9" i="21"/>
  <c r="G32" i="29"/>
  <c r="G32" i="30"/>
  <c r="G31" i="28"/>
  <c r="G32" i="31"/>
  <c r="K8" i="14"/>
  <c r="K6" i="14"/>
  <c r="K20" i="14"/>
  <c r="K18" i="14"/>
  <c r="K16" i="14"/>
  <c r="K14" i="14"/>
  <c r="K12" i="14"/>
  <c r="K2" i="14"/>
  <c r="K10" i="14"/>
  <c r="K4" i="14"/>
  <c r="G29" i="32"/>
  <c r="AE10" i="10"/>
  <c r="J52" i="5"/>
  <c r="J53" i="5"/>
  <c r="C52" i="5"/>
  <c r="G52" i="5" s="1"/>
  <c r="C53" i="5"/>
  <c r="C56" i="5"/>
  <c r="J51" i="5"/>
  <c r="C51" i="5"/>
  <c r="C60" i="5"/>
  <c r="B12" i="24"/>
  <c r="C54" i="5"/>
  <c r="L55" i="5"/>
  <c r="C59" i="5"/>
  <c r="C58" i="5"/>
  <c r="A18" i="19"/>
  <c r="F41" i="20" s="1"/>
  <c r="G31" i="10" s="1"/>
  <c r="D5" i="3"/>
  <c r="D3" i="5"/>
  <c r="C61" i="5"/>
  <c r="G5" i="61"/>
  <c r="D5" i="16"/>
  <c r="D11" i="16"/>
  <c r="G11" i="61"/>
  <c r="B16" i="24"/>
  <c r="D16" i="24" s="1"/>
  <c r="G21" i="16"/>
  <c r="C65" i="5"/>
  <c r="D15" i="16"/>
  <c r="G15" i="61"/>
  <c r="O9" i="13"/>
  <c r="R9" i="13"/>
  <c r="F22" i="21"/>
  <c r="F87" i="5"/>
  <c r="I11" i="21"/>
  <c r="E12" i="20"/>
  <c r="G16" i="61"/>
  <c r="D16" i="16"/>
  <c r="G13" i="61"/>
  <c r="D13" i="16"/>
  <c r="C57" i="5"/>
  <c r="C64" i="5"/>
  <c r="D4" i="16"/>
  <c r="F71" i="5"/>
  <c r="D71" i="5" s="1"/>
  <c r="G9" i="61"/>
  <c r="D9" i="16"/>
  <c r="F3" i="16"/>
  <c r="E3" i="16"/>
  <c r="F21" i="21"/>
  <c r="D8" i="5" l="1"/>
  <c r="E87" i="5"/>
  <c r="D87" i="5" s="1"/>
  <c r="B34" i="20"/>
  <c r="I70" i="5"/>
  <c r="H70" i="5" s="1"/>
  <c r="L22" i="20"/>
  <c r="J70" i="5" s="1"/>
  <c r="D10" i="5"/>
  <c r="F17" i="21"/>
  <c r="M21" i="14"/>
  <c r="AE21" i="14"/>
  <c r="AD21" i="14" s="1"/>
  <c r="AE20" i="14"/>
  <c r="AD20" i="14" s="1"/>
  <c r="C40" i="9" s="1"/>
  <c r="M20" i="14"/>
  <c r="AE19" i="14"/>
  <c r="AD19" i="14" s="1"/>
  <c r="M19" i="14"/>
  <c r="AE18" i="14"/>
  <c r="AD18" i="14" s="1"/>
  <c r="M18" i="14"/>
  <c r="M17" i="14"/>
  <c r="AE17" i="14"/>
  <c r="AD17" i="14" s="1"/>
  <c r="C37" i="9" s="1"/>
  <c r="AE16" i="14"/>
  <c r="AD16" i="14" s="1"/>
  <c r="C36" i="9" s="1"/>
  <c r="M16" i="14"/>
  <c r="AE15" i="14"/>
  <c r="AD15" i="14" s="1"/>
  <c r="M15" i="14"/>
  <c r="AE14" i="14"/>
  <c r="AD14" i="14" s="1"/>
  <c r="M14" i="14"/>
  <c r="M13" i="14"/>
  <c r="AE13" i="14"/>
  <c r="AD13" i="14" s="1"/>
  <c r="C33" i="9" s="1"/>
  <c r="AE12" i="14"/>
  <c r="AD12" i="14" s="1"/>
  <c r="C32" i="9" s="1"/>
  <c r="M12" i="14"/>
  <c r="AE11" i="14"/>
  <c r="AD11" i="14" s="1"/>
  <c r="C31" i="9" s="1"/>
  <c r="M11" i="14"/>
  <c r="AE10" i="14"/>
  <c r="AD10" i="14" s="1"/>
  <c r="C30" i="9" s="1"/>
  <c r="M10" i="14"/>
  <c r="M9" i="14"/>
  <c r="AE9" i="14"/>
  <c r="AD9" i="14" s="1"/>
  <c r="AE8" i="14"/>
  <c r="AD8" i="14" s="1"/>
  <c r="C28" i="9" s="1"/>
  <c r="M8" i="14"/>
  <c r="AE7" i="14"/>
  <c r="AD7" i="14" s="1"/>
  <c r="C27" i="9" s="1"/>
  <c r="M7" i="14"/>
  <c r="AE6" i="14"/>
  <c r="AD6" i="14" s="1"/>
  <c r="C26" i="9" s="1"/>
  <c r="M6" i="14"/>
  <c r="M5" i="14"/>
  <c r="AE5" i="14"/>
  <c r="AD5" i="14" s="1"/>
  <c r="AE4" i="14"/>
  <c r="AD4" i="14" s="1"/>
  <c r="M4" i="14"/>
  <c r="M3" i="14"/>
  <c r="AE3" i="14"/>
  <c r="AD3" i="14" s="1"/>
  <c r="M2" i="14"/>
  <c r="AE2" i="14"/>
  <c r="AD2" i="14" s="1"/>
  <c r="X2" i="14" s="1"/>
  <c r="AC2" i="14" s="1"/>
  <c r="G63" i="5"/>
  <c r="M24" i="21"/>
  <c r="B32" i="24" s="1"/>
  <c r="C32" i="24" s="1"/>
  <c r="F81" i="5"/>
  <c r="D81" i="5" s="1"/>
  <c r="L81" i="5" s="1"/>
  <c r="F82" i="5"/>
  <c r="D82" i="5" s="1"/>
  <c r="L82" i="5" s="1"/>
  <c r="F3" i="21"/>
  <c r="C12" i="61"/>
  <c r="C8" i="61"/>
  <c r="C7" i="61"/>
  <c r="C5" i="61"/>
  <c r="C4" i="61"/>
  <c r="G14" i="28"/>
  <c r="G15" i="28"/>
  <c r="F75" i="5" s="1"/>
  <c r="D75" i="5" s="1"/>
  <c r="L75" i="5" s="1"/>
  <c r="R33" i="14"/>
  <c r="B20" i="24" s="1"/>
  <c r="C20" i="24" s="1"/>
  <c r="G13" i="31"/>
  <c r="S33" i="14"/>
  <c r="G14" i="30"/>
  <c r="G22" i="61"/>
  <c r="G32" i="16"/>
  <c r="G22" i="16"/>
  <c r="G12" i="61"/>
  <c r="C41" i="9"/>
  <c r="G21" i="61"/>
  <c r="D7" i="3"/>
  <c r="D23" i="3"/>
  <c r="C19" i="61"/>
  <c r="C19" i="16"/>
  <c r="C14" i="61"/>
  <c r="C14" i="16"/>
  <c r="C13" i="61"/>
  <c r="C13" i="16"/>
  <c r="R19" i="16"/>
  <c r="C21" i="61"/>
  <c r="C21" i="16"/>
  <c r="G13" i="27"/>
  <c r="B41" i="24" s="1"/>
  <c r="C41" i="24" s="1"/>
  <c r="G12" i="27"/>
  <c r="B39" i="24" s="1"/>
  <c r="C39" i="24" s="1"/>
  <c r="G11" i="27"/>
  <c r="B37" i="24" s="1"/>
  <c r="C37" i="24" s="1"/>
  <c r="AC19" i="16"/>
  <c r="H19" i="16"/>
  <c r="V19" i="16"/>
  <c r="L19" i="16"/>
  <c r="Y19" i="16"/>
  <c r="F19" i="16"/>
  <c r="X19" i="16"/>
  <c r="U19" i="16"/>
  <c r="AB19" i="16"/>
  <c r="K19" i="16"/>
  <c r="AD19" i="16"/>
  <c r="N19" i="16"/>
  <c r="T19" i="16"/>
  <c r="O19" i="16"/>
  <c r="E19" i="16"/>
  <c r="Z19" i="16"/>
  <c r="J19" i="16"/>
  <c r="P19" i="16"/>
  <c r="M19" i="16"/>
  <c r="W19" i="16"/>
  <c r="U22" i="16"/>
  <c r="O22" i="16"/>
  <c r="V20" i="16"/>
  <c r="X20" i="16"/>
  <c r="U20" i="16"/>
  <c r="H20" i="16"/>
  <c r="AB22" i="16"/>
  <c r="L22" i="16"/>
  <c r="V22" i="16"/>
  <c r="Q20" i="16"/>
  <c r="L20" i="16"/>
  <c r="K20" i="16"/>
  <c r="Z20" i="16"/>
  <c r="AC20" i="16"/>
  <c r="W20" i="16"/>
  <c r="O20" i="16"/>
  <c r="N20" i="16"/>
  <c r="AD20" i="16"/>
  <c r="J20" i="16"/>
  <c r="M20" i="16"/>
  <c r="AB20" i="16"/>
  <c r="Y22" i="16"/>
  <c r="I22" i="16"/>
  <c r="P22" i="16"/>
  <c r="S22" i="16"/>
  <c r="N22" i="16"/>
  <c r="F22" i="16"/>
  <c r="Q22" i="16"/>
  <c r="X22" i="16"/>
  <c r="H22" i="16"/>
  <c r="R22" i="16"/>
  <c r="W22" i="16"/>
  <c r="AD22" i="16"/>
  <c r="AC22" i="16"/>
  <c r="M22" i="16"/>
  <c r="T22" i="16"/>
  <c r="K22" i="16"/>
  <c r="J22" i="16"/>
  <c r="E20" i="16"/>
  <c r="U8" i="16"/>
  <c r="H10" i="16"/>
  <c r="N10" i="16"/>
  <c r="K10" i="16"/>
  <c r="E10" i="16"/>
  <c r="S8" i="16"/>
  <c r="AA22" i="16"/>
  <c r="Z22" i="16"/>
  <c r="AD17" i="16"/>
  <c r="E17" i="16"/>
  <c r="AB17" i="16"/>
  <c r="S20" i="16"/>
  <c r="AA20" i="16"/>
  <c r="P8" i="16"/>
  <c r="N8" i="16"/>
  <c r="X8" i="16"/>
  <c r="AD8" i="16"/>
  <c r="H17" i="16"/>
  <c r="N17" i="16"/>
  <c r="L17" i="16"/>
  <c r="O17" i="16"/>
  <c r="F17" i="16"/>
  <c r="R17" i="16"/>
  <c r="X17" i="16"/>
  <c r="M17" i="16"/>
  <c r="G3" i="61"/>
  <c r="V17" i="16"/>
  <c r="P17" i="16"/>
  <c r="K17" i="16"/>
  <c r="AC17" i="16"/>
  <c r="I17" i="16"/>
  <c r="R20" i="16"/>
  <c r="Y20" i="16"/>
  <c r="I20" i="16"/>
  <c r="T20" i="16"/>
  <c r="P20" i="16"/>
  <c r="U10" i="16"/>
  <c r="AA10" i="16"/>
  <c r="T10" i="16"/>
  <c r="L10" i="16"/>
  <c r="O10" i="16"/>
  <c r="I10" i="16"/>
  <c r="AD10" i="16"/>
  <c r="S10" i="16"/>
  <c r="M10" i="16"/>
  <c r="AC10" i="16"/>
  <c r="R10" i="16"/>
  <c r="V10" i="16"/>
  <c r="W10" i="16"/>
  <c r="Q10" i="16"/>
  <c r="F10" i="16"/>
  <c r="J10" i="16"/>
  <c r="P10" i="16"/>
  <c r="AB10" i="16"/>
  <c r="Y10" i="16"/>
  <c r="X10" i="16"/>
  <c r="M8" i="16"/>
  <c r="AC8" i="16"/>
  <c r="AB8" i="16"/>
  <c r="V8" i="16"/>
  <c r="K8" i="16"/>
  <c r="AA8" i="16"/>
  <c r="H8" i="16"/>
  <c r="Q8" i="16"/>
  <c r="L8" i="16"/>
  <c r="J8" i="16"/>
  <c r="Z8" i="16"/>
  <c r="O8" i="16"/>
  <c r="E8" i="16"/>
  <c r="I8" i="16"/>
  <c r="Y8" i="16"/>
  <c r="T8" i="16"/>
  <c r="R8" i="16"/>
  <c r="F8" i="16"/>
  <c r="J17" i="16"/>
  <c r="S17" i="16"/>
  <c r="T17" i="16"/>
  <c r="Z17" i="16"/>
  <c r="AA17" i="16"/>
  <c r="U17" i="16"/>
  <c r="Y17" i="16"/>
  <c r="W17" i="16"/>
  <c r="T21" i="16"/>
  <c r="M21" i="16"/>
  <c r="AC21" i="16"/>
  <c r="V21" i="16"/>
  <c r="O21" i="16"/>
  <c r="E21" i="16"/>
  <c r="F21" i="16"/>
  <c r="P21" i="16"/>
  <c r="I21" i="16"/>
  <c r="Y21" i="16"/>
  <c r="R21" i="16"/>
  <c r="K21" i="16"/>
  <c r="AA21" i="16"/>
  <c r="H21" i="16"/>
  <c r="X21" i="16"/>
  <c r="Q21" i="16"/>
  <c r="J21" i="16"/>
  <c r="Z21" i="16"/>
  <c r="S21" i="16"/>
  <c r="L21" i="16"/>
  <c r="AB21" i="16"/>
  <c r="U21" i="16"/>
  <c r="N21" i="16"/>
  <c r="AD21" i="16"/>
  <c r="H7" i="16"/>
  <c r="P18" i="16"/>
  <c r="S18" i="16"/>
  <c r="E18" i="16"/>
  <c r="Y18" i="16"/>
  <c r="T7" i="16"/>
  <c r="AB7" i="16"/>
  <c r="V7" i="16"/>
  <c r="U7" i="16"/>
  <c r="F7" i="16"/>
  <c r="O7" i="16"/>
  <c r="I11" i="61"/>
  <c r="M11" i="61"/>
  <c r="Q11" i="61"/>
  <c r="U11" i="61"/>
  <c r="Y11" i="61"/>
  <c r="AC11" i="61"/>
  <c r="N11" i="61"/>
  <c r="V11" i="61"/>
  <c r="AD11" i="61"/>
  <c r="K11" i="61"/>
  <c r="O11" i="61"/>
  <c r="S11" i="61"/>
  <c r="W11" i="61"/>
  <c r="AA11" i="61"/>
  <c r="AE11" i="61"/>
  <c r="H11" i="61"/>
  <c r="L11" i="61"/>
  <c r="P11" i="61"/>
  <c r="T11" i="61"/>
  <c r="X11" i="61"/>
  <c r="AB11" i="61"/>
  <c r="J11" i="61"/>
  <c r="R11" i="61"/>
  <c r="Z11" i="61"/>
  <c r="H10" i="61"/>
  <c r="I10" i="61"/>
  <c r="M10" i="61"/>
  <c r="Q10" i="61"/>
  <c r="U10" i="61"/>
  <c r="Y10" i="61"/>
  <c r="AC10" i="61"/>
  <c r="J10" i="61"/>
  <c r="N10" i="61"/>
  <c r="R10" i="61"/>
  <c r="V10" i="61"/>
  <c r="Z10" i="61"/>
  <c r="AD10" i="61"/>
  <c r="O10" i="61"/>
  <c r="S10" i="61"/>
  <c r="W10" i="61"/>
  <c r="AA10" i="61"/>
  <c r="AE10" i="61"/>
  <c r="L10" i="61"/>
  <c r="P10" i="61"/>
  <c r="T10" i="61"/>
  <c r="X10" i="61"/>
  <c r="AB10" i="61"/>
  <c r="K10" i="61"/>
  <c r="I8" i="61"/>
  <c r="M8" i="61"/>
  <c r="Q8" i="61"/>
  <c r="U8" i="61"/>
  <c r="Y8" i="61"/>
  <c r="AC8" i="61"/>
  <c r="N8" i="61"/>
  <c r="V8" i="61"/>
  <c r="AD8" i="61"/>
  <c r="K8" i="61"/>
  <c r="O8" i="61"/>
  <c r="S8" i="61"/>
  <c r="W8" i="61"/>
  <c r="AA8" i="61"/>
  <c r="AE8" i="61"/>
  <c r="H8" i="61"/>
  <c r="L8" i="61"/>
  <c r="P8" i="61"/>
  <c r="T8" i="61"/>
  <c r="X8" i="61"/>
  <c r="AB8" i="61"/>
  <c r="J8" i="61"/>
  <c r="R8" i="61"/>
  <c r="Z8" i="61"/>
  <c r="J7" i="16"/>
  <c r="Z7" i="16"/>
  <c r="S7" i="16"/>
  <c r="L7" i="16"/>
  <c r="I7" i="16"/>
  <c r="Y7" i="16"/>
  <c r="E7" i="16"/>
  <c r="N7" i="16"/>
  <c r="AD7" i="16"/>
  <c r="W7" i="16"/>
  <c r="P7" i="16"/>
  <c r="M7" i="16"/>
  <c r="AC7" i="16"/>
  <c r="R7" i="16"/>
  <c r="K7" i="16"/>
  <c r="AA7" i="16"/>
  <c r="X7" i="16"/>
  <c r="H7" i="61"/>
  <c r="I7" i="61"/>
  <c r="M7" i="61"/>
  <c r="Q7" i="61"/>
  <c r="U7" i="61"/>
  <c r="Y7" i="61"/>
  <c r="AC7" i="61"/>
  <c r="AD7" i="61"/>
  <c r="J7" i="61"/>
  <c r="N7" i="61"/>
  <c r="R7" i="61"/>
  <c r="V7" i="61"/>
  <c r="K7" i="61"/>
  <c r="O7" i="61"/>
  <c r="S7" i="61"/>
  <c r="W7" i="61"/>
  <c r="AA7" i="61"/>
  <c r="AE7" i="61"/>
  <c r="L7" i="61"/>
  <c r="P7" i="61"/>
  <c r="T7" i="61"/>
  <c r="X7" i="61"/>
  <c r="AB7" i="61"/>
  <c r="Z7" i="61"/>
  <c r="I6" i="61"/>
  <c r="M6" i="61"/>
  <c r="Q6" i="61"/>
  <c r="U6" i="61"/>
  <c r="Y6" i="61"/>
  <c r="AC6" i="61"/>
  <c r="J6" i="61"/>
  <c r="V6" i="61"/>
  <c r="AD6" i="61"/>
  <c r="K6" i="61"/>
  <c r="O6" i="61"/>
  <c r="S6" i="61"/>
  <c r="W6" i="61"/>
  <c r="AA6" i="61"/>
  <c r="AE6" i="61"/>
  <c r="H6" i="61"/>
  <c r="L6" i="61"/>
  <c r="P6" i="61"/>
  <c r="T6" i="61"/>
  <c r="X6" i="61"/>
  <c r="AB6" i="61"/>
  <c r="N6" i="61"/>
  <c r="R6" i="61"/>
  <c r="Z6" i="61"/>
  <c r="Q19" i="16"/>
  <c r="AA19" i="16"/>
  <c r="I19" i="16"/>
  <c r="Y13" i="61"/>
  <c r="N13" i="61"/>
  <c r="R13" i="61"/>
  <c r="Z13" i="61"/>
  <c r="K13" i="61"/>
  <c r="O13" i="61"/>
  <c r="S13" i="61"/>
  <c r="W13" i="61"/>
  <c r="AA13" i="61"/>
  <c r="AE13" i="61"/>
  <c r="H13" i="61"/>
  <c r="L13" i="61"/>
  <c r="P13" i="61"/>
  <c r="T13" i="61"/>
  <c r="X13" i="61"/>
  <c r="AB13" i="61"/>
  <c r="I13" i="61"/>
  <c r="M13" i="61"/>
  <c r="Q13" i="61"/>
  <c r="U13" i="61"/>
  <c r="AC13" i="61"/>
  <c r="J13" i="61"/>
  <c r="V13" i="61"/>
  <c r="AD13" i="61"/>
  <c r="E6" i="16"/>
  <c r="M6" i="16"/>
  <c r="J6" i="16"/>
  <c r="Z6" i="16"/>
  <c r="S6" i="16"/>
  <c r="L6" i="16"/>
  <c r="AB6" i="16"/>
  <c r="U6" i="16"/>
  <c r="N6" i="16"/>
  <c r="AD6" i="16"/>
  <c r="W6" i="16"/>
  <c r="P6" i="16"/>
  <c r="Q6" i="16"/>
  <c r="F6" i="16"/>
  <c r="Y6" i="16"/>
  <c r="R6" i="16"/>
  <c r="K6" i="16"/>
  <c r="AA6" i="16"/>
  <c r="T6" i="16"/>
  <c r="I6" i="16"/>
  <c r="AC6" i="16"/>
  <c r="V6" i="16"/>
  <c r="O6" i="16"/>
  <c r="H6" i="16"/>
  <c r="X22" i="61"/>
  <c r="AD22" i="61"/>
  <c r="V22" i="61"/>
  <c r="N22" i="61"/>
  <c r="H22" i="61"/>
  <c r="U22" i="61"/>
  <c r="E22" i="61"/>
  <c r="O22" i="61"/>
  <c r="Z22" i="61"/>
  <c r="AB22" i="61"/>
  <c r="P22" i="61"/>
  <c r="Q22" i="61"/>
  <c r="AA22" i="61"/>
  <c r="K22" i="61"/>
  <c r="F22" i="61"/>
  <c r="M22" i="61"/>
  <c r="J22" i="61"/>
  <c r="L22" i="61"/>
  <c r="I22" i="61"/>
  <c r="R22" i="61"/>
  <c r="AC22" i="61"/>
  <c r="W22" i="61"/>
  <c r="S22" i="61"/>
  <c r="Y22" i="61"/>
  <c r="T22" i="61"/>
  <c r="AD21" i="61"/>
  <c r="J21" i="61"/>
  <c r="Y21" i="61"/>
  <c r="I21" i="61"/>
  <c r="S21" i="61"/>
  <c r="T21" i="61"/>
  <c r="P21" i="61"/>
  <c r="Z21" i="61"/>
  <c r="U21" i="61"/>
  <c r="E21" i="61"/>
  <c r="O21" i="61"/>
  <c r="L21" i="61"/>
  <c r="H21" i="61"/>
  <c r="W21" i="61"/>
  <c r="V21" i="61"/>
  <c r="N21" i="61"/>
  <c r="Q21" i="61"/>
  <c r="AA21" i="61"/>
  <c r="K21" i="61"/>
  <c r="F21" i="61"/>
  <c r="R21" i="61"/>
  <c r="AB21" i="61"/>
  <c r="AC21" i="61"/>
  <c r="M21" i="61"/>
  <c r="X21" i="61"/>
  <c r="Z20" i="61"/>
  <c r="V20" i="61"/>
  <c r="AD20" i="61"/>
  <c r="J20" i="61"/>
  <c r="N20" i="61"/>
  <c r="U20" i="61"/>
  <c r="E20" i="61"/>
  <c r="O20" i="61"/>
  <c r="L20" i="61"/>
  <c r="H20" i="61"/>
  <c r="Q20" i="61"/>
  <c r="AA20" i="61"/>
  <c r="K20" i="61"/>
  <c r="F20" i="61"/>
  <c r="R20" i="61"/>
  <c r="I20" i="61"/>
  <c r="T20" i="61"/>
  <c r="AC20" i="61"/>
  <c r="M20" i="61"/>
  <c r="W20" i="61"/>
  <c r="AB20" i="61"/>
  <c r="X20" i="61"/>
  <c r="Y20" i="61"/>
  <c r="S20" i="61"/>
  <c r="P20" i="61"/>
  <c r="AC19" i="61"/>
  <c r="M19" i="61"/>
  <c r="W19" i="61"/>
  <c r="AB19" i="61"/>
  <c r="X19" i="61"/>
  <c r="J19" i="61"/>
  <c r="Y19" i="61"/>
  <c r="I19" i="61"/>
  <c r="S19" i="61"/>
  <c r="T19" i="61"/>
  <c r="P19" i="61"/>
  <c r="Z19" i="61"/>
  <c r="U19" i="61"/>
  <c r="E19" i="61"/>
  <c r="O19" i="61"/>
  <c r="L19" i="61"/>
  <c r="H19" i="61"/>
  <c r="V19" i="61"/>
  <c r="N19" i="61"/>
  <c r="Q19" i="61"/>
  <c r="AA19" i="61"/>
  <c r="K19" i="61"/>
  <c r="F19" i="61"/>
  <c r="R19" i="61"/>
  <c r="AD19" i="61"/>
  <c r="AC17" i="61"/>
  <c r="M17" i="61"/>
  <c r="AB17" i="61"/>
  <c r="F17" i="61"/>
  <c r="H17" i="61"/>
  <c r="Y17" i="61"/>
  <c r="I17" i="61"/>
  <c r="V17" i="61"/>
  <c r="X17" i="61"/>
  <c r="O17" i="61"/>
  <c r="R17" i="61"/>
  <c r="U17" i="61"/>
  <c r="E17" i="61"/>
  <c r="P17" i="61"/>
  <c r="S17" i="61"/>
  <c r="Z17" i="61"/>
  <c r="AD17" i="61"/>
  <c r="J17" i="61"/>
  <c r="L17" i="61"/>
  <c r="Q17" i="61"/>
  <c r="AA17" i="61"/>
  <c r="K17" i="61"/>
  <c r="N17" i="61"/>
  <c r="T17" i="61"/>
  <c r="W17" i="61"/>
  <c r="AA16" i="61"/>
  <c r="X16" i="61"/>
  <c r="N16" i="61"/>
  <c r="K16" i="61"/>
  <c r="V16" i="61"/>
  <c r="AD16" i="61"/>
  <c r="S16" i="61"/>
  <c r="H16" i="61"/>
  <c r="P16" i="61"/>
  <c r="F16" i="61"/>
  <c r="Y16" i="61"/>
  <c r="I16" i="61"/>
  <c r="T16" i="61"/>
  <c r="R16" i="61"/>
  <c r="Z16" i="61"/>
  <c r="W16" i="61"/>
  <c r="O16" i="61"/>
  <c r="U16" i="61"/>
  <c r="E16" i="61"/>
  <c r="M16" i="61"/>
  <c r="L16" i="61"/>
  <c r="Q16" i="61"/>
  <c r="J16" i="61"/>
  <c r="AB16" i="61"/>
  <c r="AC16" i="61"/>
  <c r="AD15" i="61"/>
  <c r="X15" i="61"/>
  <c r="T15" i="61"/>
  <c r="R15" i="61"/>
  <c r="AB15" i="61"/>
  <c r="N15" i="61"/>
  <c r="J15" i="61"/>
  <c r="Q15" i="61"/>
  <c r="AA15" i="61"/>
  <c r="F15" i="61"/>
  <c r="U15" i="61"/>
  <c r="Z15" i="61"/>
  <c r="H15" i="61"/>
  <c r="AC15" i="61"/>
  <c r="M15" i="61"/>
  <c r="V15" i="61"/>
  <c r="L15" i="61"/>
  <c r="W15" i="61"/>
  <c r="E15" i="61"/>
  <c r="O15" i="61"/>
  <c r="Y15" i="61"/>
  <c r="I15" i="61"/>
  <c r="P15" i="61"/>
  <c r="S15" i="61"/>
  <c r="K15" i="61"/>
  <c r="AD14" i="61"/>
  <c r="N14" i="61"/>
  <c r="T14" i="61"/>
  <c r="AA14" i="61"/>
  <c r="AC14" i="61"/>
  <c r="M14" i="61"/>
  <c r="W14" i="61"/>
  <c r="P14" i="61"/>
  <c r="S14" i="61"/>
  <c r="H14" i="61"/>
  <c r="Y14" i="61"/>
  <c r="I14" i="61"/>
  <c r="R14" i="61"/>
  <c r="X14" i="61"/>
  <c r="Z14" i="61"/>
  <c r="O14" i="61"/>
  <c r="U14" i="61"/>
  <c r="E14" i="61"/>
  <c r="L14" i="61"/>
  <c r="F14" i="61"/>
  <c r="V14" i="61"/>
  <c r="Q14" i="61"/>
  <c r="AB14" i="61"/>
  <c r="J14" i="61"/>
  <c r="K14" i="61"/>
  <c r="G17" i="16"/>
  <c r="G17" i="61"/>
  <c r="G14" i="61"/>
  <c r="E13" i="61"/>
  <c r="F13" i="61"/>
  <c r="F11" i="61"/>
  <c r="E11" i="61"/>
  <c r="E10" i="61"/>
  <c r="F10" i="61"/>
  <c r="G10" i="16"/>
  <c r="G10" i="61"/>
  <c r="G8" i="61"/>
  <c r="F8" i="61"/>
  <c r="E8" i="61"/>
  <c r="E7" i="61"/>
  <c r="F7" i="61"/>
  <c r="G7" i="61"/>
  <c r="F6" i="61"/>
  <c r="E6" i="61"/>
  <c r="G6" i="61"/>
  <c r="V18" i="16"/>
  <c r="Q18" i="16"/>
  <c r="L18" i="16"/>
  <c r="AA18" i="16"/>
  <c r="R18" i="16"/>
  <c r="M18" i="16"/>
  <c r="J18" i="16"/>
  <c r="T18" i="16"/>
  <c r="X18" i="16"/>
  <c r="Z18" i="16"/>
  <c r="AC18" i="16"/>
  <c r="I18" i="16"/>
  <c r="K18" i="16"/>
  <c r="AD18" i="16"/>
  <c r="N18" i="16"/>
  <c r="U18" i="16"/>
  <c r="AB18" i="16"/>
  <c r="H18" i="16"/>
  <c r="O18" i="16"/>
  <c r="W18" i="16"/>
  <c r="G64" i="5"/>
  <c r="C23" i="3"/>
  <c r="G61" i="5"/>
  <c r="E63" i="5"/>
  <c r="E65" i="5"/>
  <c r="G65" i="5"/>
  <c r="E62" i="5"/>
  <c r="G33" i="31"/>
  <c r="E64" i="5"/>
  <c r="E61" i="5"/>
  <c r="G33" i="30"/>
  <c r="G30" i="32"/>
  <c r="G32" i="28"/>
  <c r="L10" i="21"/>
  <c r="L24" i="21" s="1"/>
  <c r="B35" i="24" s="1"/>
  <c r="C35" i="24" s="1"/>
  <c r="G14" i="29"/>
  <c r="J22" i="21"/>
  <c r="J27" i="20"/>
  <c r="J73" i="5" s="1"/>
  <c r="H73" i="5" s="1"/>
  <c r="I21" i="21"/>
  <c r="J26" i="20"/>
  <c r="J72" i="5" s="1"/>
  <c r="H72" i="5" s="1"/>
  <c r="L72" i="5" s="1"/>
  <c r="L162" i="5"/>
  <c r="E57" i="5"/>
  <c r="G57" i="5"/>
  <c r="E60" i="5"/>
  <c r="G60" i="5"/>
  <c r="E58" i="5"/>
  <c r="G58" i="5"/>
  <c r="E59" i="5"/>
  <c r="G59" i="5"/>
  <c r="E54" i="5"/>
  <c r="G54" i="5"/>
  <c r="E51" i="5"/>
  <c r="G51" i="5"/>
  <c r="E56" i="5"/>
  <c r="G56" i="5"/>
  <c r="E53" i="5"/>
  <c r="G53" i="5"/>
  <c r="L52" i="5"/>
  <c r="E52" i="5"/>
  <c r="G2" i="27"/>
  <c r="G7" i="27"/>
  <c r="B24" i="24" s="1"/>
  <c r="C24" i="24" s="1"/>
  <c r="G9" i="27"/>
  <c r="B31" i="24" s="1"/>
  <c r="C31" i="24" s="1"/>
  <c r="G6" i="27"/>
  <c r="B18" i="24" s="1"/>
  <c r="C18" i="24" s="1"/>
  <c r="G5" i="27"/>
  <c r="B14" i="24" s="1"/>
  <c r="C14" i="24" s="1"/>
  <c r="G10" i="27"/>
  <c r="B34" i="24" s="1"/>
  <c r="C34" i="24" s="1"/>
  <c r="G8" i="27"/>
  <c r="B28" i="24" s="1"/>
  <c r="C28" i="24" s="1"/>
  <c r="G4" i="27"/>
  <c r="B6" i="24" s="1"/>
  <c r="G3" i="27"/>
  <c r="B10" i="24" s="1"/>
  <c r="B9" i="24" s="1"/>
  <c r="C9" i="24" s="1"/>
  <c r="L27" i="10"/>
  <c r="J63" i="5" s="1"/>
  <c r="M20" i="12"/>
  <c r="N18" i="12"/>
  <c r="O23" i="12" s="1"/>
  <c r="M18" i="12"/>
  <c r="K23" i="12"/>
  <c r="L26" i="10"/>
  <c r="J62" i="5" s="1"/>
  <c r="L29" i="10"/>
  <c r="J65" i="5" s="1"/>
  <c r="L28" i="10"/>
  <c r="J64" i="5" s="1"/>
  <c r="L25" i="10"/>
  <c r="J61" i="5" s="1"/>
  <c r="AF14" i="10"/>
  <c r="L161" i="5"/>
  <c r="AE12" i="10"/>
  <c r="AF12" i="10" s="1"/>
  <c r="AF11" i="10"/>
  <c r="AF18" i="10"/>
  <c r="C29" i="9"/>
  <c r="C25" i="9"/>
  <c r="C8" i="16"/>
  <c r="C7" i="16"/>
  <c r="C12" i="16"/>
  <c r="G3" i="16"/>
  <c r="O14" i="16"/>
  <c r="I14" i="16"/>
  <c r="L14" i="16"/>
  <c r="U14" i="16"/>
  <c r="H14" i="16"/>
  <c r="K14" i="16"/>
  <c r="Y14" i="16"/>
  <c r="AA14" i="16"/>
  <c r="E14" i="16"/>
  <c r="M14" i="16"/>
  <c r="AB14" i="16"/>
  <c r="X14" i="16"/>
  <c r="S14" i="16"/>
  <c r="AC14" i="16"/>
  <c r="T14" i="16"/>
  <c r="P14" i="16"/>
  <c r="W14" i="16"/>
  <c r="Q14" i="16"/>
  <c r="F14" i="16"/>
  <c r="L62" i="5"/>
  <c r="L63" i="5"/>
  <c r="Z14" i="16"/>
  <c r="Q12" i="16"/>
  <c r="J14" i="16"/>
  <c r="D9" i="3"/>
  <c r="O12" i="16"/>
  <c r="E3" i="3"/>
  <c r="D39" i="3"/>
  <c r="E23" i="3"/>
  <c r="D38" i="3"/>
  <c r="I12" i="16"/>
  <c r="H12" i="16"/>
  <c r="E12" i="16"/>
  <c r="Y12" i="16"/>
  <c r="AA12" i="16"/>
  <c r="F12" i="16"/>
  <c r="U12" i="16"/>
  <c r="W12" i="16"/>
  <c r="AD14" i="16"/>
  <c r="N14" i="16"/>
  <c r="M12" i="16"/>
  <c r="S12" i="16"/>
  <c r="K12" i="16"/>
  <c r="R12" i="16"/>
  <c r="X12" i="16"/>
  <c r="G8" i="16"/>
  <c r="AF10" i="10"/>
  <c r="C5" i="16"/>
  <c r="C4" i="16"/>
  <c r="Z12" i="16"/>
  <c r="J12" i="16"/>
  <c r="P12" i="16"/>
  <c r="AE9" i="10"/>
  <c r="AF9" i="10" s="1"/>
  <c r="T12" i="16"/>
  <c r="V14" i="16"/>
  <c r="K24" i="21"/>
  <c r="B29" i="24" s="1"/>
  <c r="C29" i="24" s="1"/>
  <c r="AC12" i="16"/>
  <c r="AB12" i="16"/>
  <c r="N12" i="16"/>
  <c r="AD12" i="16"/>
  <c r="L12" i="16"/>
  <c r="G6" i="16"/>
  <c r="G7" i="16"/>
  <c r="C6" i="61"/>
  <c r="C18" i="61"/>
  <c r="H8" i="5"/>
  <c r="H10" i="5"/>
  <c r="H9" i="5"/>
  <c r="C10" i="61"/>
  <c r="G14" i="16"/>
  <c r="F20" i="21"/>
  <c r="J20" i="21" s="1"/>
  <c r="C9" i="61"/>
  <c r="L53" i="5"/>
  <c r="L56" i="5"/>
  <c r="J54" i="5"/>
  <c r="J58" i="5"/>
  <c r="L51" i="5"/>
  <c r="J55" i="5"/>
  <c r="C10" i="9" s="1"/>
  <c r="J56" i="5"/>
  <c r="L60" i="5"/>
  <c r="L54" i="5"/>
  <c r="J60" i="5"/>
  <c r="L58" i="5"/>
  <c r="AE17" i="10"/>
  <c r="AF17" i="10" s="1"/>
  <c r="AE16" i="10"/>
  <c r="AF16" i="10" s="1"/>
  <c r="L59" i="5"/>
  <c r="J59" i="5"/>
  <c r="E2" i="3"/>
  <c r="G16" i="16"/>
  <c r="G7" i="5"/>
  <c r="C7" i="5" s="1"/>
  <c r="F9" i="16"/>
  <c r="E9" i="16"/>
  <c r="AB9" i="16"/>
  <c r="X9" i="16"/>
  <c r="T9" i="16"/>
  <c r="P9" i="16"/>
  <c r="L9" i="16"/>
  <c r="H9" i="16"/>
  <c r="AD9" i="16"/>
  <c r="Z9" i="16"/>
  <c r="V9" i="16"/>
  <c r="R9" i="16"/>
  <c r="N9" i="16"/>
  <c r="J9" i="16"/>
  <c r="AC9" i="16"/>
  <c r="U9" i="16"/>
  <c r="M9" i="16"/>
  <c r="AA9" i="16"/>
  <c r="S9" i="16"/>
  <c r="K9" i="16"/>
  <c r="Y9" i="16"/>
  <c r="Q9" i="16"/>
  <c r="I9" i="16"/>
  <c r="W9" i="16"/>
  <c r="O9" i="16"/>
  <c r="F13" i="16"/>
  <c r="E13" i="16"/>
  <c r="AB13" i="16"/>
  <c r="X13" i="16"/>
  <c r="T13" i="16"/>
  <c r="P13" i="16"/>
  <c r="L13" i="16"/>
  <c r="H13" i="16"/>
  <c r="AD13" i="16"/>
  <c r="Z13" i="16"/>
  <c r="V13" i="16"/>
  <c r="R13" i="16"/>
  <c r="N13" i="16"/>
  <c r="J13" i="16"/>
  <c r="AA13" i="16"/>
  <c r="S13" i="16"/>
  <c r="K13" i="16"/>
  <c r="Y13" i="16"/>
  <c r="Q13" i="16"/>
  <c r="I13" i="16"/>
  <c r="W13" i="16"/>
  <c r="O13" i="16"/>
  <c r="AC13" i="16"/>
  <c r="U13" i="16"/>
  <c r="M13" i="16"/>
  <c r="F35" i="20"/>
  <c r="O13" i="21"/>
  <c r="G24" i="30"/>
  <c r="G27" i="30" s="1"/>
  <c r="A24" i="30" s="1"/>
  <c r="G24" i="29"/>
  <c r="G27" i="29" s="1"/>
  <c r="A24" i="29" s="1"/>
  <c r="G21" i="32"/>
  <c r="G24" i="32" s="1"/>
  <c r="A21" i="32" s="1"/>
  <c r="G23" i="28"/>
  <c r="G26" i="28" s="1"/>
  <c r="A23" i="28" s="1"/>
  <c r="G24" i="31"/>
  <c r="G27" i="31" s="1"/>
  <c r="A24" i="31" s="1"/>
  <c r="G15" i="16"/>
  <c r="G11" i="16"/>
  <c r="L64" i="5"/>
  <c r="L65" i="5"/>
  <c r="L61" i="5"/>
  <c r="AE13" i="10"/>
  <c r="AF13" i="10" s="1"/>
  <c r="AE15" i="10"/>
  <c r="AF15" i="10" s="1"/>
  <c r="E85" i="5"/>
  <c r="G9" i="16"/>
  <c r="F4" i="16"/>
  <c r="AB4" i="16"/>
  <c r="X4" i="16"/>
  <c r="T4" i="16"/>
  <c r="P4" i="16"/>
  <c r="L4" i="16"/>
  <c r="H4" i="16"/>
  <c r="AA4" i="16"/>
  <c r="W4" i="16"/>
  <c r="S4" i="16"/>
  <c r="O4" i="16"/>
  <c r="K4" i="16"/>
  <c r="E4" i="16"/>
  <c r="AD4" i="16"/>
  <c r="Z4" i="16"/>
  <c r="V4" i="16"/>
  <c r="R4" i="16"/>
  <c r="N4" i="16"/>
  <c r="J4" i="16"/>
  <c r="AC4" i="16"/>
  <c r="Y4" i="16"/>
  <c r="U4" i="16"/>
  <c r="Q4" i="16"/>
  <c r="M4" i="16"/>
  <c r="I4" i="16"/>
  <c r="L57" i="5"/>
  <c r="G13" i="16"/>
  <c r="F16" i="16"/>
  <c r="E16" i="16"/>
  <c r="AA16" i="16"/>
  <c r="W16" i="16"/>
  <c r="S16" i="16"/>
  <c r="O16" i="16"/>
  <c r="K16" i="16"/>
  <c r="AC16" i="16"/>
  <c r="Y16" i="16"/>
  <c r="U16" i="16"/>
  <c r="Q16" i="16"/>
  <c r="M16" i="16"/>
  <c r="I16" i="16"/>
  <c r="AD16" i="16"/>
  <c r="V16" i="16"/>
  <c r="N16" i="16"/>
  <c r="AB16" i="16"/>
  <c r="T16" i="16"/>
  <c r="L16" i="16"/>
  <c r="Z16" i="16"/>
  <c r="R16" i="16"/>
  <c r="J16" i="16"/>
  <c r="X16" i="16"/>
  <c r="P16" i="16"/>
  <c r="H16" i="16"/>
  <c r="E15" i="16"/>
  <c r="AD15" i="16"/>
  <c r="Z15" i="16"/>
  <c r="V15" i="16"/>
  <c r="R15" i="16"/>
  <c r="N15" i="16"/>
  <c r="J15" i="16"/>
  <c r="F15" i="16"/>
  <c r="AB15" i="16"/>
  <c r="X15" i="16"/>
  <c r="T15" i="16"/>
  <c r="P15" i="16"/>
  <c r="L15" i="16"/>
  <c r="H15" i="16"/>
  <c r="AC15" i="16"/>
  <c r="U15" i="16"/>
  <c r="M15" i="16"/>
  <c r="AA15" i="16"/>
  <c r="S15" i="16"/>
  <c r="K15" i="16"/>
  <c r="Y15" i="16"/>
  <c r="Q15" i="16"/>
  <c r="I15" i="16"/>
  <c r="W15" i="16"/>
  <c r="O15" i="16"/>
  <c r="F11" i="16"/>
  <c r="E11" i="16"/>
  <c r="AD11" i="16"/>
  <c r="Z11" i="16"/>
  <c r="V11" i="16"/>
  <c r="R11" i="16"/>
  <c r="N11" i="16"/>
  <c r="J11" i="16"/>
  <c r="AB11" i="16"/>
  <c r="X11" i="16"/>
  <c r="T11" i="16"/>
  <c r="P11" i="16"/>
  <c r="L11" i="16"/>
  <c r="H11" i="16"/>
  <c r="W11" i="16"/>
  <c r="O11" i="16"/>
  <c r="AC11" i="16"/>
  <c r="U11" i="16"/>
  <c r="M11" i="16"/>
  <c r="AA11" i="16"/>
  <c r="S11" i="16"/>
  <c r="K11" i="16"/>
  <c r="Y11" i="16"/>
  <c r="Q11" i="16"/>
  <c r="I11" i="16"/>
  <c r="F5" i="16"/>
  <c r="E5" i="16"/>
  <c r="AD5" i="16"/>
  <c r="Z5" i="16"/>
  <c r="V5" i="16"/>
  <c r="R5" i="16"/>
  <c r="N5" i="16"/>
  <c r="AC5" i="16"/>
  <c r="X5" i="16"/>
  <c r="S5" i="16"/>
  <c r="M5" i="16"/>
  <c r="I5" i="16"/>
  <c r="AB5" i="16"/>
  <c r="W5" i="16"/>
  <c r="Q5" i="16"/>
  <c r="L5" i="16"/>
  <c r="H5" i="16"/>
  <c r="AA5" i="16"/>
  <c r="U5" i="16"/>
  <c r="P5" i="16"/>
  <c r="K5" i="16"/>
  <c r="Y5" i="16"/>
  <c r="T5" i="16"/>
  <c r="O5" i="16"/>
  <c r="J5" i="16"/>
  <c r="C64" i="9" l="1"/>
  <c r="G29" i="20"/>
  <c r="E29" i="20"/>
  <c r="B29" i="20" s="1"/>
  <c r="E72" i="5"/>
  <c r="E24" i="20"/>
  <c r="B24" i="20" s="1"/>
  <c r="G31" i="32"/>
  <c r="G33" i="28"/>
  <c r="C19" i="9"/>
  <c r="C3" i="61"/>
  <c r="AM2" i="14"/>
  <c r="M9" i="13" s="1"/>
  <c r="C22" i="9"/>
  <c r="F24" i="21"/>
  <c r="B4" i="24" s="1"/>
  <c r="F6" i="21"/>
  <c r="G21" i="31" s="1"/>
  <c r="C30" i="24"/>
  <c r="J45" i="20" s="1"/>
  <c r="J41" i="20"/>
  <c r="F74" i="5"/>
  <c r="D74" i="5" s="1"/>
  <c r="L74" i="5" s="1"/>
  <c r="G12" i="16"/>
  <c r="C9" i="9"/>
  <c r="C11" i="61"/>
  <c r="C11" i="16"/>
  <c r="C22" i="61"/>
  <c r="C22" i="16"/>
  <c r="C20" i="61"/>
  <c r="C20" i="16"/>
  <c r="C17" i="61"/>
  <c r="C16" i="61"/>
  <c r="C16" i="16"/>
  <c r="C15" i="61"/>
  <c r="C15" i="16"/>
  <c r="B38" i="24"/>
  <c r="C38" i="24"/>
  <c r="B36" i="24"/>
  <c r="C36" i="24"/>
  <c r="B40" i="24"/>
  <c r="C40" i="24" s="1"/>
  <c r="G4" i="61"/>
  <c r="C14" i="9"/>
  <c r="C17" i="16"/>
  <c r="C18" i="16"/>
  <c r="C13" i="9"/>
  <c r="E22" i="20"/>
  <c r="B22" i="20" s="1"/>
  <c r="G34" i="29"/>
  <c r="G34" i="31"/>
  <c r="G34" i="30"/>
  <c r="C12" i="9"/>
  <c r="G17" i="21"/>
  <c r="C17" i="9"/>
  <c r="C20" i="9"/>
  <c r="C18" i="9"/>
  <c r="G5" i="16"/>
  <c r="G4" i="16"/>
  <c r="M23" i="12"/>
  <c r="C16" i="9"/>
  <c r="B21" i="24"/>
  <c r="C21" i="24" s="1"/>
  <c r="C24" i="9"/>
  <c r="C11" i="9"/>
  <c r="C10" i="16"/>
  <c r="C9" i="16"/>
  <c r="C6" i="16"/>
  <c r="C8" i="9"/>
  <c r="C15" i="9"/>
  <c r="C27" i="24"/>
  <c r="J43" i="20" s="1"/>
  <c r="J33" i="10" s="1"/>
  <c r="C7" i="9"/>
  <c r="B27" i="24"/>
  <c r="C3" i="16"/>
  <c r="C6" i="9"/>
  <c r="B30" i="24"/>
  <c r="I20" i="21"/>
  <c r="G20" i="21"/>
  <c r="N20" i="21" s="1"/>
  <c r="K25" i="20"/>
  <c r="C33" i="24"/>
  <c r="J44" i="20" s="1"/>
  <c r="B33" i="24"/>
  <c r="D85" i="5"/>
  <c r="L85" i="5" s="1"/>
  <c r="O24" i="21"/>
  <c r="B15" i="24" s="1"/>
  <c r="C15" i="24" s="1"/>
  <c r="N13" i="21"/>
  <c r="F7" i="5"/>
  <c r="F88" i="5"/>
  <c r="G33" i="32" l="1"/>
  <c r="G36" i="31"/>
  <c r="G37" i="29"/>
  <c r="G36" i="30"/>
  <c r="G20" i="31"/>
  <c r="G22" i="31" s="1"/>
  <c r="A13" i="31" s="1"/>
  <c r="G38" i="29"/>
  <c r="G34" i="32"/>
  <c r="G37" i="30"/>
  <c r="G37" i="31"/>
  <c r="H22" i="20"/>
  <c r="G21" i="29"/>
  <c r="G22" i="29" s="1"/>
  <c r="A14" i="29" s="1"/>
  <c r="G35" i="28"/>
  <c r="G36" i="29"/>
  <c r="F83" i="5"/>
  <c r="D83" i="5" s="1"/>
  <c r="L83" i="5" s="1"/>
  <c r="G21" i="30"/>
  <c r="G22" i="30" s="1"/>
  <c r="A14" i="30" s="1"/>
  <c r="G6" i="21"/>
  <c r="N6" i="21" s="1"/>
  <c r="N24" i="21" s="1"/>
  <c r="F73" i="5"/>
  <c r="D73" i="5" s="1"/>
  <c r="L73" i="5" s="1"/>
  <c r="G20" i="28"/>
  <c r="G21" i="28" s="1"/>
  <c r="A14" i="28" s="1"/>
  <c r="G35" i="30"/>
  <c r="G32" i="32"/>
  <c r="I6" i="21"/>
  <c r="I24" i="21" s="1"/>
  <c r="B22" i="24" s="1"/>
  <c r="C22" i="24" s="1"/>
  <c r="J6" i="21"/>
  <c r="J24" i="21" s="1"/>
  <c r="B25" i="24" s="1"/>
  <c r="F78" i="5"/>
  <c r="D78" i="5" s="1"/>
  <c r="L78" i="5" s="1"/>
  <c r="G34" i="28"/>
  <c r="G35" i="29"/>
  <c r="F25" i="20"/>
  <c r="G35" i="31"/>
  <c r="J97" i="5"/>
  <c r="C87" i="9" s="1"/>
  <c r="J35" i="10"/>
  <c r="J31" i="10"/>
  <c r="D97" i="5"/>
  <c r="C79" i="9" s="1"/>
  <c r="C23" i="9"/>
  <c r="B7" i="24"/>
  <c r="D7" i="24" s="1"/>
  <c r="D5" i="24" s="1"/>
  <c r="E5" i="24" s="1"/>
  <c r="C10" i="28"/>
  <c r="B2" i="24"/>
  <c r="C10" i="30"/>
  <c r="C9" i="31"/>
  <c r="C9" i="32"/>
  <c r="C10" i="29"/>
  <c r="C68" i="9"/>
  <c r="H97" i="5"/>
  <c r="C84" i="9" s="1"/>
  <c r="J71" i="5"/>
  <c r="H71" i="5" s="1"/>
  <c r="L71" i="5" s="1"/>
  <c r="H98" i="5"/>
  <c r="C85" i="9" s="1"/>
  <c r="J34" i="10"/>
  <c r="D88" i="5"/>
  <c r="L88" i="5" s="1"/>
  <c r="C13" i="24"/>
  <c r="J42" i="20" s="1"/>
  <c r="B13" i="24"/>
  <c r="G38" i="31" l="1"/>
  <c r="A30" i="31" s="1"/>
  <c r="G39" i="29"/>
  <c r="A30" i="29" s="1"/>
  <c r="G35" i="32"/>
  <c r="A27" i="32" s="1"/>
  <c r="G38" i="30"/>
  <c r="A30" i="30" s="1"/>
  <c r="G36" i="28"/>
  <c r="A29" i="28" s="1"/>
  <c r="C2" i="24"/>
  <c r="G41" i="20" s="1"/>
  <c r="C25" i="24"/>
  <c r="C23" i="24" s="1"/>
  <c r="E45" i="20" s="1"/>
  <c r="G24" i="21"/>
  <c r="B8" i="24" s="1"/>
  <c r="B5" i="24" s="1"/>
  <c r="C5" i="24" s="1"/>
  <c r="F70" i="5"/>
  <c r="E70" i="5"/>
  <c r="D70" i="5" s="1"/>
  <c r="C66" i="9" s="1"/>
  <c r="B23" i="24"/>
  <c r="C17" i="24"/>
  <c r="E44" i="20" s="1"/>
  <c r="B17" i="24"/>
  <c r="C69" i="9"/>
  <c r="D42" i="24"/>
  <c r="E42" i="24" s="1"/>
  <c r="C70" i="9"/>
  <c r="F97" i="5"/>
  <c r="C82" i="9" s="1"/>
  <c r="J32" i="10"/>
  <c r="F77" i="5" l="1"/>
  <c r="D77" i="5" s="1"/>
  <c r="E77" i="5"/>
  <c r="E41" i="20"/>
  <c r="F31" i="10" s="1"/>
  <c r="H96" i="5"/>
  <c r="C83" i="9" s="1"/>
  <c r="F35" i="10"/>
  <c r="F34" i="10"/>
  <c r="J96" i="5"/>
  <c r="C86" i="9" s="1"/>
  <c r="E44" i="24"/>
  <c r="E42" i="20" s="1"/>
  <c r="E43" i="20"/>
  <c r="C67" i="9" l="1"/>
  <c r="D96" i="5"/>
  <c r="C78" i="9" s="1"/>
  <c r="D98" i="5"/>
  <c r="C80" i="9" s="1"/>
  <c r="F33" i="10"/>
  <c r="F96" i="5"/>
  <c r="C81" i="9" s="1"/>
  <c r="F32" i="10"/>
  <c r="G43" i="20"/>
</calcChain>
</file>

<file path=xl/sharedStrings.xml><?xml version="1.0" encoding="utf-8"?>
<sst xmlns="http://schemas.openxmlformats.org/spreadsheetml/2006/main" count="11340" uniqueCount="5557">
  <si>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</si>
  <si>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</si>
  <si>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</si>
  <si>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</si>
  <si>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</si>
  <si>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</si>
  <si>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</si>
  <si>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</si>
  <si>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</si>
  <si>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</si>
  <si>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</si>
  <si>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</si>
  <si>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</si>
  <si>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</si>
  <si>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</si>
  <si>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</si>
  <si>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</si>
  <si>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</si>
  <si>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</si>
  <si>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</si>
  <si>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</si>
  <si>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</si>
  <si>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</si>
  <si>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</si>
  <si>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</si>
  <si>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</si>
  <si>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24 dd</t>
  </si>
  <si>
    <t>salbutamol</t>
  </si>
  <si>
    <t>Naam:</t>
  </si>
  <si>
    <t>20 mg/kg, max 1500 mg</t>
  </si>
  <si>
    <t>Gebruik algoritme?</t>
  </si>
  <si>
    <t>gram</t>
  </si>
  <si>
    <t>X-BOZ</t>
  </si>
  <si>
    <t>ECG</t>
  </si>
  <si>
    <t>NaCl 2,9% (0,5 mmol/ml)</t>
  </si>
  <si>
    <t>Gluc/zout 2/3 – 1/3  (3,3% / 0,3% Na 51 mmol/l)</t>
  </si>
  <si>
    <t>Gluc/zout 2/3 – 1/3  (3,3% / 0,3% Na 51 mmol/l)  met  KCl 30 mmol/l</t>
  </si>
  <si>
    <t xml:space="preserve">       salt</t>
  </si>
  <si>
    <t>Nutramigen 2 LGG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</si>
  <si>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</si>
  <si>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</si>
  <si>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</si>
  <si>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</si>
  <si>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</si>
  <si>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</si>
  <si>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</si>
  <si>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</si>
  <si>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</si>
  <si>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</si>
  <si>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</si>
  <si>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</si>
  <si>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</si>
  <si>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</si>
  <si>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</si>
  <si>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</si>
  <si>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</si>
  <si>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</si>
  <si>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</si>
  <si>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nitroprusside</t>
  </si>
  <si>
    <t>5-30 nanogram/kg/min (moet in zout!)</t>
  </si>
  <si>
    <t>albumine</t>
  </si>
  <si>
    <t>mEq/mmole</t>
  </si>
  <si>
    <t>Modus:</t>
  </si>
  <si>
    <t>Atriale output:</t>
  </si>
  <si>
    <t>AV interval:</t>
  </si>
  <si>
    <t>Atriale sens.:</t>
  </si>
  <si>
    <t>PM_Mod</t>
  </si>
  <si>
    <t>intake IV</t>
  </si>
  <si>
    <t>E/kg/uur</t>
  </si>
  <si>
    <t>E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</si>
  <si>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</si>
  <si>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</si>
  <si>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</si>
  <si>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</si>
  <si>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</si>
  <si>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</si>
  <si>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</si>
  <si>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</si>
  <si>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</si>
  <si>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</si>
  <si>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</si>
  <si>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</si>
  <si>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</si>
  <si>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</si>
  <si>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</si>
  <si>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</si>
  <si>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</si>
  <si>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</si>
  <si>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</si>
  <si>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</si>
  <si>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</si>
  <si>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</si>
  <si>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</si>
  <si>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</si>
  <si>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</si>
  <si>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</si>
  <si>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</si>
  <si>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Glucose 20%</t>
  </si>
  <si>
    <t>Glucose 50%</t>
  </si>
  <si>
    <t>Glucose 15%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</si>
  <si>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</si>
  <si>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</si>
  <si>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</si>
  <si>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</si>
  <si>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</si>
  <si>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</si>
  <si>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</si>
  <si>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</si>
  <si>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</si>
  <si>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</si>
  <si>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</si>
  <si>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Infusen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</si>
  <si>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</si>
  <si>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</si>
  <si>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</si>
  <si>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</si>
  <si>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</si>
  <si>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</si>
  <si>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</si>
  <si>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</si>
  <si>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</si>
  <si>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</si>
  <si>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</si>
  <si>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</si>
  <si>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</si>
  <si>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</si>
  <si>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Adrenaline</t>
  </si>
  <si>
    <t>CVL lijn lumen II:</t>
  </si>
  <si>
    <t>zout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</si>
  <si>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</si>
  <si>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</si>
  <si>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</si>
  <si>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</si>
  <si>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</si>
  <si>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</si>
  <si>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</si>
  <si>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</si>
  <si>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</si>
  <si>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</si>
  <si>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</si>
  <si>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</si>
  <si>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</si>
  <si>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</si>
  <si>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</si>
  <si>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</si>
  <si>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</si>
  <si>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</si>
  <si>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</si>
  <si>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</si>
  <si>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esketamine</t>
  </si>
  <si>
    <t>DosHoev</t>
  </si>
  <si>
    <t>DosTot</t>
  </si>
  <si>
    <t>Toed</t>
  </si>
  <si>
    <t>Laboratorium</t>
  </si>
  <si>
    <t>24:00 uur</t>
  </si>
  <si>
    <t>intake PO</t>
  </si>
  <si>
    <t>1-4 mg/kg/dag</t>
  </si>
  <si>
    <t>lokaal</t>
  </si>
  <si>
    <t>alprostadil</t>
  </si>
  <si>
    <t>Oplossing</t>
  </si>
  <si>
    <t>mmol/mg</t>
  </si>
  <si>
    <t>Perifeer infuus 1: medicatie</t>
  </si>
  <si>
    <t>Arterielijn:</t>
  </si>
  <si>
    <t>extra glucose 10%</t>
  </si>
  <si>
    <t>Sonde:</t>
  </si>
  <si>
    <t>Volume tot</t>
  </si>
  <si>
    <t>Range</t>
  </si>
  <si>
    <t>Waarde</t>
  </si>
  <si>
    <t>StandDos</t>
  </si>
  <si>
    <t>DosEenh</t>
  </si>
  <si>
    <t>mg</t>
  </si>
  <si>
    <t>ml</t>
  </si>
  <si>
    <t>microg</t>
  </si>
  <si>
    <t>MM</t>
  </si>
  <si>
    <t>Speciale voeding</t>
  </si>
  <si>
    <t>Calorien</t>
  </si>
  <si>
    <t>Koolhydraten</t>
  </si>
  <si>
    <t>Natrium</t>
  </si>
  <si>
    <t>Phosfaat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</si>
  <si>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</si>
  <si>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</si>
  <si>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</si>
  <si>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</si>
  <si>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</si>
  <si>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</si>
  <si>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</si>
  <si>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</si>
  <si>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</si>
  <si>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</si>
  <si>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</si>
  <si>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</si>
  <si>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</si>
  <si>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</si>
  <si>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</si>
  <si>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</si>
  <si>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CVL lijn lumen II: medicatie</t>
  </si>
  <si>
    <t>volume</t>
  </si>
  <si>
    <t>heparine</t>
  </si>
  <si>
    <t>IE/kg/uur</t>
  </si>
  <si>
    <t>mcg/kg/uur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</si>
  <si>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</si>
  <si>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</si>
  <si>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</si>
  <si>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</si>
  <si>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</si>
  <si>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</si>
  <si>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</si>
  <si>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</si>
  <si>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</si>
  <si>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</si>
  <si>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</si>
  <si>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</si>
  <si>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</si>
  <si>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</si>
  <si>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</si>
  <si>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</si>
  <si>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</si>
  <si>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</si>
  <si>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</si>
  <si>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</si>
  <si>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</si>
  <si>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</si>
  <si>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AchterNaam</t>
  </si>
  <si>
    <t>VoorNaam</t>
  </si>
  <si>
    <t>adrenaline</t>
  </si>
  <si>
    <t>Soluvit N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</si>
  <si>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</si>
  <si>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</si>
  <si>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</si>
  <si>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</si>
  <si>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</si>
  <si>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</si>
  <si>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</si>
  <si>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</si>
  <si>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</si>
  <si>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</si>
  <si>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</si>
  <si>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</si>
  <si>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</si>
  <si>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</si>
  <si>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</si>
  <si>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</si>
  <si>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</si>
  <si>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</si>
  <si>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</si>
  <si>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</si>
  <si>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</si>
  <si>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</si>
  <si>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</si>
  <si>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</si>
  <si>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langzaam iv, cave bradycardie</t>
  </si>
  <si>
    <t>Glucose/KH</t>
  </si>
  <si>
    <t>Oraal of per sonde</t>
  </si>
  <si>
    <t>Keuze</t>
  </si>
  <si>
    <t>flush</t>
  </si>
  <si>
    <t>Paraaf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</si>
  <si>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</si>
  <si>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</si>
  <si>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</si>
  <si>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</si>
  <si>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</si>
  <si>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</si>
  <si>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</si>
  <si>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</si>
  <si>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</si>
  <si>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</si>
  <si>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</si>
  <si>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</si>
  <si>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</si>
  <si>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</si>
  <si>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</si>
  <si>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</si>
  <si>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</si>
  <si>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</si>
  <si>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</si>
  <si>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</si>
  <si>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</si>
  <si>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</si>
  <si>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</si>
  <si>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Glucose 40%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</si>
  <si>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</si>
  <si>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</si>
  <si>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</si>
  <si>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</si>
  <si>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</si>
  <si>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</si>
  <si>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</si>
  <si>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</si>
  <si>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</si>
  <si>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</si>
  <si>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</si>
  <si>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</si>
  <si>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</si>
  <si>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</si>
  <si>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</si>
  <si>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</si>
  <si>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</si>
  <si>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</si>
  <si>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</si>
  <si>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</si>
  <si>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</si>
  <si>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</si>
  <si>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</si>
  <si>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</si>
  <si>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</si>
  <si>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</si>
  <si>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</si>
  <si>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</si>
  <si>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</si>
  <si>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</si>
  <si>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</si>
  <si>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</si>
  <si>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</si>
  <si>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</si>
  <si>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Glucose 5%</t>
  </si>
  <si>
    <t>Glucose 10%</t>
  </si>
  <si>
    <t>Datum:</t>
  </si>
  <si>
    <t>Opnamedatum:</t>
  </si>
  <si>
    <t>Perifeer infuus 1: SST 2</t>
  </si>
  <si>
    <t>sc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</si>
  <si>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</si>
  <si>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</si>
  <si>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</si>
  <si>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</si>
  <si>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</si>
  <si>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</si>
  <si>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</si>
  <si>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</si>
  <si>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</si>
  <si>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</si>
  <si>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</si>
  <si>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</si>
  <si>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</si>
  <si>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</si>
  <si>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</si>
  <si>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</si>
  <si>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</si>
  <si>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</si>
  <si>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</si>
  <si>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</si>
  <si>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</si>
  <si>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</si>
  <si>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</si>
  <si>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</si>
  <si>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</si>
  <si>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</si>
  <si>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</si>
  <si>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</si>
  <si>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</si>
  <si>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</si>
  <si>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</si>
  <si>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</si>
  <si>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</si>
  <si>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</si>
  <si>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</si>
  <si>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</si>
  <si>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</si>
  <si>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</si>
  <si>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</si>
  <si>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</si>
  <si>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</si>
  <si>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</si>
  <si>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</si>
  <si>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</si>
  <si>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</si>
  <si>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</si>
  <si>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</si>
  <si>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</si>
  <si>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</si>
  <si>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</si>
  <si>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</si>
  <si>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</si>
  <si>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</si>
  <si>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</si>
  <si>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</si>
  <si>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</si>
  <si>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</si>
  <si>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trach</t>
  </si>
  <si>
    <t>epid</t>
  </si>
  <si>
    <t>nasaal</t>
  </si>
  <si>
    <t>Opl</t>
  </si>
  <si>
    <t>OplVl</t>
  </si>
  <si>
    <t>TotOpl</t>
  </si>
  <si>
    <t>1 ml/kg;    max 10 ml</t>
  </si>
  <si>
    <t>Gluc5</t>
  </si>
  <si>
    <t>Gluc10</t>
  </si>
  <si>
    <t>an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</si>
  <si>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</si>
  <si>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</si>
  <si>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</si>
  <si>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</si>
  <si>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</si>
  <si>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</si>
  <si>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</si>
  <si>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</si>
  <si>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</si>
  <si>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AN</t>
  </si>
  <si>
    <t>boven 50 kg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</si>
  <si>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</si>
  <si>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</si>
  <si>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</si>
  <si>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</si>
  <si>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</si>
  <si>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</si>
  <si>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</si>
  <si>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Tabel medicijn verdeelsysteem</t>
  </si>
  <si>
    <t>1 dd</t>
  </si>
  <si>
    <t>2 dd</t>
  </si>
  <si>
    <t>3 dd</t>
  </si>
  <si>
    <t>4 dd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</si>
  <si>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</si>
  <si>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</si>
  <si>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</si>
  <si>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</si>
  <si>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</si>
  <si>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</si>
  <si>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</si>
  <si>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</si>
  <si>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</si>
  <si>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</si>
  <si>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</si>
  <si>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</si>
  <si>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</si>
  <si>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</si>
  <si>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</si>
  <si>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</si>
  <si>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</si>
  <si>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</si>
  <si>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</si>
  <si>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</si>
  <si>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</si>
  <si>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risetime 5%</t>
  </si>
  <si>
    <t>drukbegrenzing 30 cmH2O</t>
  </si>
  <si>
    <t>mcg/kg/min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</si>
  <si>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</si>
  <si>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</si>
  <si>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</si>
  <si>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</si>
  <si>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</si>
  <si>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</si>
  <si>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</si>
  <si>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</si>
  <si>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</si>
  <si>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</si>
  <si>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</si>
  <si>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</si>
  <si>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</si>
  <si>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</si>
  <si>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</si>
  <si>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</si>
  <si>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</si>
  <si>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</si>
  <si>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</si>
  <si>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</si>
  <si>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</si>
  <si>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5 dd</t>
  </si>
  <si>
    <t>zn</t>
  </si>
  <si>
    <t>ml/u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</si>
  <si>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</si>
  <si>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</si>
  <si>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</si>
  <si>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</si>
  <si>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</si>
  <si>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</si>
  <si>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</si>
  <si>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</si>
  <si>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</si>
  <si>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</si>
  <si>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</si>
  <si>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</si>
  <si>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</si>
  <si>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</si>
  <si>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</si>
  <si>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</si>
  <si>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</si>
  <si>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</si>
  <si>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</si>
  <si>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</si>
  <si>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</si>
  <si>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</si>
  <si>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</si>
  <si>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</si>
  <si>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</si>
  <si>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</si>
  <si>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</si>
  <si>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</si>
  <si>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</si>
  <si>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</si>
  <si>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</si>
  <si>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</si>
  <si>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</si>
  <si>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</si>
  <si>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</si>
  <si>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</si>
  <si>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</si>
  <si>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</si>
  <si>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</si>
  <si>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0,1-1 mg/kg/min</t>
  </si>
  <si>
    <t>mg/kg/min</t>
  </si>
  <si>
    <t>Row</t>
  </si>
  <si>
    <t>Opl Vlstf</t>
  </si>
  <si>
    <t>Vol</t>
  </si>
  <si>
    <t>Gluc 5</t>
  </si>
  <si>
    <t>Gluc 10</t>
  </si>
  <si>
    <t>No</t>
  </si>
  <si>
    <t>3-20 mg/kg/uur (=0,01-0,08 mmol/kg/uur)</t>
  </si>
  <si>
    <t>mmol</t>
  </si>
  <si>
    <t>fentanyl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</si>
  <si>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</si>
  <si>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</si>
  <si>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</si>
  <si>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</si>
  <si>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Ingredienten per mL</t>
  </si>
  <si>
    <t>ingredienten per 100 mL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</si>
  <si>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</si>
  <si>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</si>
  <si>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</si>
  <si>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</si>
  <si>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</si>
  <si>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</si>
  <si>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</si>
  <si>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</si>
  <si>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</si>
  <si>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Poeder1</t>
  </si>
  <si>
    <t>Poeder2</t>
  </si>
  <si>
    <t>Poeder3</t>
  </si>
  <si>
    <t>Sum</t>
  </si>
  <si>
    <t>SpecVoed</t>
  </si>
  <si>
    <t>Enteraal voeding</t>
  </si>
  <si>
    <t>Maagsonde voeding</t>
  </si>
  <si>
    <t>Maagsonde hevelen</t>
  </si>
  <si>
    <t>Duodenumsonde voeding</t>
  </si>
  <si>
    <t>Sonde keuze</t>
  </si>
  <si>
    <t>AdviseMinimum</t>
  </si>
  <si>
    <t>AdviseMaximum</t>
  </si>
  <si>
    <t>Bed</t>
  </si>
  <si>
    <t>Bed:</t>
  </si>
  <si>
    <t>eind PO</t>
  </si>
  <si>
    <t>start poeder</t>
  </si>
  <si>
    <t>Bednummer:</t>
  </si>
  <si>
    <t>Print:</t>
  </si>
  <si>
    <t>AD:</t>
  </si>
  <si>
    <t xml:space="preserve">Paraaf </t>
  </si>
  <si>
    <t>Verpleging</t>
  </si>
  <si>
    <t>Handtekening supervisor:</t>
  </si>
  <si>
    <t>Extra?</t>
  </si>
  <si>
    <t>Keuze 1</t>
  </si>
  <si>
    <t>Keuze 2</t>
  </si>
  <si>
    <t>Keuze 3</t>
  </si>
  <si>
    <t>Dag 1 tot en met 3</t>
  </si>
  <si>
    <t>Dag 4 en verder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</si>
  <si>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</si>
  <si>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</si>
  <si>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</si>
  <si>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</si>
  <si>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</si>
  <si>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</si>
  <si>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</si>
  <si>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</si>
  <si>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</si>
  <si>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</si>
  <si>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</si>
  <si>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</si>
  <si>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</si>
  <si>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</si>
  <si>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mg=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</si>
  <si>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</si>
  <si>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</si>
  <si>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</si>
  <si>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</si>
  <si>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</si>
  <si>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</si>
  <si>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</si>
  <si>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</si>
  <si>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</si>
  <si>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</si>
  <si>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</si>
  <si>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</si>
  <si>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</si>
  <si>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</si>
  <si>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</si>
  <si>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Medische Afspraken</t>
  </si>
  <si>
    <t>Afdeling Neonatologie (IC-HC-MC)</t>
  </si>
  <si>
    <t>Divisie Obstetrie Neonatologie en Gynaecologie</t>
  </si>
  <si>
    <t>Geboortedatum:</t>
  </si>
  <si>
    <t>weken</t>
  </si>
  <si>
    <t>dag(-en)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</si>
  <si>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</si>
  <si>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</si>
  <si>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</si>
  <si>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</si>
  <si>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</si>
  <si>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</si>
  <si>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</si>
  <si>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</si>
  <si>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</si>
  <si>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</si>
  <si>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Medicatie dosis/ kg /…</t>
  </si>
  <si>
    <t>Normaal waarden</t>
  </si>
  <si>
    <t>Inlooptijd</t>
  </si>
  <si>
    <t>Zijlijn 1</t>
  </si>
  <si>
    <t>Zijlijn 2</t>
  </si>
  <si>
    <t>Zijlijn 3</t>
  </si>
  <si>
    <t>Intralipid 20% (incl vitintra)</t>
  </si>
  <si>
    <t>Samenstelling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</si>
  <si>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</si>
  <si>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</si>
  <si>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</si>
  <si>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</si>
  <si>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</si>
  <si>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</si>
  <si>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</si>
  <si>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</si>
  <si>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</si>
  <si>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</si>
  <si>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</si>
  <si>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</si>
  <si>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</si>
  <si>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</si>
  <si>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</si>
  <si>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</si>
  <si>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</si>
  <si>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</si>
  <si>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vit D</t>
  </si>
  <si>
    <t>0,1- 0,5 mg/kg/dag</t>
  </si>
  <si>
    <t>glucose 5%</t>
  </si>
  <si>
    <t>microg/kg/min</t>
  </si>
  <si>
    <t>Nutrilon Standaard 1</t>
  </si>
  <si>
    <t>Nutrilon 1 poeder</t>
  </si>
  <si>
    <t>2,5-20 microg/kg/min</t>
  </si>
  <si>
    <t>glucose 10%</t>
  </si>
  <si>
    <t>Nenatal Start poeder</t>
  </si>
  <si>
    <t>1-20 microg/kg/min</t>
  </si>
  <si>
    <t>glucose 15%</t>
  </si>
  <si>
    <t>Nutrilon Nenatal BMF</t>
  </si>
  <si>
    <t>glucose 20%</t>
  </si>
  <si>
    <t>Nenatal Protein Fortifier</t>
  </si>
  <si>
    <t>glucose 25%</t>
  </si>
  <si>
    <t>Solagen/Colagen</t>
  </si>
  <si>
    <t>glucose 30%</t>
  </si>
  <si>
    <t>0,01-1,5 microg/kg/min</t>
  </si>
  <si>
    <t>glucose 35%</t>
  </si>
  <si>
    <t>glucose 40%</t>
  </si>
  <si>
    <t>glucose 45%</t>
  </si>
  <si>
    <t>glucose 50%</t>
  </si>
  <si>
    <t>0,125-0,5 mg/kg/dag</t>
  </si>
  <si>
    <t>0,05-2 microg/kg/min</t>
  </si>
  <si>
    <t>NaBic 4,2%</t>
  </si>
  <si>
    <t>NICU mix</t>
  </si>
  <si>
    <t>Nieuwe</t>
  </si>
  <si>
    <t>Uren*10</t>
  </si>
  <si>
    <t>PatNum:</t>
  </si>
  <si>
    <t>Weken:</t>
  </si>
  <si>
    <t>Dagen:</t>
  </si>
  <si>
    <t>Dag:</t>
  </si>
  <si>
    <t>Voeding per os:</t>
  </si>
  <si>
    <t>Totale intake per kg</t>
  </si>
  <si>
    <t>Parenteraal</t>
  </si>
  <si>
    <t>Hoeveelheid</t>
  </si>
  <si>
    <t>Opl hoeveelh</t>
  </si>
  <si>
    <t>Dosering_2</t>
  </si>
  <si>
    <t>Berekening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</si>
  <si>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</si>
  <si>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</si>
  <si>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</si>
  <si>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</si>
  <si>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</si>
  <si>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</si>
  <si>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</si>
  <si>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</si>
  <si>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</si>
  <si>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Aanbevolen</t>
  </si>
  <si>
    <t>Aangepast</t>
  </si>
  <si>
    <t>Tellerstand</t>
  </si>
  <si>
    <t>GLUCOSE</t>
  </si>
  <si>
    <t>Supervisor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</si>
  <si>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</si>
  <si>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</si>
  <si>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</si>
  <si>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</si>
  <si>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</si>
  <si>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</si>
  <si>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</si>
  <si>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</si>
  <si>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</si>
  <si>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</si>
  <si>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</si>
  <si>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</si>
  <si>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</si>
  <si>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</si>
  <si>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</si>
  <si>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</si>
  <si>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</si>
  <si>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</si>
  <si>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</si>
  <si>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</si>
  <si>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</si>
  <si>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</si>
  <si>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</si>
  <si>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</si>
  <si>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</si>
  <si>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</si>
  <si>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</si>
  <si>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</si>
  <si>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</si>
  <si>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</si>
  <si>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</si>
  <si>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</si>
  <si>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</si>
  <si>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</si>
  <si>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</si>
  <si>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</si>
  <si>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</si>
  <si>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</si>
  <si>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</si>
  <si>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</si>
  <si>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</si>
  <si>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</si>
  <si>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</si>
  <si>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</si>
  <si>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</si>
  <si>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</si>
  <si>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</si>
  <si>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</si>
  <si>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</si>
  <si>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</si>
  <si>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</si>
  <si>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</si>
  <si>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</si>
  <si>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</si>
  <si>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</si>
  <si>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</si>
  <si>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</si>
  <si>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</si>
  <si>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</si>
  <si>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</si>
  <si>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</si>
  <si>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</si>
  <si>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</si>
  <si>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</si>
  <si>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</si>
  <si>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</si>
  <si>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</si>
  <si>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</si>
  <si>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</si>
  <si>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</si>
  <si>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</si>
  <si>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</si>
  <si>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</si>
  <si>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</si>
  <si>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</si>
  <si>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</si>
  <si>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</si>
  <si>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</si>
  <si>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</si>
  <si>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</si>
  <si>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</si>
  <si>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</si>
  <si>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</si>
  <si>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</si>
  <si>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</si>
  <si>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</si>
  <si>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</si>
  <si>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10-100 nanogram/kg/min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</si>
  <si>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</si>
  <si>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</si>
  <si>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</si>
  <si>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</si>
  <si>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</si>
  <si>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</si>
  <si>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</si>
  <si>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</si>
  <si>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</si>
  <si>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</si>
  <si>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</si>
  <si>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</si>
  <si>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</si>
  <si>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</si>
  <si>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</si>
  <si>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</si>
  <si>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</si>
  <si>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0,05-0,1 microg/kg/min</t>
  </si>
  <si>
    <t>Albumine 20%</t>
  </si>
  <si>
    <t>Alprostadil (Prostin)</t>
  </si>
  <si>
    <t>Amiodarone</t>
  </si>
  <si>
    <t>5-15 microg/kg/min</t>
  </si>
  <si>
    <t>Clonidine</t>
  </si>
  <si>
    <t>microg/kg/uur</t>
  </si>
  <si>
    <t>Dobutamine</t>
  </si>
  <si>
    <t>Dopamine</t>
  </si>
  <si>
    <t>Epi bupi 2,5 mg/ml</t>
  </si>
  <si>
    <t>Epoprostenol (Flolan)</t>
  </si>
  <si>
    <t>Esmolol</t>
  </si>
  <si>
    <t>Epi bupi 2,5 mg, sufenta 1 mcg /ml</t>
  </si>
  <si>
    <t>Furosemide</t>
  </si>
  <si>
    <t>Insuline</t>
  </si>
  <si>
    <t>Isoprenaline</t>
  </si>
  <si>
    <t>Labetalol</t>
  </si>
  <si>
    <t>0,25-3 mg/kg/uur</t>
  </si>
  <si>
    <t>Milrinone</t>
  </si>
  <si>
    <t>Nitroprusside</t>
  </si>
  <si>
    <t>Noradrenaline</t>
  </si>
  <si>
    <t>0,25-0,75 microg/kg/min</t>
  </si>
  <si>
    <t>0,5-8 microg/kg/min</t>
  </si>
  <si>
    <t>Rocuronium</t>
  </si>
  <si>
    <t>0,3-1,2 mg/kg/uur</t>
  </si>
  <si>
    <t>Clonazepam</t>
  </si>
  <si>
    <t>Lidocaine</t>
  </si>
  <si>
    <t>4-7 mg/kg/uur (volgens protocol, let op hypothermie)</t>
  </si>
  <si>
    <t>Nicardipine</t>
  </si>
  <si>
    <t>0,5 -2 microg/kg/min</t>
  </si>
  <si>
    <t>0,25-2 microg/kg/uur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</si>
  <si>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</si>
  <si>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</si>
  <si>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</si>
  <si>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</si>
  <si>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</si>
  <si>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</si>
  <si>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</si>
  <si>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</si>
  <si>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</si>
  <si>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</si>
  <si>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</si>
  <si>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</si>
  <si>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</si>
  <si>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</si>
  <si>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</si>
  <si>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</si>
  <si>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</si>
  <si>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</si>
  <si>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</si>
  <si>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</si>
  <si>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</si>
  <si>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</si>
  <si>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</si>
  <si>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</si>
  <si>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</si>
  <si>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</si>
  <si>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</si>
  <si>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</si>
  <si>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</si>
  <si>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</si>
  <si>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</si>
  <si>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</si>
  <si>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</si>
  <si>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</si>
  <si>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</si>
  <si>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</si>
  <si>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</si>
  <si>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</si>
  <si>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</si>
  <si>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</si>
  <si>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</si>
  <si>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</si>
  <si>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</si>
  <si>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</si>
  <si>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</si>
  <si>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</si>
  <si>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</si>
  <si>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</si>
  <si>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</si>
  <si>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</si>
  <si>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</si>
  <si>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</si>
  <si>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</si>
  <si>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</si>
  <si>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</si>
  <si>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</si>
  <si>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</si>
  <si>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</si>
  <si>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</si>
  <si>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</si>
  <si>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</si>
  <si>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</si>
  <si>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</si>
  <si>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</si>
  <si>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</si>
  <si>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</si>
  <si>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</si>
  <si>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</si>
  <si>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</si>
  <si>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</si>
  <si>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</si>
  <si>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</si>
  <si>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</si>
  <si>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</si>
  <si>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</si>
  <si>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</si>
  <si>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</si>
  <si>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</si>
  <si>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</si>
  <si>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</si>
  <si>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</si>
  <si>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</si>
  <si>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</si>
  <si>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</si>
  <si>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</si>
  <si>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</si>
  <si>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</si>
  <si>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</si>
  <si>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</si>
  <si>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</si>
  <si>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</si>
  <si>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</si>
  <si>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</si>
  <si>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</si>
  <si>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</si>
  <si>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</si>
  <si>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</si>
  <si>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</si>
  <si>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</si>
  <si>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</si>
  <si>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</si>
  <si>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</si>
  <si>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</si>
  <si>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</si>
  <si>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</si>
  <si>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</si>
  <si>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</si>
  <si>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</si>
  <si>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</si>
  <si>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</si>
  <si>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</si>
  <si>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</si>
  <si>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</si>
  <si>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</si>
  <si>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</si>
  <si>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</si>
  <si>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</si>
  <si>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</si>
  <si>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</si>
  <si>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</si>
  <si>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</si>
  <si>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Voeding 1</t>
  </si>
  <si>
    <t>Voeding 2</t>
  </si>
  <si>
    <t>Voeding 3</t>
  </si>
  <si>
    <t>Voeding 4</t>
  </si>
  <si>
    <t>Voeding 5</t>
  </si>
  <si>
    <t>Voeding 6</t>
  </si>
  <si>
    <t>Voeding 7</t>
  </si>
  <si>
    <t>Voeding 8</t>
  </si>
  <si>
    <t>Voeding 9</t>
  </si>
  <si>
    <t>Voeding 10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</si>
  <si>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</si>
  <si>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</si>
  <si>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</si>
  <si>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</si>
  <si>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</si>
  <si>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</si>
  <si>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</si>
  <si>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</si>
  <si>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</si>
  <si>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Toevoegingen MOEDERMELK</t>
  </si>
  <si>
    <t>Toevoegingen KUNSTVOEDING</t>
  </si>
  <si>
    <t>Calogen in KV</t>
  </si>
  <si>
    <t>Fantomalt in KV</t>
  </si>
  <si>
    <t>Nenatal Start Pdr in KV</t>
  </si>
  <si>
    <t>Nutriton in KV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</si>
  <si>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</si>
  <si>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</si>
  <si>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</si>
  <si>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</si>
  <si>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</si>
  <si>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</si>
  <si>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</si>
  <si>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</si>
  <si>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</si>
  <si>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</si>
  <si>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</si>
  <si>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</si>
  <si>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</si>
  <si>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</si>
  <si>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</si>
  <si>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</si>
  <si>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</si>
  <si>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</si>
  <si>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</si>
  <si>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</si>
  <si>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</si>
  <si>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</si>
  <si>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</si>
  <si>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</si>
  <si>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</si>
  <si>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</si>
  <si>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</si>
  <si>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</si>
  <si>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</si>
  <si>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</si>
  <si>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</si>
  <si>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</si>
  <si>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</si>
  <si>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</si>
  <si>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</si>
  <si>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</si>
  <si>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</si>
  <si>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</si>
  <si>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</si>
  <si>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</si>
  <si>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</si>
  <si>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</si>
  <si>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</si>
  <si>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</si>
  <si>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</si>
  <si>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</si>
  <si>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</si>
  <si>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</si>
  <si>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</si>
  <si>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</si>
  <si>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</si>
  <si>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</si>
  <si>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</si>
  <si>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</si>
  <si>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</si>
  <si>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</si>
  <si>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</si>
  <si>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</si>
  <si>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</si>
  <si>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</si>
  <si>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</si>
  <si>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</si>
  <si>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</si>
  <si>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</si>
  <si>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</si>
  <si>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</si>
  <si>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</si>
  <si>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</si>
  <si>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</si>
  <si>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</si>
  <si>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</si>
  <si>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</si>
  <si>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</si>
  <si>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</si>
  <si>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</si>
  <si>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</si>
  <si>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</si>
  <si>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</si>
  <si>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</si>
  <si>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</si>
  <si>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</si>
  <si>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</si>
  <si>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</si>
  <si>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</si>
  <si>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</si>
  <si>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</si>
  <si>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</si>
  <si>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>ingredienten per 100 gram</t>
  </si>
  <si>
    <t>Ingredienten per gram</t>
  </si>
  <si>
    <t xml:space="preserve">Nutrilon 1 </t>
  </si>
  <si>
    <t>Nutriton</t>
  </si>
  <si>
    <t>BASISLIJST</t>
  </si>
  <si>
    <t>NICU</t>
  </si>
  <si>
    <t>Peli</t>
  </si>
  <si>
    <t>Nutrilon Caprilon</t>
  </si>
  <si>
    <t>Hero Baby 1 NS Prematuur</t>
  </si>
  <si>
    <t>Hero Baby Prematuur Start</t>
  </si>
  <si>
    <t>Nutrilon Pepti 1</t>
  </si>
  <si>
    <t>Totalen MM</t>
  </si>
  <si>
    <t>Totalen KV</t>
  </si>
  <si>
    <t>MM/KV</t>
  </si>
  <si>
    <t>KV</t>
  </si>
  <si>
    <t>opm</t>
  </si>
  <si>
    <t>chloor</t>
  </si>
  <si>
    <t>vitamine D</t>
  </si>
  <si>
    <t>ijzer</t>
  </si>
  <si>
    <t>Infatrini Peptisorb</t>
  </si>
  <si>
    <t>Nutrini Peptisorb</t>
  </si>
  <si>
    <t>Nutrison Adv Peptisorb</t>
  </si>
  <si>
    <t>POEDER</t>
  </si>
  <si>
    <t>tblMedDiscToed</t>
  </si>
  <si>
    <t>tblMedDiscOplVl</t>
  </si>
  <si>
    <t>tblMedDiscTijdenIndex</t>
  </si>
  <si>
    <t>tblMedDiscTijden</t>
  </si>
  <si>
    <t>tblMedDiscEenh</t>
  </si>
  <si>
    <t>tblInfusen</t>
  </si>
  <si>
    <t>Zout</t>
  </si>
  <si>
    <t>Infuus nummer</t>
  </si>
  <si>
    <t>Infuus keuze</t>
  </si>
  <si>
    <t>Pacemaker Positie</t>
  </si>
  <si>
    <t>Pacemaker Modus</t>
  </si>
  <si>
    <t>&lt;10 kg: MM</t>
  </si>
  <si>
    <t>&lt;3,5 kg: Nutrilon Nenatal Start</t>
  </si>
  <si>
    <t>&lt;3,5 kg: Nutrilon Nenatal 1</t>
  </si>
  <si>
    <t>kg: Nutrilon Hypoallergeen 1</t>
  </si>
  <si>
    <t>3,5-10 kg: Nutrilon Standaard 1 (&lt; 6 mnd)</t>
  </si>
  <si>
    <t>3,5-10 kg: Nutrilon Standaard 2 (&gt; 6 mnd)</t>
  </si>
  <si>
    <t>&lt;10 kg: Infatrini</t>
  </si>
  <si>
    <t>&lt;10 kg: Infatrini Peptisorb (resorptie)</t>
  </si>
  <si>
    <t>&lt;10 kg: Nutrilon Pepti 1 (allergie)</t>
  </si>
  <si>
    <t>10-20 kg: Nutrini Multi Fibre</t>
  </si>
  <si>
    <t>10-20 kg: Nutrini Energy Multi Fibre</t>
  </si>
  <si>
    <t>10-20 kg: Nutrini Peptisorb (resorptie)</t>
  </si>
  <si>
    <t>10-20 kg: Nutrilon Pepti 2 (allergie)</t>
  </si>
  <si>
    <t>20-45 kg: NutriniMax Multi Fibre</t>
  </si>
  <si>
    <t>20-45 kg: NutriniMax Energy Multi Fibre</t>
  </si>
  <si>
    <t>20-45 kg: Nutrini Peptisorb (resorptie)</t>
  </si>
  <si>
    <t>20-45 kg: Nutrilon Pepti 2 (allergie)</t>
  </si>
  <si>
    <t>&gt; 45 kg: Nutrison Multi Fibre</t>
  </si>
  <si>
    <t>&gt; 45 kg: Nutrison Energy Multi Fibre</t>
  </si>
  <si>
    <t>&gt; 45 kg: Nutrison Adv Peptisorb (resorptie)</t>
  </si>
  <si>
    <t>&gt; 45 kg: Nutrilon Pepti 2 (allergie)</t>
  </si>
  <si>
    <t>kg: Nutrilon Neocate</t>
  </si>
  <si>
    <t>kg: Nutrilon Pepti Junior</t>
  </si>
  <si>
    <t>Nutrilon Pepti 2</t>
  </si>
  <si>
    <t>Nutrilon 1</t>
  </si>
  <si>
    <t>Voeding lijst</t>
  </si>
  <si>
    <t>Omrekentabel</t>
  </si>
  <si>
    <t>ug/IE</t>
  </si>
  <si>
    <t>mmol/ml</t>
  </si>
  <si>
    <t>Voeding 11</t>
  </si>
  <si>
    <t>Voeding 12</t>
  </si>
  <si>
    <t>Voeding 13</t>
  </si>
  <si>
    <t>Voeding 14</t>
  </si>
  <si>
    <t>Voeding 15</t>
  </si>
  <si>
    <t>15</t>
  </si>
  <si>
    <t>NaCl 0.9%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</si>
  <si>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</si>
  <si>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</si>
  <si>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</si>
  <si>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</si>
  <si>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</si>
  <si>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</si>
  <si>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</si>
  <si>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</si>
  <si>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</si>
  <si>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</si>
  <si>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</si>
  <si>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</si>
  <si>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Infuusbrief keuzelijst infuusvloeistof (Opl)</t>
  </si>
  <si>
    <t>Infuusbrief keuzelijst dosering (Dos)</t>
  </si>
  <si>
    <t>Infuusbrief keuzelijst Voeding inclusief berekeningen obv basislijst voeding (tblVoeding)</t>
  </si>
  <si>
    <t>Infuusbrief keuzelijst Toevoeging KV inclusief berekeningen obv basislijst voeding (tblVoeding)</t>
  </si>
  <si>
    <t>Infuusbrief keuzelijst Toevoeging MM inclusief berekeningen obv basislijst voeding (tblVoeding)</t>
  </si>
  <si>
    <t>Infuusbrief samenstelling TPN inclusief berekeningen</t>
  </si>
  <si>
    <t>Infuusbrief Toevoeging BMF in MM inclusief berekeningen obv basislijst voeding (tblVoeding)</t>
  </si>
  <si>
    <t>Infuusbrief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</si>
  <si>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</si>
  <si>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</si>
  <si>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</si>
  <si>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</si>
  <si>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</si>
  <si>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</si>
  <si>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</si>
  <si>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</si>
  <si>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</si>
  <si>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</si>
  <si>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</si>
  <si>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</si>
  <si>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</si>
  <si>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</si>
  <si>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</si>
  <si>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13</t>
  </si>
  <si>
    <t>Medicament 14</t>
  </si>
  <si>
    <t>17.00 uur afspraken</t>
  </si>
  <si>
    <t>Actuele afspraken</t>
  </si>
  <si>
    <t>Doxapram (Dopram)</t>
  </si>
  <si>
    <t>0,5-2 mg/kg/uur</t>
  </si>
  <si>
    <t>Voeding via gastrostoma</t>
  </si>
  <si>
    <t>Silastic: NaCl 0.9%: 2 ml/uur</t>
  </si>
  <si>
    <t>SMOF</t>
  </si>
  <si>
    <t>0,01-0,1 E/kg/uur (in NaCl 0,9%, met 0,1 ml Albumine 20%)</t>
  </si>
  <si>
    <t>Zondag</t>
  </si>
  <si>
    <t>Lijsten/Factor</t>
  </si>
  <si>
    <t xml:space="preserve">Zaterdag </t>
  </si>
  <si>
    <t>Maandag</t>
  </si>
  <si>
    <t>Selectie</t>
  </si>
  <si>
    <t>PICC</t>
  </si>
  <si>
    <t>Zaterdag 08:00 uur</t>
  </si>
  <si>
    <t>Maandag 08:00 uur</t>
  </si>
  <si>
    <t>Zondag 08:00 uur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</si>
  <si>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</si>
  <si>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</si>
  <si>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</si>
  <si>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</si>
  <si>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</si>
  <si>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</si>
  <si>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</si>
  <si>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</si>
  <si>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</si>
  <si>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</si>
  <si>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</si>
  <si>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</si>
  <si>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</si>
  <si>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</si>
  <si>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</si>
  <si>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</si>
  <si>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</si>
  <si>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</si>
  <si>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</si>
  <si>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</si>
  <si>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</si>
  <si>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</si>
  <si>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</si>
  <si>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</si>
  <si>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</si>
  <si>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</si>
  <si>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</si>
  <si>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</si>
  <si>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\..\ICAP Data\</t>
  </si>
  <si>
    <t>Setting</t>
  </si>
  <si>
    <t>Value</t>
  </si>
  <si>
    <t>DbDir</t>
  </si>
  <si>
    <t>\..\..\db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</si>
  <si>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</si>
  <si>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</si>
  <si>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</si>
  <si>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</si>
  <si>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</si>
  <si>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</si>
  <si>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</si>
  <si>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</si>
  <si>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</si>
  <si>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</si>
  <si>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_Ped_IVLijn_1</t>
  </si>
  <si>
    <t>_Ped_IVLijn_2</t>
  </si>
  <si>
    <t>_Ped_IVLijn_3</t>
  </si>
  <si>
    <t>_Ped_IVLijn_4</t>
  </si>
  <si>
    <t>_Ped_IVLijn_5</t>
  </si>
  <si>
    <t>_Ped_IVLijn_6</t>
  </si>
  <si>
    <t>_xlfn.IFERROR</t>
  </si>
  <si>
    <t>NeoGuiAcuut!Print_Area</t>
  </si>
  <si>
    <t>NeoPrtAfspr!Print_Area</t>
  </si>
  <si>
    <t>NeoPrtApoth!Print_Area</t>
  </si>
  <si>
    <t>NeoPrtMedDisc!Print_Area</t>
  </si>
  <si>
    <t>NeoPrtWerkbr!Print_Area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</si>
  <si>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</si>
  <si>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</si>
  <si>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</si>
  <si>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</si>
  <si>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</si>
  <si>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</si>
  <si>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</si>
  <si>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</si>
  <si>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rngNeoAfsprBlns</t>
  </si>
  <si>
    <t>rngNeoAfsprData</t>
  </si>
  <si>
    <t>rngNeoLabData</t>
  </si>
  <si>
    <t>rngPedAfsprBlns</t>
  </si>
  <si>
    <t>rngPedAfsprData</t>
  </si>
  <si>
    <t>rngPedLabData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</si>
  <si>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</si>
  <si>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</si>
  <si>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</si>
  <si>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</si>
  <si>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</si>
  <si>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</si>
  <si>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</si>
  <si>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</si>
  <si>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tblBerMedContIV</t>
  </si>
  <si>
    <t>tblInfusenBer</t>
  </si>
  <si>
    <t>tblMedDiscTijdenValues</t>
  </si>
  <si>
    <t>tblMedicationContIV</t>
  </si>
  <si>
    <t>tblOmrekenCa</t>
  </si>
  <si>
    <t>tblOmrekenCl</t>
  </si>
  <si>
    <t>tblOmrekenFe</t>
  </si>
  <si>
    <t>tblOmrekenK</t>
  </si>
  <si>
    <t>tblOmrekenMg</t>
  </si>
  <si>
    <t>tblOmrekenNA</t>
  </si>
  <si>
    <t>tblOmrekenP</t>
  </si>
  <si>
    <t>tblOmrekenVitD</t>
  </si>
  <si>
    <t>tblOplossing</t>
  </si>
  <si>
    <t>tblOpzoekenMedicatieIV</t>
  </si>
  <si>
    <t>tblPacemakerModus</t>
  </si>
  <si>
    <t>tblPacemakerPositie</t>
  </si>
  <si>
    <t>tblPerOs</t>
  </si>
  <si>
    <t>tblPO_poederlijst</t>
  </si>
  <si>
    <t>tblPoeder</t>
  </si>
  <si>
    <t>tblSonde</t>
  </si>
  <si>
    <t>tblSSTGlucose</t>
  </si>
  <si>
    <t>tblTijden</t>
  </si>
  <si>
    <t>tblTPN</t>
  </si>
  <si>
    <t>tblVoedingBasislijst</t>
  </si>
  <si>
    <t>tblVoedingPO</t>
  </si>
  <si>
    <t>tblVoedingPoeder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</si>
  <si>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</si>
  <si>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</si>
  <si>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</si>
  <si>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</si>
  <si>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</si>
  <si>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</si>
  <si>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</si>
  <si>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</si>
  <si>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</si>
  <si>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</si>
  <si>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</si>
  <si>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</si>
  <si>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</si>
  <si>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</si>
  <si>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</si>
  <si>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NeoBer1700!$B$6</t>
  </si>
  <si>
    <t>GlobTemp!$A$2:$B$437</t>
  </si>
  <si>
    <t>NeoBer1700!$B$3</t>
  </si>
  <si>
    <t>NeoBer1700!$B$4</t>
  </si>
  <si>
    <t>NeoBer1700!$B$90</t>
  </si>
  <si>
    <t>NeoBer1700!$B$99</t>
  </si>
  <si>
    <t>NeoBer1700!$B$100</t>
  </si>
  <si>
    <t>NeoBer1700!$B$101</t>
  </si>
  <si>
    <t>NeoBer1700!$B$102</t>
  </si>
  <si>
    <t>NeoBer1700!$B$103</t>
  </si>
  <si>
    <t>NeoBer1700!$B$104</t>
  </si>
  <si>
    <t>NeoBer1700!$B$105</t>
  </si>
  <si>
    <t>NeoBer1700!$B$106</t>
  </si>
  <si>
    <t>NeoBer1700!$B$107</t>
  </si>
  <si>
    <t>NeoBer1700!$B$108</t>
  </si>
  <si>
    <t>NeoBer1700!$B$91</t>
  </si>
  <si>
    <t>NeoBer1700!$B$109</t>
  </si>
  <si>
    <t>NeoBer1700!$B$110</t>
  </si>
  <si>
    <t>NeoBer1700!$B$111</t>
  </si>
  <si>
    <t>NeoBer1700!$B$112</t>
  </si>
  <si>
    <t>NeoBer1700!$B$113</t>
  </si>
  <si>
    <t>NeoBer1700!$B$114</t>
  </si>
  <si>
    <t>NeoBer1700!$B$115</t>
  </si>
  <si>
    <t>NeoBer1700!$B$116</t>
  </si>
  <si>
    <t>NeoBer1700!$B$92</t>
  </si>
  <si>
    <t>NeoBer1700!$B$93</t>
  </si>
  <si>
    <t>NeoBer1700!$B$94</t>
  </si>
  <si>
    <t>NeoBer1700!$B$95</t>
  </si>
  <si>
    <t>NeoBer1700!$B$96</t>
  </si>
  <si>
    <t>NeoBer1700!$B$97</t>
  </si>
  <si>
    <t>NeoBer1700!$B$98</t>
  </si>
  <si>
    <t>NeoBer1700!$B$73</t>
  </si>
  <si>
    <t>NeoBer1700!$B$82</t>
  </si>
  <si>
    <t>NeoBer1700!$B$83</t>
  </si>
  <si>
    <t>NeoBer1700!$B$84</t>
  </si>
  <si>
    <t>NeoBer1700!$B$85</t>
  </si>
  <si>
    <t>NeoBer1700!$B$86</t>
  </si>
  <si>
    <t>NeoBer1700!$B$87</t>
  </si>
  <si>
    <t>NeoBer1700!$B$74</t>
  </si>
  <si>
    <t>NeoBer1700!$B$75</t>
  </si>
  <si>
    <t>NeoBer1700!$B$76</t>
  </si>
  <si>
    <t>NeoBer1700!$B$77</t>
  </si>
  <si>
    <t>NeoBer1700!$B$78</t>
  </si>
  <si>
    <t>NeoBer1700!$B$79</t>
  </si>
  <si>
    <t>NeoBer1700!$B$80</t>
  </si>
  <si>
    <t>NeoBer1700!$B$81</t>
  </si>
  <si>
    <t>PedBerEnt!$J$2</t>
  </si>
  <si>
    <t>PedBerEnt!$J$3</t>
  </si>
  <si>
    <t>PedBerEnt!$J$4</t>
  </si>
  <si>
    <t>PedBerEnt!$J$5</t>
  </si>
  <si>
    <t>PedBerEnt!$N$2</t>
  </si>
  <si>
    <t>PedBerEnt!$N$3</t>
  </si>
  <si>
    <t>PedBerEnt!$N$4</t>
  </si>
  <si>
    <t>PedBerEnt!$N$5</t>
  </si>
  <si>
    <t>PedBerEnt!$O$2</t>
  </si>
  <si>
    <t>PedBerEnt!$H$2</t>
  </si>
  <si>
    <t>PedBerEnt!$H$3</t>
  </si>
  <si>
    <t>PedBerEnt!$H$4</t>
  </si>
  <si>
    <t>PedBerEnt!$H$5</t>
  </si>
  <si>
    <t>PedBerEnt!$H$6</t>
  </si>
  <si>
    <t>PedBerEnt!$H$7</t>
  </si>
  <si>
    <t>PedBerEnt!$H$8</t>
  </si>
  <si>
    <t>PedBerEnt!$H$9</t>
  </si>
  <si>
    <t>PedBerEnt!$H$10</t>
  </si>
  <si>
    <t>PedBerEnt!$H$11</t>
  </si>
  <si>
    <t>PedBerEnt!$H$12</t>
  </si>
  <si>
    <t>PedBerEnt!$H$13</t>
  </si>
  <si>
    <t>PedBerEnt!$K$2</t>
  </si>
  <si>
    <t>PedBerEnt!$K$3</t>
  </si>
  <si>
    <t>PedBerEnt!$K$4</t>
  </si>
  <si>
    <t>PedBerEnt!$K$5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</si>
  <si>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</si>
  <si>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</si>
  <si>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</si>
  <si>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</si>
  <si>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</si>
  <si>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</si>
  <si>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</si>
  <si>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</si>
  <si>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</si>
  <si>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</si>
  <si>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</si>
  <si>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</si>
  <si>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</si>
  <si>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</si>
  <si>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</si>
  <si>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</si>
  <si>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</si>
  <si>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</si>
  <si>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</si>
  <si>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</si>
  <si>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</si>
  <si>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</si>
  <si>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</si>
  <si>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</si>
  <si>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</si>
  <si>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</si>
  <si>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</si>
  <si>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</si>
  <si>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</si>
  <si>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</si>
  <si>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</si>
  <si>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</si>
  <si>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</si>
  <si>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</si>
  <si>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</si>
  <si>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</si>
  <si>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</si>
  <si>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</si>
  <si>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</si>
  <si>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</si>
  <si>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</si>
  <si>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</si>
  <si>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</si>
  <si>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</si>
  <si>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</si>
  <si>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</si>
  <si>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</si>
  <si>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</si>
  <si>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</si>
  <si>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</si>
  <si>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</si>
  <si>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</si>
  <si>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</si>
  <si>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</si>
  <si>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</si>
  <si>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</si>
  <si>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</si>
  <si>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</si>
  <si>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</si>
  <si>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</si>
  <si>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</si>
  <si>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</si>
  <si>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</si>
  <si>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</si>
  <si>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</si>
  <si>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</si>
  <si>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</si>
  <si>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</si>
  <si>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</si>
  <si>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</si>
  <si>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</si>
  <si>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</si>
  <si>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</si>
  <si>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</si>
  <si>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</si>
  <si>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</si>
  <si>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</si>
  <si>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</si>
  <si>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</si>
  <si>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</si>
  <si>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</si>
  <si>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</si>
  <si>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</si>
  <si>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</si>
  <si>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</si>
  <si>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</si>
  <si>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</si>
  <si>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</si>
  <si>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</si>
  <si>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</si>
  <si>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</si>
  <si>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</si>
  <si>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</si>
  <si>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</si>
  <si>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</si>
  <si>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</si>
  <si>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</si>
  <si>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</si>
  <si>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</si>
  <si>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</si>
  <si>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</si>
  <si>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</si>
  <si>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</si>
  <si>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</si>
  <si>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</si>
  <si>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</si>
  <si>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</si>
  <si>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</si>
  <si>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</si>
  <si>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</si>
  <si>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</si>
  <si>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</si>
  <si>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</si>
  <si>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</si>
  <si>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</si>
  <si>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</si>
  <si>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</si>
  <si>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</si>
  <si>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</si>
  <si>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</si>
  <si>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</si>
  <si>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</si>
  <si>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</si>
  <si>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</si>
  <si>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</si>
  <si>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</si>
  <si>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</si>
  <si>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</si>
  <si>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</si>
  <si>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</si>
  <si>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</si>
  <si>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</si>
  <si>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</si>
  <si>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</si>
  <si>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</si>
  <si>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</si>
  <si>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</si>
  <si>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</si>
  <si>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</si>
  <si>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</si>
  <si>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</si>
  <si>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</si>
  <si>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</si>
  <si>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</si>
  <si>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</si>
  <si>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</si>
  <si>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</si>
  <si>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</si>
  <si>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</si>
  <si>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</si>
  <si>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</si>
  <si>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</si>
  <si>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</si>
  <si>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</si>
  <si>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</si>
  <si>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</si>
  <si>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</si>
  <si>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</si>
  <si>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</si>
  <si>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</si>
  <si>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</si>
  <si>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</si>
  <si>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</si>
  <si>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PedBerMedIV!$B$3</t>
  </si>
  <si>
    <t>PedBerMedIV!$B$4</t>
  </si>
  <si>
    <t>PedBerMedIV!$B$5</t>
  </si>
  <si>
    <t>PedBerMedIV!$B$6</t>
  </si>
  <si>
    <t>PedBerMedIV!$B$7</t>
  </si>
  <si>
    <t>PedBerMedIV!$B$8</t>
  </si>
  <si>
    <t>PedBerMedIV!$B$9</t>
  </si>
  <si>
    <t>PedBerMedIV!$B$10</t>
  </si>
  <si>
    <t>PedBerMedIV!$B$11</t>
  </si>
  <si>
    <t>PedBerMedIV!$B$12</t>
  </si>
  <si>
    <t>PedBerMedIV!$B$13</t>
  </si>
  <si>
    <t>PedBerMedIV!$B$14</t>
  </si>
  <si>
    <t>PedBerMedIV!$B$15</t>
  </si>
  <si>
    <t>PedBerMedIV!$B$16</t>
  </si>
  <si>
    <t>PedBerMedIV!$B$17</t>
  </si>
  <si>
    <t>PedBerMedIV!$I$3</t>
  </si>
  <si>
    <t>PedBerMedIV!$I$4</t>
  </si>
  <si>
    <t>PedBerMedIV!$I$5</t>
  </si>
  <si>
    <t>PedBerMedIV!$I$6</t>
  </si>
  <si>
    <t>PedBerMedIV!$I$7</t>
  </si>
  <si>
    <t>PedBerMedIV!$I$8</t>
  </si>
  <si>
    <t>PedBerMedIV!$I$9</t>
  </si>
  <si>
    <t>PedBerMedIV!$I$10</t>
  </si>
  <si>
    <t>PedBerMedIV!$I$11</t>
  </si>
  <si>
    <t>PedBerMedIV!$I$12</t>
  </si>
  <si>
    <t>PedBerMedIV!$I$13</t>
  </si>
  <si>
    <t>PedBerMedIV!$I$14</t>
  </si>
  <si>
    <t>PedBerMedIV!$I$15</t>
  </si>
  <si>
    <t>PedBerMedIV!$I$16</t>
  </si>
  <si>
    <t>PedBerMedIV!$I$17</t>
  </si>
  <si>
    <t>PedBerMedIV!$E$3</t>
  </si>
  <si>
    <t>PedBerMedIV!$E$4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</si>
  <si>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</si>
  <si>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</si>
  <si>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</si>
  <si>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</si>
  <si>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</si>
  <si>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</si>
  <si>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</si>
  <si>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</si>
  <si>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</si>
  <si>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</si>
  <si>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</si>
  <si>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</si>
  <si>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</si>
  <si>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PedBerMedIV!$J$3</t>
  </si>
  <si>
    <t>PedBerMedIV!$J$4</t>
  </si>
  <si>
    <t>PedBerMedIV!$J$5</t>
  </si>
  <si>
    <t>PedBerMedIV!$J$6</t>
  </si>
  <si>
    <t>PedBerMedIV!$J$7</t>
  </si>
  <si>
    <t>PedBerMedIV!$J$8</t>
  </si>
  <si>
    <t>PedBerMedIV!$J$9</t>
  </si>
  <si>
    <t>PedBerMedIV!$J$10</t>
  </si>
  <si>
    <t>PedBerMedIV!$J$11</t>
  </si>
  <si>
    <t>PedBerMedIV!$J$12</t>
  </si>
  <si>
    <t>PedBerMedIV!$J$13</t>
  </si>
  <si>
    <t>PedBerMedIV!$J$14</t>
  </si>
  <si>
    <t>PedBerMedIV!$J$15</t>
  </si>
  <si>
    <t>PedBerMedIV!$J$16</t>
  </si>
  <si>
    <t>PedBerMedIV!$J$17</t>
  </si>
  <si>
    <t>PedBerMedIV!$D$3</t>
  </si>
  <si>
    <t>PedBerMedIV!$D$4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</si>
  <si>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</si>
  <si>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</si>
  <si>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</si>
  <si>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</si>
  <si>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</si>
  <si>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</si>
  <si>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</si>
  <si>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</si>
  <si>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</si>
  <si>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</si>
  <si>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</si>
  <si>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</si>
  <si>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</si>
  <si>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NeoBer1700!$K$52</t>
  </si>
  <si>
    <t>NeoBer1700!$K$53</t>
  </si>
  <si>
    <t>NeoBer1700!$K$54</t>
  </si>
  <si>
    <t>NeoBer1700!$K$55</t>
  </si>
  <si>
    <t>NeoBer1700!$K$56</t>
  </si>
  <si>
    <t>NeoBer1700!$K$58</t>
  </si>
  <si>
    <t>NeoBer1700!$K$59</t>
  </si>
  <si>
    <t>NeoBer1700!$K$60</t>
  </si>
  <si>
    <t>NeoBer1700!$K$61</t>
  </si>
  <si>
    <t>NeoTblLijst!$AB$3:$AB$5</t>
  </si>
  <si>
    <t>NeoTblLijst!$M$51:$Y$52</t>
  </si>
  <si>
    <t>NeoTblLijst!$L$44:$Y$48</t>
  </si>
  <si>
    <t>NeoTblLijst!$L$33:$Y$39</t>
  </si>
  <si>
    <t>NeoTblLijst!$AC$3:$AC$13</t>
  </si>
  <si>
    <t>NeoPrtWerkbrAct!$N$6</t>
  </si>
  <si>
    <t>NeoPrtWerkbrAct!$M$6</t>
  </si>
  <si>
    <t>NeoPrtWerkbrAct!$A$6</t>
  </si>
  <si>
    <t>NeoPrtWerkbrAct!$C$6</t>
  </si>
  <si>
    <t>NeoPrtWerkbrAct!$N$10</t>
  </si>
  <si>
    <t>NeoPrtWerkbrAct!$M$10</t>
  </si>
  <si>
    <t>NeoPrtWerkbrAct!$H$10</t>
  </si>
  <si>
    <t>NeoPrtWerkbrAct!$N$16</t>
  </si>
  <si>
    <t>NeoPrtWerkbrAct!$M$16</t>
  </si>
  <si>
    <t>NeoPrtWerkbrAct!$H$16</t>
  </si>
  <si>
    <t>NeoPrtWerkbrAct!$N$9</t>
  </si>
  <si>
    <t>NeoPrtWerkbrAct!$M$9</t>
  </si>
  <si>
    <t>NeoPrtWerkbrAct!$H$9</t>
  </si>
  <si>
    <t>NeoPrtWerkbrAct!$N$11</t>
  </si>
  <si>
    <t>NeoPrtWerkbrAct!$M$11</t>
  </si>
  <si>
    <t>NeoPrtWerkbrAct!$H$11</t>
  </si>
  <si>
    <t>NeoPrtWerkbrAct!$N$8</t>
  </si>
  <si>
    <t>NeoPrtWerkbrAct!$M$8</t>
  </si>
  <si>
    <t>NeoPrtWerkbrAct!$H$8</t>
  </si>
  <si>
    <t>NeoPrtWerkbrAct!$N$14</t>
  </si>
  <si>
    <t>NeoPrtWerkbrAct!$M$14</t>
  </si>
  <si>
    <t>NeoPrtWerkbrAct!$H$14</t>
  </si>
  <si>
    <t>NeoPrtWerkbrAct!$N$13</t>
  </si>
  <si>
    <t>NeoPrtWerkbrAct!$M$13</t>
  </si>
  <si>
    <t>NeoPrtWerkbrAct!$H$13</t>
  </si>
  <si>
    <t>NeoPrtWerkbrAct!$N$15</t>
  </si>
  <si>
    <t>NeoPrtWerkbrAct!$M$15</t>
  </si>
  <si>
    <t>NeoPrtWerkbrAct!$H$15</t>
  </si>
  <si>
    <t>NeoPrtWerkbrAct!$N$12</t>
  </si>
  <si>
    <t>NeoPrtWerkbrAct!$M$12</t>
  </si>
  <si>
    <t>NeoPrtWerkbrAct!$H$12</t>
  </si>
  <si>
    <t>NeoPrtWerkbrAct!$A$8</t>
  </si>
  <si>
    <t>NeoPrtWerkbrAct!$N$17</t>
  </si>
  <si>
    <t>NeoPrtWerkbrAct!$M$17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</si>
  <si>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</si>
  <si>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</si>
  <si>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</si>
  <si>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</si>
  <si>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</si>
  <si>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</si>
  <si>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</si>
  <si>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</si>
  <si>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</si>
  <si>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</si>
  <si>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</si>
  <si>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</si>
  <si>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</si>
  <si>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</si>
  <si>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</si>
  <si>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</si>
  <si>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</si>
  <si>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</si>
  <si>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</si>
  <si>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</si>
  <si>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</si>
  <si>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</si>
  <si>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</si>
  <si>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</si>
  <si>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</si>
  <si>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</si>
  <si>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</si>
  <si>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</si>
  <si>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</si>
  <si>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</si>
  <si>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</si>
  <si>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</si>
  <si>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</si>
  <si>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</si>
  <si>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</si>
  <si>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</si>
  <si>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</si>
  <si>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</si>
  <si>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</si>
  <si>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</si>
  <si>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</si>
  <si>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</si>
  <si>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</si>
  <si>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</si>
  <si>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</si>
  <si>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</si>
  <si>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</si>
  <si>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</si>
  <si>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</si>
  <si>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</si>
  <si>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</si>
  <si>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</si>
  <si>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</si>
  <si>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</si>
  <si>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</si>
  <si>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</si>
  <si>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</si>
  <si>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</si>
  <si>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</si>
  <si>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</si>
  <si>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</si>
  <si>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</si>
  <si>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</si>
  <si>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</si>
  <si>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</si>
  <si>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</si>
  <si>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</si>
  <si>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</si>
  <si>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</si>
  <si>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</si>
  <si>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</si>
  <si>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</si>
  <si>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</si>
  <si>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</si>
  <si>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</si>
  <si>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</si>
  <si>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</si>
  <si>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</si>
  <si>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</si>
  <si>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</si>
  <si>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</si>
  <si>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</si>
  <si>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</si>
  <si>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</si>
  <si>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</si>
  <si>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</si>
  <si>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</si>
  <si>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</si>
  <si>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</si>
  <si>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</si>
  <si>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</si>
  <si>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</si>
  <si>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</si>
  <si>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</si>
  <si>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</si>
  <si>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</si>
  <si>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</si>
  <si>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</si>
  <si>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</si>
  <si>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</si>
  <si>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</si>
  <si>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</si>
  <si>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</si>
  <si>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</si>
  <si>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</si>
  <si>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</si>
  <si>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</si>
  <si>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</si>
  <si>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</si>
  <si>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</si>
  <si>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</si>
  <si>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</si>
  <si>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</si>
  <si>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</si>
  <si>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</si>
  <si>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</si>
  <si>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</si>
  <si>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</si>
  <si>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</si>
  <si>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</si>
  <si>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</si>
  <si>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</si>
  <si>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</si>
  <si>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</si>
  <si>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</si>
  <si>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</si>
  <si>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</si>
  <si>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</si>
  <si>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</si>
  <si>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</si>
  <si>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</si>
  <si>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</si>
  <si>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</si>
  <si>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</si>
  <si>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</si>
  <si>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</si>
  <si>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</si>
  <si>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</si>
  <si>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</si>
  <si>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</si>
  <si>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</si>
  <si>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</si>
  <si>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</si>
  <si>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</si>
  <si>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</si>
  <si>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</si>
  <si>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</si>
  <si>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</si>
  <si>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</si>
  <si>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</si>
  <si>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</si>
  <si>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PedBerTPN!$E$9</t>
  </si>
  <si>
    <t>NeoTblLijst!$J$3:$K$11</t>
  </si>
  <si>
    <t>NeoTblLijst!$K$3:$K$8</t>
  </si>
  <si>
    <t>PedBerTPN!$C$8</t>
  </si>
  <si>
    <t>PedBerTPN!$C$22</t>
  </si>
  <si>
    <t>PedBerTPN!$E$8</t>
  </si>
  <si>
    <t>PedBerTPN!$E$22</t>
  </si>
  <si>
    <t>PedBerTPN!$C$11</t>
  </si>
  <si>
    <t>PedBerTPN!$E$11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</si>
  <si>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</si>
  <si>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</si>
  <si>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</si>
  <si>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</si>
  <si>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</si>
  <si>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</si>
  <si>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</si>
  <si>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</si>
  <si>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</si>
  <si>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</si>
  <si>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</si>
  <si>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</si>
  <si>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</si>
  <si>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</si>
  <si>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</si>
  <si>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</si>
  <si>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</si>
  <si>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</si>
  <si>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</si>
  <si>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</si>
  <si>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</si>
  <si>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</si>
  <si>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</si>
  <si>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</si>
  <si>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</si>
  <si>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</si>
  <si>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</si>
  <si>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</si>
  <si>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</si>
  <si>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</si>
  <si>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</si>
  <si>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</si>
  <si>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</si>
  <si>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</si>
  <si>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</si>
  <si>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</si>
  <si>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</si>
  <si>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</si>
  <si>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</si>
  <si>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</si>
  <si>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</si>
  <si>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</si>
  <si>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</si>
  <si>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</si>
  <si>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</si>
  <si>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</si>
  <si>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</si>
  <si>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</si>
  <si>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</si>
  <si>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</si>
  <si>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</si>
  <si>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</si>
  <si>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</si>
  <si>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</si>
  <si>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</si>
  <si>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</si>
  <si>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</si>
  <si>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</si>
  <si>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</si>
  <si>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</si>
  <si>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</si>
  <si>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</si>
  <si>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</si>
  <si>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</si>
  <si>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</si>
  <si>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</si>
  <si>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</si>
  <si>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</si>
  <si>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</si>
  <si>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</si>
  <si>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</si>
  <si>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</si>
  <si>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</si>
  <si>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</si>
  <si>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</si>
  <si>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</si>
  <si>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</si>
  <si>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</si>
  <si>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</si>
  <si>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</si>
  <si>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</si>
  <si>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</si>
  <si>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</si>
  <si>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</si>
  <si>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</si>
  <si>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</si>
  <si>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</si>
  <si>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</si>
  <si>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</si>
  <si>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</si>
  <si>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</si>
  <si>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</si>
  <si>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</si>
  <si>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</si>
  <si>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</si>
  <si>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</si>
  <si>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</si>
  <si>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</si>
  <si>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</si>
  <si>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</si>
  <si>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</si>
  <si>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</si>
  <si>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</si>
  <si>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</si>
  <si>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</si>
  <si>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</si>
  <si>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</si>
  <si>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</si>
  <si>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</si>
  <si>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</si>
  <si>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</si>
  <si>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</si>
  <si>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</si>
  <si>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</si>
  <si>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</si>
  <si>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</si>
  <si>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</si>
  <si>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</si>
  <si>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</si>
  <si>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</si>
  <si>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</si>
  <si>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</si>
  <si>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</si>
  <si>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</si>
  <si>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</si>
  <si>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</si>
  <si>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</si>
  <si>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</si>
  <si>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</si>
  <si>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</si>
  <si>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</si>
  <si>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</si>
  <si>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</si>
  <si>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</si>
  <si>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</si>
  <si>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</si>
  <si>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</si>
  <si>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</si>
  <si>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</si>
  <si>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</si>
  <si>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</si>
  <si>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</si>
  <si>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</si>
  <si>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</si>
  <si>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</si>
  <si>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</si>
  <si>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</si>
  <si>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</si>
  <si>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</si>
  <si>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</si>
  <si>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</si>
  <si>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</si>
  <si>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</si>
  <si>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</si>
  <si>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</si>
  <si>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</si>
  <si>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</si>
  <si>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</si>
  <si>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</si>
  <si>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</si>
  <si>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</si>
  <si>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</si>
  <si>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</si>
  <si>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</si>
  <si>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</si>
  <si>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</si>
  <si>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</si>
  <si>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</si>
  <si>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</si>
  <si>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</si>
  <si>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</si>
  <si>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</si>
  <si>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</si>
  <si>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</si>
  <si>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</si>
  <si>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</si>
  <si>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</si>
  <si>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</si>
  <si>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</si>
  <si>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</si>
  <si>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</si>
  <si>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</si>
  <si>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</si>
  <si>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</si>
  <si>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</si>
  <si>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</si>
  <si>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</si>
  <si>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</si>
  <si>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</si>
  <si>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</si>
  <si>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</si>
  <si>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</si>
  <si>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</si>
  <si>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</si>
  <si>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</si>
  <si>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</si>
  <si>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</si>
  <si>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</si>
  <si>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</si>
  <si>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</si>
  <si>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</si>
  <si>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</si>
  <si>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</si>
  <si>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</si>
  <si>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</si>
  <si>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</si>
  <si>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</si>
  <si>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</si>
  <si>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</si>
  <si>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</si>
  <si>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</si>
  <si>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</si>
  <si>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</si>
  <si>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</si>
  <si>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</si>
  <si>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</si>
  <si>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</si>
  <si>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</si>
  <si>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</si>
  <si>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</si>
  <si>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</si>
  <si>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</si>
  <si>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</si>
  <si>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</si>
  <si>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</si>
  <si>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</si>
  <si>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</si>
  <si>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</si>
  <si>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</si>
  <si>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</si>
  <si>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</si>
  <si>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</si>
  <si>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</si>
  <si>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</si>
  <si>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</si>
  <si>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</si>
  <si>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</si>
  <si>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</si>
  <si>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</si>
  <si>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</si>
  <si>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</si>
  <si>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</si>
  <si>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</si>
  <si>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</si>
  <si>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</si>
  <si>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</si>
  <si>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</si>
  <si>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</si>
  <si>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</si>
  <si>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</si>
  <si>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</si>
  <si>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</si>
  <si>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</si>
  <si>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</si>
  <si>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</si>
  <si>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</si>
  <si>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</si>
  <si>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</si>
  <si>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</si>
  <si>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</si>
  <si>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</si>
  <si>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</si>
  <si>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</si>
  <si>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</si>
  <si>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</si>
  <si>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</si>
  <si>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</si>
  <si>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</si>
  <si>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</si>
  <si>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</si>
  <si>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</si>
  <si>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</si>
  <si>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</si>
  <si>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</si>
  <si>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</si>
  <si>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</si>
  <si>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</si>
  <si>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</si>
  <si>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</si>
  <si>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</si>
  <si>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</si>
  <si>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NeoTblLijst!$M$44:$Y$48</t>
  </si>
  <si>
    <t>NeoTblLijst!$M$33:$Y$39</t>
  </si>
  <si>
    <t>NeoTblLijst!$M$3:$Z$19</t>
  </si>
  <si>
    <t>NeoTblLijst!$M$43:$Y$48</t>
  </si>
  <si>
    <t>NeoTblLijst!$M$32:$Y$39</t>
  </si>
  <si>
    <t>NeoTblLijst!$M$2:$Z$19</t>
  </si>
  <si>
    <t>NeoTblLijst!$AE$3:$AE$4</t>
  </si>
  <si>
    <t>NeoTblLijst!$L$44:$L$48</t>
  </si>
  <si>
    <t>NeoTblLijst!$L$33:$L$39</t>
  </si>
  <si>
    <t>PedBerTPN!$D$12</t>
  </si>
  <si>
    <t>NeoTblMedIV!$B$2:$K$26</t>
  </si>
  <si>
    <t>PedBerTPN!$C$10</t>
  </si>
  <si>
    <t>PedBerTPN!$E$10</t>
  </si>
  <si>
    <t>PedBerTPN!$C$7</t>
  </si>
  <si>
    <t>PedBerTPN!$C$21</t>
  </si>
  <si>
    <t>PedBerTPN!$E$7</t>
  </si>
  <si>
    <t>PedBerTPN!$E$21</t>
  </si>
  <si>
    <t>NeoTblLijst!$A$3:$H$18</t>
  </si>
  <si>
    <t>PedBerTPN!$E$5</t>
  </si>
  <si>
    <t>NeoTblLijst!$M$3:$Y$19</t>
  </si>
  <si>
    <t>NeoGuiAcuut!$B$2:$G$31</t>
  </si>
  <si>
    <t>NeoPrtAfspr!$A$1:$Q$68</t>
  </si>
  <si>
    <t>NeoPrtApoth!$A$1:$Q$63</t>
  </si>
  <si>
    <t>NeoPrtMedDisc!$B$1:$AG$22</t>
  </si>
  <si>
    <t>NeoPrtWerkbr!$A$1:$P$55</t>
  </si>
  <si>
    <t>PedGuiAcuut!$B$2:$G$44</t>
  </si>
  <si>
    <t>PedPrtAfspr!$A$2:$J$127</t>
  </si>
  <si>
    <t>PedPrtMedDisc!$B$1:$AG$22</t>
  </si>
  <si>
    <t>PedPrtTPN16tot30!$A$1:$H$48</t>
  </si>
  <si>
    <t>PedPrtTPN2tot6!$A$1:$H$48</t>
  </si>
  <si>
    <t>PedPrtTPN50!$A$1:$H$52</t>
  </si>
  <si>
    <t>PedPrtTPN7tot15!$A$1:$H$50</t>
  </si>
  <si>
    <t>PedTPN31tot50!$A$1:$H$49</t>
  </si>
  <si>
    <t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t>
  </si>
  <si>
    <t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t>
  </si>
  <si>
    <t>NeoBerLab!$C$4:$C$35,NeoBerLab!$E$4:$E$34,NeoBerLab!$G$4:$G$34,NeoBerLab!$I$4:$I$34,NeoBerLab!$K$4:$K$34,NeoBerLab!$M$4:$M$34,NeoBerLab!$O$4:$O$34,NeoBerLab!$Q$4:$Q$34,NeoBerLab!$S$4:$S$34,NeoBerLab!$D$38</t>
  </si>
  <si>
    <t>PedBerLab!$C$4:$C$35,PedBerLab!$E$4:$E$34,PedBerLab!$G$4:$G$34,PedBerLab!$I$4:$I$34,PedBerLab!$L$4:$L$34,PedBerLab!$N$4:$N$34,PedBerLab!$P$4:$P$34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</si>
  <si>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</si>
  <si>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</si>
  <si>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</si>
  <si>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</si>
  <si>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</si>
  <si>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</si>
  <si>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</si>
  <si>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</si>
  <si>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</si>
  <si>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PedBerTPN!$C$15</t>
  </si>
  <si>
    <t>PedBerTPN!$E$15</t>
  </si>
  <si>
    <t>PedBerTPN!$D$19</t>
  </si>
  <si>
    <t>PedBerTPN!$B$6</t>
  </si>
  <si>
    <t>PedBerTPN!$B$20</t>
  </si>
  <si>
    <t>PedBerTPN!$D$3</t>
  </si>
  <si>
    <t>NeoGuiAcuut!$L$22:$N$24</t>
  </si>
  <si>
    <t>PedTblIV!$A$2:$A$34</t>
  </si>
  <si>
    <t>PedTblIV!$A$2:$C$34</t>
  </si>
  <si>
    <t>PedTblMedDisc!$E$2:$E$7</t>
  </si>
  <si>
    <t>PedTblMedDisc!$B$2:$B$5</t>
  </si>
  <si>
    <t>PedTblMedDisc!$C$2:$D$14</t>
  </si>
  <si>
    <t>PedTblMedDisc!$C$2:$C$14</t>
  </si>
  <si>
    <t>PedTblMedDisc!$D$2:$D$14</t>
  </si>
  <si>
    <t>PedTblMedDisc!$A$2:$A$13</t>
  </si>
  <si>
    <t>PedTblMedIV!$B$3:$W$34</t>
  </si>
  <si>
    <t>NeoTblVoed!$E$4</t>
  </si>
  <si>
    <t>NeoTblVoed!$J$4</t>
  </si>
  <si>
    <t>NeoTblVoed!$H$4</t>
  </si>
  <si>
    <t>NeoTblVoed!$D$4</t>
  </si>
  <si>
    <t>NeoTblVoed!$G$4</t>
  </si>
  <si>
    <t>NeoTblVoed!$C$4</t>
  </si>
  <si>
    <t>NeoTblVoed!$F$4</t>
  </si>
  <si>
    <t>NeoTblVoed!$I$4</t>
  </si>
  <si>
    <t>PedTblMedIV!$A$3:$B$34</t>
  </si>
  <si>
    <t>PedTblIV!$F$2:$F$5</t>
  </si>
  <si>
    <t>PedTblIV!$E$2:$E$5</t>
  </si>
  <si>
    <t>PedTblVoed!$C$3:$O$27</t>
  </si>
  <si>
    <t>PedTblVoed!$C$31:$C$54</t>
  </si>
  <si>
    <t>PedTblVoed!$C$31:$O$54</t>
  </si>
  <si>
    <t>PedTblVoed!$Q$2:$Q$6</t>
  </si>
  <si>
    <t>PedBerTPN!$K$27:$K$40</t>
  </si>
  <si>
    <t>PedBerTPN!$A$27:$I$28</t>
  </si>
  <si>
    <t>NeoTblVoed!$B$8:$N$44</t>
  </si>
  <si>
    <t>PedTblVoed!$C$3:$C$27</t>
  </si>
  <si>
    <t>NeoTblVoed!$B$49:$N$75</t>
  </si>
  <si>
    <t>PedBerTPN!$B$4</t>
  </si>
  <si>
    <t>PedBerTPN!$A$29:$I$29</t>
  </si>
  <si>
    <t>PedBerTPN!$A$30:$I$30</t>
  </si>
  <si>
    <t>PedBerTPN!$A$31:$I$31</t>
  </si>
  <si>
    <t>PedBerTPN!$A$32:$I$32</t>
  </si>
  <si>
    <t>NeoTblLijst!$M$25:$V$26</t>
  </si>
  <si>
    <t>PedBerTPN!$A$33:$I$33</t>
  </si>
  <si>
    <t>PedBerTPN!$A$28:$I$28</t>
  </si>
  <si>
    <t>PedBerTPN!$E$4</t>
  </si>
  <si>
    <t>PedBerTPN!$C$14</t>
  </si>
  <si>
    <t>PedBerTPN!$E$14</t>
  </si>
  <si>
    <t>_Neo_AfsprMRI</t>
  </si>
  <si>
    <t>GlobNames!_FilterDatabase</t>
  </si>
  <si>
    <t>tbl_Ped_aEEG</t>
  </si>
  <si>
    <t>tbl_Ped_NIBD</t>
  </si>
  <si>
    <t>tbl_Ped_LiquorDrain</t>
  </si>
  <si>
    <t>_Ped_AfsprOverig</t>
  </si>
  <si>
    <t>tbl_Ped_Periode</t>
  </si>
  <si>
    <t>tbl_Ped_DrainZuig</t>
  </si>
  <si>
    <t>tbl_Ped_DrainLokatie</t>
  </si>
  <si>
    <t>tbl_Ped_DrainModus</t>
  </si>
  <si>
    <t>tbl_Ped_VertrekTijden</t>
  </si>
  <si>
    <t>tbl_Ped_Lijnen</t>
  </si>
  <si>
    <t>_Neo_AfsprB_WondkweekTekst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</si>
  <si>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</si>
  <si>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</si>
  <si>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</si>
  <si>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</si>
  <si>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</si>
  <si>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</si>
  <si>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</si>
  <si>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</si>
  <si>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</si>
  <si>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</si>
  <si>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</si>
  <si>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</si>
  <si>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</si>
  <si>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</si>
  <si>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</si>
  <si>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</si>
  <si>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</si>
  <si>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</si>
  <si>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</si>
  <si>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</si>
  <si>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</si>
  <si>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</si>
  <si>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</si>
  <si>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</si>
  <si>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</si>
  <si>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</si>
  <si>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</si>
  <si>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</si>
  <si>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</si>
  <si>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</si>
  <si>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</si>
  <si>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</si>
  <si>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</si>
  <si>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</si>
  <si>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</si>
  <si>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</si>
  <si>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</si>
  <si>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</si>
  <si>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</si>
  <si>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</si>
  <si>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</si>
  <si>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</si>
  <si>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</si>
  <si>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</si>
  <si>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</si>
  <si>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</si>
  <si>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</si>
  <si>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</si>
  <si>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</si>
  <si>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</si>
  <si>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</si>
  <si>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</si>
  <si>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</si>
  <si>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</si>
  <si>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</si>
  <si>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</si>
  <si>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</si>
  <si>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</si>
  <si>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</si>
  <si>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</si>
  <si>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</si>
  <si>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</si>
  <si>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</si>
  <si>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</si>
  <si>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</si>
  <si>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</si>
  <si>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</si>
  <si>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</si>
  <si>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</si>
  <si>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</si>
  <si>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</si>
  <si>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</si>
  <si>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</si>
  <si>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</si>
  <si>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</si>
  <si>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</si>
  <si>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</si>
  <si>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</si>
  <si>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</si>
  <si>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</si>
  <si>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</si>
  <si>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</si>
  <si>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</si>
  <si>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</si>
  <si>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</si>
  <si>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</si>
  <si>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</si>
  <si>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</si>
  <si>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</si>
  <si>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</si>
  <si>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</si>
  <si>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</si>
  <si>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</si>
  <si>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</si>
  <si>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</si>
  <si>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</si>
  <si>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</si>
  <si>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</si>
  <si>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</si>
  <si>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</si>
  <si>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</si>
  <si>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</si>
  <si>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</si>
  <si>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</si>
  <si>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</si>
  <si>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</si>
  <si>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</si>
  <si>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</si>
  <si>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</si>
  <si>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</si>
  <si>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</si>
  <si>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</si>
  <si>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</si>
  <si>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</si>
  <si>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</si>
  <si>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</si>
  <si>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</si>
  <si>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</si>
  <si>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</si>
  <si>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</si>
  <si>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</si>
  <si>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</si>
  <si>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</si>
  <si>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</si>
  <si>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</si>
  <si>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</si>
  <si>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</si>
  <si>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</si>
  <si>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</si>
  <si>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</si>
  <si>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</si>
  <si>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</si>
  <si>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</si>
  <si>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</si>
  <si>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</si>
  <si>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</si>
  <si>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</si>
  <si>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</si>
  <si>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</si>
  <si>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</si>
  <si>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</si>
  <si>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</si>
  <si>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</si>
  <si>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</si>
  <si>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</si>
  <si>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</si>
  <si>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</si>
  <si>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</si>
  <si>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</si>
  <si>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</si>
  <si>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</si>
  <si>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</si>
  <si>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</si>
  <si>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</si>
  <si>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</si>
  <si>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</si>
  <si>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</si>
  <si>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</si>
  <si>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</si>
  <si>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</si>
  <si>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</si>
  <si>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</si>
  <si>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</si>
  <si>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</si>
  <si>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</si>
  <si>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</si>
  <si>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</si>
  <si>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</si>
  <si>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</si>
  <si>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</si>
  <si>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</si>
  <si>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</si>
  <si>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</si>
  <si>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</si>
  <si>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</si>
  <si>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</si>
  <si>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</si>
  <si>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</si>
  <si>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tbl_Neo_NutrKunstToev</t>
  </si>
  <si>
    <t>tbl_Neo_NutrMMToev</t>
  </si>
  <si>
    <t>tbl_Neo_NutrBMFToev</t>
  </si>
  <si>
    <t>tbl_Neo_NutrBMFWaard</t>
  </si>
  <si>
    <t>tbl_Neo_NutrToevWaard</t>
  </si>
  <si>
    <t>IsFormula</t>
  </si>
  <si>
    <t>Var_Neo_AfsprOnderzoek</t>
  </si>
  <si>
    <t>Var_Neo_AfsprOverig</t>
  </si>
  <si>
    <t>Var_Neo_GebDat1700</t>
  </si>
  <si>
    <t>Var_Neo_Gew1700</t>
  </si>
  <si>
    <t>Var_Neo_Dag</t>
  </si>
  <si>
    <t>Var_Glob_Versie</t>
  </si>
  <si>
    <t>tbl_Glob_Patient</t>
  </si>
  <si>
    <t>tbl_Neo_Dose</t>
  </si>
  <si>
    <t>tbl_Neo_FaktorLijst</t>
  </si>
  <si>
    <t>tbl_Neo_Opl</t>
  </si>
  <si>
    <t>tbl_Ped_PMInstelling</t>
  </si>
  <si>
    <t>tbl_Ped_PMStandaard</t>
  </si>
  <si>
    <t>tbl_Neo_Pos</t>
  </si>
  <si>
    <t>tbl_ReservePat</t>
  </si>
  <si>
    <t>tbl_Neo_Tube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</si>
  <si>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</si>
  <si>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</si>
  <si>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</si>
  <si>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</si>
  <si>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</si>
  <si>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</si>
  <si>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</si>
  <si>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</si>
  <si>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</si>
  <si>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</si>
  <si>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Var_Neo_Percentage1700_0</t>
  </si>
  <si>
    <t>Var_Neo_Percentage1700_1</t>
  </si>
  <si>
    <t>Var_Neo_Percentage1700_2</t>
  </si>
  <si>
    <t>Var_Neo_Percentage1700_3</t>
  </si>
  <si>
    <t>Var_Neo_Percentage1700_4</t>
  </si>
  <si>
    <t>Var_Neo_Percentage1700_5</t>
  </si>
  <si>
    <t>Var_Neo_Percentage1700_6</t>
  </si>
  <si>
    <t>Var_Neo_Percentage1700_7</t>
  </si>
  <si>
    <t>Var_Neo_Percentage1700_8</t>
  </si>
  <si>
    <t>Var_Neo_AfsprControles</t>
  </si>
  <si>
    <t>Var_Neo_AfsprInstellingen</t>
  </si>
  <si>
    <t>Var_Neo_AfsprKweken</t>
  </si>
  <si>
    <t>Var_Ped_AfsprControles</t>
  </si>
  <si>
    <t>Var_Ped_AfsprInstellingen</t>
  </si>
  <si>
    <t>Var_Ped_AfsprOnderzoeken</t>
  </si>
  <si>
    <t>Var_Ped_AfsprOverig</t>
  </si>
  <si>
    <t>tbl_Neo_LijstToevoegingenKV</t>
  </si>
  <si>
    <t>tbl_Neo_LijstToevoegingenMM</t>
  </si>
  <si>
    <t>tbl_Neo_LijstVoeding</t>
  </si>
  <si>
    <t>tbl_Neo_OpzoektabelKV</t>
  </si>
  <si>
    <t>tbl_Neo_OpzoektabelMM</t>
  </si>
  <si>
    <t>tbl_Neo_OpzoektabelVoeding</t>
  </si>
  <si>
    <t>tbl_Neo_IntralipidSmof</t>
  </si>
  <si>
    <t>tbl_Neo_ToevoegingenKVPrint</t>
  </si>
  <si>
    <t>tbl_Neo_ToevoegingenMMPrint</t>
  </si>
  <si>
    <t>tbl_Ped_tpnB</t>
  </si>
  <si>
    <t>tbl_Ped_tpnC</t>
  </si>
  <si>
    <t>tbl_Ped_tpnD</t>
  </si>
  <si>
    <t>tbl_Ped_tpnE</t>
  </si>
  <si>
    <t>tbl_Neo_TpnNICU</t>
  </si>
  <si>
    <t>tbl_Ped_tpnNutriflex</t>
  </si>
  <si>
    <t>tbl_Ped_tpnSelected</t>
  </si>
  <si>
    <t>Var_Neo_WerkbriefActueelIntravasaleToegangBreuk</t>
  </si>
  <si>
    <t>Var_Neo_WerkbriefActueelIntravasaleToegangGeheel</t>
  </si>
  <si>
    <t>Var_Neo_WerkbriefActueelIntravasaleToegangStand</t>
  </si>
  <si>
    <t>Var_Neo_WerkbriefActueelIntravasaleToegangTekst</t>
  </si>
  <si>
    <t>Var_Neo_WerkbriefActueelTPNCaClBreuk</t>
  </si>
  <si>
    <t>Var_Neo_WerkbriefActueelTPNCaClGeheel</t>
  </si>
  <si>
    <t>Var_Neo_WerkbriefActueelTPNCaClTekst</t>
  </si>
  <si>
    <t>Var_Neo_WerkbriefActueelTPNGlucBreuk</t>
  </si>
  <si>
    <t>Var_Neo_WerkbriefActueelTPNGlucGeheel</t>
  </si>
  <si>
    <t>Var_Neo_WerkbriefActueelTPNGlucTekst</t>
  </si>
  <si>
    <t>Var_Neo_WerkbriefActueelTPNKacetaatBreuk</t>
  </si>
  <si>
    <t>Var_Neo_WerkbriefActueelTPNKacetaatGeheel</t>
  </si>
  <si>
    <t>Var_Neo_WerkbriefActueelTPNKacetaatTekst</t>
  </si>
  <si>
    <t>Var_Neo_WerkbriefActueelTPNMgClBreuk</t>
  </si>
  <si>
    <t>Var_Neo_WerkbriefActueelTPNMgClGeheel</t>
  </si>
  <si>
    <t>Var_Neo_WerkbriefActueelTPNMgClTekst</t>
  </si>
  <si>
    <t>Var_Neo_WerkbriefActueelTPNNaClBreuk</t>
  </si>
  <si>
    <t>Var_Neo_WerkbriefActueelTPNNaClGeheel</t>
  </si>
  <si>
    <t>Var_Neo_WerkbriefActueelTPNNaCLTekst</t>
  </si>
  <si>
    <t>Var_Neo_WerkbriefActueelTPNNICUmixBreuk</t>
  </si>
  <si>
    <t>Var_Neo_WerkbriefActueelTPNNICUmixGeheel</t>
  </si>
  <si>
    <t>Var_Neo_WerkbriefActueelTPNNICUmixTekst</t>
  </si>
  <si>
    <t>Var_Neo_WerkbriefActueelTPNPrimeneBreuk</t>
  </si>
  <si>
    <t>Var_Neo_WerkbriefActueelTPNPrimeneGeheel</t>
  </si>
  <si>
    <t>Var_Neo_WerkbriefActueelTPNPrimeneTekst</t>
  </si>
  <si>
    <t>Var_Neo_WerkbriefActueelTPNSamBBreuk</t>
  </si>
  <si>
    <t>Var_Neo_WerkbriefActueelTPNSamBGeheel</t>
  </si>
  <si>
    <t>Var_Neo_WerkbriefActueelTPNSamBTekst</t>
  </si>
  <si>
    <t>Var_Neo_WerkbriefActueelTPNSoluvitBreuk</t>
  </si>
  <si>
    <t>Var_Neo_WerkbriefActueelTPNSoluvitGeheel</t>
  </si>
  <si>
    <t>Var_Neo_WerkbriefActueelTPNSoluvitTekst</t>
  </si>
  <si>
    <t>Var_Neo_WerkbriefActueelTPNStand</t>
  </si>
  <si>
    <t>Var_Neo_WerkbriefActueelTPNTotaalBreuk</t>
  </si>
  <si>
    <t>Var_Neo_WerkbriefActueelTPNTotaalGeheel</t>
  </si>
  <si>
    <t>Var_Neo_WerkbriefIntravasaleToegangBreuk</t>
  </si>
  <si>
    <t>Var_Neo_WerkbriefIntravasaleToegangGeheel</t>
  </si>
  <si>
    <t>Var_Neo_WerkbriefIntravasaleToegangStand</t>
  </si>
  <si>
    <t>Var_Neo_WerkbriefIntravasaleToegangTekst</t>
  </si>
  <si>
    <t>Var_Neo_WerkbriefTPNCaClBreuk</t>
  </si>
  <si>
    <t>Var_Neo_WerkbriefTPNCaClGeheel</t>
  </si>
  <si>
    <t>Var_Neo_WerkbriefTPNCaClTekst</t>
  </si>
  <si>
    <t>Var_Neo_WerkbriefTPNGlucBreuk</t>
  </si>
  <si>
    <t>Var_Neo_WerkbriefTPNGlucGeheel</t>
  </si>
  <si>
    <t>Var_Neo_WerkbriefTPNGlucTekst</t>
  </si>
  <si>
    <t>Var_Neo_WerkbriefTPNKacetaatBreuk</t>
  </si>
  <si>
    <t>Var_Neo_WerkbriefTPNKacetaatGeheel</t>
  </si>
  <si>
    <t>Var_Neo_WerkbriefTPNKacetaatTekst</t>
  </si>
  <si>
    <t>Var_Neo_WerkbriefTPNMgClBreuk</t>
  </si>
  <si>
    <t>Var_Neo_WerkbriefTPNMgClGeheel</t>
  </si>
  <si>
    <t>Var_Neo_WerkbriefTPNMgClTekst</t>
  </si>
  <si>
    <t>Var_Neo_WerkbriefTPNNaClBreuk</t>
  </si>
  <si>
    <t>Var_Neo_WerkbriefTPNNaClGeheel</t>
  </si>
  <si>
    <t>Var_Neo_WerkbriefTPNNaCLTekst</t>
  </si>
  <si>
    <t>Var_Neo_WerkbriefTPNNICUmixBreuk</t>
  </si>
  <si>
    <t>Var_Neo_WerkbriefTPNNICUmixGeheel</t>
  </si>
  <si>
    <t>Var_Neo_WerkbriefTPNNICUmixTekst</t>
  </si>
  <si>
    <t>Var_Neo_WerkbriefTPNPrimeneBreuk</t>
  </si>
  <si>
    <t>Var_Neo_WerkbriefTPNPrimeneGeheel</t>
  </si>
  <si>
    <t>Var_Neo_WerkbriefTPNPrimeneTekst</t>
  </si>
  <si>
    <t>Var_Neo_WerkbriefTPNSamBBreuk</t>
  </si>
  <si>
    <t>Var_Neo_WerkbriefTPNSamBGeheel</t>
  </si>
  <si>
    <t>Var_Neo_WerkbriefTPNSamBTekst</t>
  </si>
  <si>
    <t>Var_Neo_WerkbriefTPNSoluvitBreuk</t>
  </si>
  <si>
    <t>Var_Neo_WerkbriefTPNSoluvitGeheel</t>
  </si>
  <si>
    <t>Var_Neo_WerkbriefTPNSoluvitTekst</t>
  </si>
  <si>
    <t>Var_Neo_WerkbriefTPNStand</t>
  </si>
  <si>
    <t>Var_Neo_WerkbriefTPNTotaalBreuk</t>
  </si>
  <si>
    <t>Var_Neo_WerkbriefTPNTotaalGeheel</t>
  </si>
  <si>
    <t>Var_AfspraakDatum</t>
  </si>
  <si>
    <t>Var_Neo_Dag1700</t>
  </si>
  <si>
    <t>IsData</t>
  </si>
  <si>
    <t>IsNeo</t>
  </si>
  <si>
    <t>IsPed</t>
  </si>
  <si>
    <t>InPatData</t>
  </si>
  <si>
    <t>F:= TODAY()</t>
  </si>
  <si>
    <t>F:=TODAY()-B3+1+C3</t>
  </si>
  <si>
    <t>F:=__4_GebDatum</t>
  </si>
  <si>
    <t>F:=SUM(P2:P31)</t>
  </si>
  <si>
    <t>Blanco</t>
  </si>
  <si>
    <t>PatData!#REF!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</si>
  <si>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</si>
  <si>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</si>
  <si>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</si>
  <si>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</si>
  <si>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</si>
  <si>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</si>
  <si>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</si>
  <si>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</si>
  <si>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</si>
  <si>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</si>
  <si>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</si>
  <si>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</si>
  <si>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</si>
  <si>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</si>
  <si>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</si>
  <si>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</si>
  <si>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</si>
  <si>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</si>
  <si>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</si>
  <si>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</si>
  <si>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</si>
  <si>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</si>
  <si>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</si>
  <si>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</si>
  <si>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</si>
  <si>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</si>
  <si>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</si>
  <si>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</si>
  <si>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</si>
  <si>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</si>
  <si>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</si>
  <si>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</si>
  <si>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</si>
  <si>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</si>
  <si>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</si>
  <si>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</si>
  <si>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</si>
  <si>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</si>
  <si>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</si>
  <si>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</si>
  <si>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</si>
  <si>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</si>
  <si>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</si>
  <si>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</si>
  <si>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</si>
  <si>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</si>
  <si>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</si>
  <si>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</si>
  <si>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</si>
  <si>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</si>
  <si>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</si>
  <si>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</si>
  <si>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</si>
  <si>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</si>
  <si>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</si>
  <si>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</si>
  <si>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</si>
  <si>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</si>
  <si>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</si>
  <si>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</si>
  <si>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</si>
  <si>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</si>
  <si>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</si>
  <si>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</si>
  <si>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</si>
  <si>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</si>
  <si>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</si>
  <si>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</si>
  <si>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</si>
  <si>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</si>
  <si>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</si>
  <si>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</si>
  <si>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</si>
  <si>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</si>
  <si>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</si>
  <si>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</si>
  <si>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</si>
  <si>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</si>
  <si>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</si>
  <si>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</si>
  <si>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</si>
  <si>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</si>
  <si>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</si>
  <si>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</si>
  <si>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</si>
  <si>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</si>
  <si>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</si>
  <si>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</si>
  <si>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</si>
  <si>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</si>
  <si>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</si>
  <si>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</si>
  <si>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</si>
  <si>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</si>
  <si>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</si>
  <si>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</si>
  <si>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</si>
  <si>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</si>
  <si>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</si>
  <si>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</si>
  <si>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</si>
  <si>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</si>
  <si>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</si>
  <si>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</si>
  <si>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</si>
  <si>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</si>
  <si>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</si>
  <si>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</si>
  <si>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</si>
  <si>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</si>
  <si>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</si>
  <si>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</si>
  <si>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</si>
  <si>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</si>
  <si>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</si>
  <si>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</si>
  <si>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</si>
  <si>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</si>
  <si>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</si>
  <si>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</si>
  <si>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</si>
  <si>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</si>
  <si>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</si>
  <si>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</si>
  <si>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</si>
  <si>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</si>
  <si>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</si>
  <si>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</si>
  <si>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</si>
  <si>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</si>
  <si>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</si>
  <si>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</si>
  <si>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</si>
  <si>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</si>
  <si>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</si>
  <si>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</si>
  <si>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</si>
  <si>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</si>
  <si>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</si>
  <si>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</si>
  <si>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</si>
  <si>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</si>
  <si>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</si>
  <si>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</si>
  <si>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</si>
  <si>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</si>
  <si>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</si>
  <si>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</si>
  <si>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</si>
  <si>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</si>
  <si>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</si>
  <si>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</si>
  <si>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</si>
  <si>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</si>
  <si>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</si>
  <si>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</si>
  <si>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</si>
  <si>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</si>
  <si>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</si>
  <si>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</si>
  <si>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</si>
  <si>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</si>
  <si>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</si>
  <si>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</si>
  <si>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</si>
  <si>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</si>
  <si>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</si>
  <si>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</si>
  <si>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</si>
  <si>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</si>
  <si>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</si>
  <si>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</si>
  <si>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</si>
  <si>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</si>
  <si>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</si>
  <si>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</si>
  <si>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</si>
  <si>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</si>
  <si>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</si>
  <si>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</si>
  <si>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</si>
  <si>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</si>
  <si>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</si>
  <si>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</si>
  <si>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</si>
  <si>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</si>
  <si>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</si>
  <si>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</si>
  <si>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</si>
  <si>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</si>
  <si>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</si>
  <si>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</si>
  <si>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</si>
  <si>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</si>
  <si>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</si>
  <si>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</si>
  <si>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</si>
  <si>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</si>
  <si>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</si>
  <si>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</si>
  <si>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</si>
  <si>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</si>
  <si>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</si>
  <si>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</si>
  <si>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</si>
  <si>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</si>
  <si>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</si>
  <si>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</si>
  <si>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</si>
  <si>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</si>
  <si>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</si>
  <si>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</si>
  <si>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</si>
  <si>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</si>
  <si>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</si>
  <si>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</si>
  <si>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</si>
  <si>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</si>
  <si>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</si>
  <si>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</si>
  <si>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</si>
  <si>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</si>
  <si>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</si>
  <si>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</si>
  <si>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</si>
  <si>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</si>
  <si>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</si>
  <si>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</si>
  <si>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</si>
  <si>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</si>
  <si>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</si>
  <si>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</si>
  <si>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</si>
  <si>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</si>
  <si>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</si>
  <si>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</si>
  <si>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</si>
  <si>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</si>
  <si>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</si>
  <si>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</si>
  <si>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</si>
  <si>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</si>
  <si>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</si>
  <si>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</si>
  <si>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</si>
  <si>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</si>
  <si>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</si>
  <si>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</si>
  <si>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</si>
  <si>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</si>
  <si>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</si>
  <si>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</si>
  <si>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</si>
  <si>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</si>
  <si>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</si>
  <si>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</si>
  <si>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</si>
  <si>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</si>
  <si>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</si>
  <si>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</si>
  <si>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</si>
  <si>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</si>
  <si>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</si>
  <si>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</si>
  <si>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</si>
  <si>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</si>
  <si>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</si>
  <si>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</si>
  <si>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</si>
  <si>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</si>
  <si>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</si>
  <si>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</si>
  <si>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</si>
  <si>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</si>
  <si>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</si>
  <si>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</si>
  <si>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</si>
  <si>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</si>
  <si>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</si>
  <si>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</si>
  <si>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</si>
  <si>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</si>
  <si>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</si>
  <si>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</si>
  <si>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</si>
  <si>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</si>
  <si>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</si>
  <si>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</si>
  <si>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</si>
  <si>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</si>
  <si>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</si>
  <si>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</si>
  <si>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</si>
  <si>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</si>
  <si>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</si>
  <si>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</si>
  <si>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</si>
  <si>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</si>
  <si>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</si>
  <si>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</si>
  <si>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</si>
  <si>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</si>
  <si>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</si>
  <si>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</si>
  <si>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</si>
  <si>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</si>
  <si>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</si>
  <si>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</si>
  <si>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</si>
  <si>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</si>
  <si>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</si>
  <si>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</si>
  <si>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</si>
  <si>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</si>
  <si>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</si>
  <si>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</si>
  <si>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</si>
  <si>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</si>
  <si>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</si>
  <si>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</si>
  <si>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</si>
  <si>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</si>
  <si>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</si>
  <si>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</si>
  <si>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</si>
  <si>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</si>
  <si>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</si>
  <si>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</si>
  <si>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</si>
  <si>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</si>
  <si>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</si>
  <si>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</si>
  <si>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</si>
  <si>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</si>
  <si>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</si>
  <si>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</si>
  <si>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</si>
  <si>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</si>
  <si>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</si>
  <si>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</si>
  <si>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</si>
  <si>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</si>
  <si>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</si>
  <si>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</si>
  <si>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</si>
  <si>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</si>
  <si>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</si>
  <si>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</si>
  <si>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</si>
  <si>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</si>
  <si>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</si>
  <si>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</si>
  <si>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</si>
  <si>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</si>
  <si>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</si>
  <si>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</si>
  <si>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</si>
  <si>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</si>
  <si>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</si>
  <si>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</si>
  <si>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</si>
  <si>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</si>
  <si>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</si>
  <si>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</si>
  <si>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</si>
  <si>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</si>
  <si>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</si>
  <si>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</si>
  <si>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</si>
  <si>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</si>
  <si>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</si>
  <si>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</si>
  <si>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</si>
  <si>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</si>
  <si>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</si>
  <si>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</si>
  <si>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</si>
  <si>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</si>
  <si>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</si>
  <si>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</si>
  <si>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</si>
  <si>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</si>
  <si>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</si>
  <si>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</si>
  <si>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</si>
  <si>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</si>
  <si>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</si>
  <si>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</si>
  <si>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</si>
  <si>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</si>
  <si>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</si>
  <si>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</si>
  <si>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</si>
  <si>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</si>
  <si>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</si>
  <si>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</si>
  <si>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</si>
  <si>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</si>
  <si>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</si>
  <si>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</si>
  <si>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</si>
  <si>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</si>
  <si>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</si>
  <si>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</si>
  <si>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</si>
  <si>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</si>
  <si>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</si>
  <si>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</si>
  <si>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</si>
  <si>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</si>
  <si>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</si>
  <si>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</si>
  <si>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</si>
  <si>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</si>
  <si>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</si>
  <si>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</si>
  <si>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</si>
  <si>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</si>
  <si>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</si>
  <si>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</si>
  <si>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</si>
  <si>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</si>
  <si>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</si>
  <si>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</si>
  <si>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</si>
  <si>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</si>
  <si>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</si>
  <si>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</si>
  <si>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</si>
  <si>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</si>
  <si>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</si>
  <si>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</si>
  <si>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</si>
  <si>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</si>
  <si>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</si>
  <si>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</si>
  <si>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</si>
  <si>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</si>
  <si>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</si>
  <si>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</si>
  <si>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</si>
  <si>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</si>
  <si>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</si>
  <si>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</si>
  <si>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</si>
  <si>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</si>
  <si>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</si>
  <si>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</si>
  <si>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</si>
  <si>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</si>
  <si>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</si>
  <si>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</si>
  <si>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</si>
  <si>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</si>
  <si>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</si>
  <si>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</si>
  <si>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</si>
  <si>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</si>
  <si>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</si>
  <si>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</si>
  <si>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</si>
  <si>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</si>
  <si>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</si>
  <si>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</si>
  <si>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</si>
  <si>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</si>
  <si>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</si>
  <si>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</si>
  <si>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</si>
  <si>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</si>
  <si>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</si>
  <si>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</si>
  <si>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</si>
  <si>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</si>
  <si>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</si>
  <si>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</si>
  <si>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</si>
  <si>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</si>
  <si>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</si>
  <si>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</si>
  <si>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_Neo_InfB_VochtExtra_01</t>
  </si>
  <si>
    <t>_Neo_InfB_VochtExtra_02</t>
  </si>
  <si>
    <t>_Neo_InfB_VochtExtra_11</t>
  </si>
  <si>
    <t>_Neo_InfB_VochtExtra_12</t>
  </si>
  <si>
    <t>_Neo_InfB_VochtExtra_13</t>
  </si>
  <si>
    <t>_Neo_InfB_VochtExtra_14</t>
  </si>
  <si>
    <t>_Neo_InfB_VochtExtra_03</t>
  </si>
  <si>
    <t>_Neo_InfB_VochtExtra_04</t>
  </si>
  <si>
    <t>_Neo_InfB_VochtExtra_05</t>
  </si>
  <si>
    <t>_Neo_InfB_VochtExtra_06</t>
  </si>
  <si>
    <t>_Neo_InfB_VochtExtra_07</t>
  </si>
  <si>
    <t>_Neo_InfB_VochtExtra_08</t>
  </si>
  <si>
    <t>_Neo_InfB_VochtExtra_09</t>
  </si>
  <si>
    <t>_Neo_InfB_VochtExtra_10</t>
  </si>
  <si>
    <t>_Neo_1700_VochtExtra_01</t>
  </si>
  <si>
    <t>_Neo_1700_VochtExtra_02</t>
  </si>
  <si>
    <t>_Neo_1700_VochtExtra_11</t>
  </si>
  <si>
    <t>_Neo_1700_VochtExtra_12</t>
  </si>
  <si>
    <t>_Neo_1700_VochtExtra_13</t>
  </si>
  <si>
    <t>_Neo_1700_VochtExtra_14</t>
  </si>
  <si>
    <t>_Neo_1700_VochtExtra_03</t>
  </si>
  <si>
    <t>_Neo_1700_VochtExtra_04</t>
  </si>
  <si>
    <t>_Neo_1700_VochtExtra_05</t>
  </si>
  <si>
    <t>_Neo_1700_VochtExtra_06</t>
  </si>
  <si>
    <t>_Neo_1700_VochtExtra_07</t>
  </si>
  <si>
    <t>_Neo_1700_VochtExtra_08</t>
  </si>
  <si>
    <t>_Neo_1700_VochtExtra_09</t>
  </si>
  <si>
    <t>_Neo_1700_VochtExtra_10</t>
  </si>
  <si>
    <t>_Neo_InfB_ArtLijn</t>
  </si>
  <si>
    <t>_Neo_1700_ArtLijn</t>
  </si>
  <si>
    <t>_Neo_InfB_Arts</t>
  </si>
  <si>
    <t>_Neo_1700_Arts</t>
  </si>
  <si>
    <t>_Neo_InfB_DagKeuze</t>
  </si>
  <si>
    <t>_Neo_1700_CaCl2</t>
  </si>
  <si>
    <t>_Neo_1700_DagKeuze</t>
  </si>
  <si>
    <t>_Neo_InfB_Fototherapie</t>
  </si>
  <si>
    <t>_Neo_1700_Fototherapie</t>
  </si>
  <si>
    <t>_Neo_InfB_Frequentie_1</t>
  </si>
  <si>
    <t>_Neo_InfB_Frequentie_2</t>
  </si>
  <si>
    <t>_Neo_1700_Frequentie_1</t>
  </si>
  <si>
    <t>_Neo_1700_Frequentie_2</t>
  </si>
  <si>
    <t>_Neo_InfB_GlucSterkte</t>
  </si>
  <si>
    <t>_Neo_1700_GlucSterkte</t>
  </si>
  <si>
    <t>_Neo_InfB_Hoeveelheid_1</t>
  </si>
  <si>
    <t>_Neo_InfB_Hoeveelheid_2</t>
  </si>
  <si>
    <t>_Neo_1700_Hoeveelheid_1</t>
  </si>
  <si>
    <t>_Neo_1700_Hoeveelheid_2</t>
  </si>
  <si>
    <t>_Neo_InfB_IntakePerKg</t>
  </si>
  <si>
    <t>_Neo_1700_IntakePerKg</t>
  </si>
  <si>
    <t>_Neo_InfB_IntraLipid</t>
  </si>
  <si>
    <t>_Neo_1700_IntraLipid</t>
  </si>
  <si>
    <t>_Neo_InfB_KCl</t>
  </si>
  <si>
    <t>_Neo_1700_KCl</t>
  </si>
  <si>
    <t>_Neo_InfB_Medicament_1</t>
  </si>
  <si>
    <t>_Neo_InfB_Medicament_2</t>
  </si>
  <si>
    <t>_Neo_InfB_Medicament_3</t>
  </si>
  <si>
    <t>_Neo_InfB_Medicament_4</t>
  </si>
  <si>
    <t>_Neo_InfB_Medicament_5</t>
  </si>
  <si>
    <t>_Neo_InfB_Medicament_6</t>
  </si>
  <si>
    <t>_Neo_InfB_Medicament_7</t>
  </si>
  <si>
    <t>_Neo_InfB_Medicament_8</t>
  </si>
  <si>
    <t>_Neo_InfB_Medicament_9</t>
  </si>
  <si>
    <t>_Neo_1700_Medicament_1</t>
  </si>
  <si>
    <t>_Neo_1700_Medicament_2</t>
  </si>
  <si>
    <t>_Neo_1700_Medicament_3</t>
  </si>
  <si>
    <t>_Neo_1700_Medicament_4</t>
  </si>
  <si>
    <t>_Neo_1700_Medicament_5</t>
  </si>
  <si>
    <t>_Neo_1700_Medicament_6</t>
  </si>
  <si>
    <t>_Neo_1700_Medicament_7</t>
  </si>
  <si>
    <t>_Neo_1700_Medicament_8</t>
  </si>
  <si>
    <t>_Neo_1700_Medicament_9</t>
  </si>
  <si>
    <t>_Neo_InfB_MedSterkte_1</t>
  </si>
  <si>
    <t>_Neo_InfB_MedSterkte_2</t>
  </si>
  <si>
    <t>_Neo_InfB_MedSterkte_3</t>
  </si>
  <si>
    <t>_Neo_InfB_MedSterkte_4</t>
  </si>
  <si>
    <t>_Neo_InfB_MedSterkte_5</t>
  </si>
  <si>
    <t>_Neo_InfB_MedSterkte_6</t>
  </si>
  <si>
    <t>_Neo_InfB_MedSterkte_7</t>
  </si>
  <si>
    <t>_Neo_InfB_MedSterkte_8</t>
  </si>
  <si>
    <t>_Neo_InfB_MedSterkte_9</t>
  </si>
  <si>
    <t>_Neo_1700_MedSterkte_1</t>
  </si>
  <si>
    <t>_Neo_1700_MedSterkte_2</t>
  </si>
  <si>
    <t>_Neo_1700_MedSterkte_3</t>
  </si>
  <si>
    <t>_Neo_1700_MedSterkte_4</t>
  </si>
  <si>
    <t>_Neo_1700_MedSterkte_5</t>
  </si>
  <si>
    <t>_Neo_1700_MedSterkte_6</t>
  </si>
  <si>
    <t>_Neo_1700_MedSterkte_7</t>
  </si>
  <si>
    <t>_Neo_1700_MedSterkte_8</t>
  </si>
  <si>
    <t>_Neo_1700_MedSterkte_9</t>
  </si>
  <si>
    <t>_Neo_InfB_MedTekst_1</t>
  </si>
  <si>
    <t>_Neo_InfB_MedTekst_2</t>
  </si>
  <si>
    <t>_Neo_1700_MedTekst_1</t>
  </si>
  <si>
    <t>_Neo_1700_MedTekst_2</t>
  </si>
  <si>
    <t>_Neo_InfB_MgCl2</t>
  </si>
  <si>
    <t>_Neo_1700_MgCl2</t>
  </si>
  <si>
    <t>_Neo_1700_NaCl</t>
  </si>
  <si>
    <t>_Neo_InfB_NICUMix</t>
  </si>
  <si>
    <t>_Neo_1700_NICUMix</t>
  </si>
  <si>
    <t>_Neo_InfB_OplHoev_1</t>
  </si>
  <si>
    <t>_Neo_InfB_OplHoev_2</t>
  </si>
  <si>
    <t>_Neo_InfB_OplHoev_3</t>
  </si>
  <si>
    <t>_Neo_InfB_OplHoev_4</t>
  </si>
  <si>
    <t>_Neo_InfB_OplHoev_5</t>
  </si>
  <si>
    <t>_Neo_InfB_OplHoev_6</t>
  </si>
  <si>
    <t>_Neo_InfB_OplHoev_7</t>
  </si>
  <si>
    <t>_Neo_InfB_OplHoev_8</t>
  </si>
  <si>
    <t>_Neo_InfB_OplHoev_9</t>
  </si>
  <si>
    <t>_Neo_1700_OplHoev_1</t>
  </si>
  <si>
    <t>_Neo_1700_OplHoev_2</t>
  </si>
  <si>
    <t>_Neo_1700_OplHoev_3</t>
  </si>
  <si>
    <t>_Neo_1700_OplHoev_4</t>
  </si>
  <si>
    <t>_Neo_1700_OplHoev_5</t>
  </si>
  <si>
    <t>_Neo_1700_OplHoev_6</t>
  </si>
  <si>
    <t>_Neo_1700_OplHoev_7</t>
  </si>
  <si>
    <t>_Neo_1700_OplHoev_8</t>
  </si>
  <si>
    <t>_Neo_1700_OplHoev_9</t>
  </si>
  <si>
    <t>_Neo_InfB_Oplossing_10</t>
  </si>
  <si>
    <t>_Neo_InfB_Oplossing_11</t>
  </si>
  <si>
    <t>_Neo_InfB_Oplossing_12</t>
  </si>
  <si>
    <t>_Neo_InfB_Oplossing_01</t>
  </si>
  <si>
    <t>_Neo_InfB_Oplossing_02</t>
  </si>
  <si>
    <t>_Neo_InfB_Oplossing_03</t>
  </si>
  <si>
    <t>_Neo_InfB_Oplossing_04</t>
  </si>
  <si>
    <t>_Neo_InfB_Oplossing_05</t>
  </si>
  <si>
    <t>_Neo_InfB_Oplossing_06</t>
  </si>
  <si>
    <t>_Neo_InfB_Oplossing_07</t>
  </si>
  <si>
    <t>_Neo_InfB_Oplossing_08</t>
  </si>
  <si>
    <t>_Neo_InfB_Oplossing_09</t>
  </si>
  <si>
    <t>_Neo_1700_Oplossing_10</t>
  </si>
  <si>
    <t>_Neo_1700_Oplossing_11</t>
  </si>
  <si>
    <t>_Neo_1700_Oplossing_12</t>
  </si>
  <si>
    <t>_Neo_1700_Oplossing_01</t>
  </si>
  <si>
    <t>_Neo_1700_Oplossing_02</t>
  </si>
  <si>
    <t>_Neo_1700_Oplossing_03</t>
  </si>
  <si>
    <t>_Neo_1700_Oplossing_04</t>
  </si>
  <si>
    <t>_Neo_1700_Oplossing_05</t>
  </si>
  <si>
    <t>_Neo_1700_Oplossing_06</t>
  </si>
  <si>
    <t>_Neo_1700_Oplossing_07</t>
  </si>
  <si>
    <t>_Neo_1700_Oplossing_08</t>
  </si>
  <si>
    <t>_Neo_1700_Oplossing_09</t>
  </si>
  <si>
    <t>_Neo_InfB_Parenteraal</t>
  </si>
  <si>
    <t>_Neo_1700_Parenteraal</t>
  </si>
  <si>
    <t>_Neo_InfB_PercentageKeuze_0</t>
  </si>
  <si>
    <t>_Neo_InfB_PercentageKeuze_1</t>
  </si>
  <si>
    <t>_Neo_InfB_PercentageKeuze_2</t>
  </si>
  <si>
    <t>_Neo_InfB_PercentageKeuze_3</t>
  </si>
  <si>
    <t>_Neo_InfB_PercentageKeuze_4</t>
  </si>
  <si>
    <t>_Neo_InfB_PercentageKeuze_5</t>
  </si>
  <si>
    <t>_Neo_InfB_PercentageKeuze_6</t>
  </si>
  <si>
    <t>_Neo_InfB_PercentageKeuze_7</t>
  </si>
  <si>
    <t>_Neo_InfB_PercentageKeuze_8</t>
  </si>
  <si>
    <t>_Neo_1700_PercentageKeuze_0</t>
  </si>
  <si>
    <t>_Neo_1700_PercentageKeuze_1</t>
  </si>
  <si>
    <t>_Neo_1700_PercentageKeuze_2</t>
  </si>
  <si>
    <t>_Neo_1700_PercentageKeuze_3</t>
  </si>
  <si>
    <t>_Neo_1700_PercentageKeuze_4</t>
  </si>
  <si>
    <t>_Neo_1700_PercentageKeuze_5</t>
  </si>
  <si>
    <t>_Neo_1700_PercentageKeuze_6</t>
  </si>
  <si>
    <t>_Neo_1700_PercentageKeuze_7</t>
  </si>
  <si>
    <t>_Neo_1700_PercentageKeuze_8</t>
  </si>
  <si>
    <t>_Neo_InfB_Primene</t>
  </si>
  <si>
    <t>_Neo_1700_Primene</t>
  </si>
  <si>
    <t>_Neo_InfB_IntralipidSmof</t>
  </si>
  <si>
    <t>_Neo_1700_IntralipidSmof</t>
  </si>
  <si>
    <t>_Neo_InfB_SoluVit</t>
  </si>
  <si>
    <t>_Neo_1700_SoluVit</t>
  </si>
  <si>
    <t>_Neo_InfB_SSTB</t>
  </si>
  <si>
    <t>_Neo_1700_SSTB</t>
  </si>
  <si>
    <t>_Neo_InfB_Stand_10</t>
  </si>
  <si>
    <t>_Neo_InfB_Stand_11</t>
  </si>
  <si>
    <t>_Neo_InfB_Stand_12</t>
  </si>
  <si>
    <t>_Neo_InfB_Stand_01</t>
  </si>
  <si>
    <t>_Neo_InfB_Stand_02</t>
  </si>
  <si>
    <t>_Neo_InfB_Stand_03</t>
  </si>
  <si>
    <t>_Neo_InfB_Stand_04</t>
  </si>
  <si>
    <t>_Neo_InfB_Stand_05</t>
  </si>
  <si>
    <t>_Neo_InfB_Stand_06</t>
  </si>
  <si>
    <t>_Neo_InfB_Stand_07</t>
  </si>
  <si>
    <t>_Neo_InfB_Stand_08</t>
  </si>
  <si>
    <t>_Neo_InfB_Stand_09</t>
  </si>
  <si>
    <t>_Neo_1700_Stand_10</t>
  </si>
  <si>
    <t>_Neo_1700_Stand_11</t>
  </si>
  <si>
    <t>_Neo_1700_Stand_12</t>
  </si>
  <si>
    <t>_Neo_1700_Stand_01</t>
  </si>
  <si>
    <t>_Neo_1700_Stand_02</t>
  </si>
  <si>
    <t>_Neo_1700_Stand_03</t>
  </si>
  <si>
    <t>_Neo_1700_Stand_04</t>
  </si>
  <si>
    <t>_Neo_1700_Stand_05</t>
  </si>
  <si>
    <t>_Neo_1700_Stand_06</t>
  </si>
  <si>
    <t>_Neo_1700_Stand_07</t>
  </si>
  <si>
    <t>_Neo_1700_Stand_08</t>
  </si>
  <si>
    <t>_Neo_1700_Stand_09</t>
  </si>
  <si>
    <t>_Neo_InfB_Sterkte_1</t>
  </si>
  <si>
    <t>_Neo_InfB_Sterkte_2</t>
  </si>
  <si>
    <t>_Neo_InfB_Sterkte_3</t>
  </si>
  <si>
    <t>_Neo_InfB_Sterkte_4</t>
  </si>
  <si>
    <t>_Neo_InfB_Sterkte_5</t>
  </si>
  <si>
    <t>_Neo_InfB_Sterkte_6</t>
  </si>
  <si>
    <t>_Neo_InfB_Sterkte_7</t>
  </si>
  <si>
    <t>_Neo_InfB_Sterkte_8</t>
  </si>
  <si>
    <t>_Neo_InfB_Sterkte_9</t>
  </si>
  <si>
    <t>_Neo_InfB_Supervisor</t>
  </si>
  <si>
    <t>_Neo_1700_Supervisor</t>
  </si>
  <si>
    <t>_Neo_InfB_Toevoeging_0</t>
  </si>
  <si>
    <t>_Neo_InfB_Toevoeging_1</t>
  </si>
  <si>
    <t>_Neo_InfB_Toevoeging_2</t>
  </si>
  <si>
    <t>_Neo_InfB_Toevoeging_3</t>
  </si>
  <si>
    <t>_Neo_InfB_Toevoeging_4</t>
  </si>
  <si>
    <t>_Neo_InfB_Toevoeging_5</t>
  </si>
  <si>
    <t>_Neo_InfB_Toevoeging_6</t>
  </si>
  <si>
    <t>_Neo_InfB_Toevoeging_7</t>
  </si>
  <si>
    <t>_Neo_InfB_Toevoeging_8</t>
  </si>
  <si>
    <t>_Neo_1700_Toevoeging_0</t>
  </si>
  <si>
    <t>_Neo_1700_Toevoeging_1</t>
  </si>
  <si>
    <t>_Neo_1700_Toevoeging_2</t>
  </si>
  <si>
    <t>_Neo_1700_Toevoeging_3</t>
  </si>
  <si>
    <t>_Neo_1700_Toevoeging_4</t>
  </si>
  <si>
    <t>_Neo_1700_Toevoeging_5</t>
  </si>
  <si>
    <t>_Neo_1700_Toevoeging_6</t>
  </si>
  <si>
    <t>_Neo_1700_Toevoeging_7</t>
  </si>
  <si>
    <t>_Neo_1700_Toevoeging_8</t>
  </si>
  <si>
    <t>_Neo_InfB_TPNCaCl2</t>
  </si>
  <si>
    <t>_Neo_InfB_TPNNacl</t>
  </si>
  <si>
    <t>_Neo_InfB_Voeding</t>
  </si>
  <si>
    <t>_Neo_1700_Voeding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</si>
  <si>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</si>
  <si>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</si>
  <si>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</si>
  <si>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</si>
  <si>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</si>
  <si>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</si>
  <si>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</si>
  <si>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</si>
  <si>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</si>
  <si>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</si>
  <si>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</si>
  <si>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</si>
  <si>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</si>
  <si>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</si>
  <si>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</si>
  <si>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</si>
  <si>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</si>
  <si>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</si>
  <si>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</si>
  <si>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</si>
  <si>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</si>
  <si>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</si>
  <si>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</si>
  <si>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</si>
  <si>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</si>
  <si>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</si>
  <si>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</si>
  <si>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</si>
  <si>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</si>
  <si>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</si>
  <si>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</si>
  <si>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</si>
  <si>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</si>
  <si>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</si>
  <si>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</si>
  <si>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</si>
  <si>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</si>
  <si>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</si>
  <si>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</si>
  <si>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</si>
  <si>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</si>
  <si>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</si>
  <si>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</si>
  <si>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</si>
  <si>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</si>
  <si>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</si>
  <si>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</si>
  <si>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</si>
  <si>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</si>
  <si>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</si>
  <si>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</si>
  <si>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</si>
  <si>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</si>
  <si>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</si>
  <si>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</si>
  <si>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</si>
  <si>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</si>
  <si>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</si>
  <si>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</si>
  <si>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</si>
  <si>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</si>
  <si>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</si>
  <si>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</si>
  <si>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</si>
  <si>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</si>
  <si>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</si>
  <si>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</si>
  <si>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</si>
  <si>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</si>
  <si>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</si>
  <si>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</si>
  <si>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</si>
  <si>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</si>
  <si>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</si>
  <si>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</si>
  <si>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</si>
  <si>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</si>
  <si>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</si>
  <si>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</si>
  <si>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</si>
  <si>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</si>
  <si>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</si>
  <si>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</si>
  <si>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</si>
  <si>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</si>
  <si>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</si>
  <si>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</si>
  <si>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</si>
  <si>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</si>
  <si>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</si>
  <si>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</si>
  <si>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</si>
  <si>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</si>
  <si>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</si>
  <si>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</si>
  <si>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</si>
  <si>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</si>
  <si>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</si>
  <si>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</si>
  <si>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</si>
  <si>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</si>
  <si>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</si>
  <si>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</si>
  <si>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</si>
  <si>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</si>
  <si>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</si>
  <si>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</si>
  <si>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</si>
  <si>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</si>
  <si>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</si>
  <si>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</si>
  <si>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</si>
  <si>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</si>
  <si>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</si>
  <si>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</si>
  <si>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</si>
  <si>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</si>
  <si>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</si>
  <si>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</si>
  <si>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</si>
  <si>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</si>
  <si>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</si>
  <si>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</si>
  <si>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</si>
  <si>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</si>
  <si>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</si>
  <si>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</si>
  <si>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</si>
  <si>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</si>
  <si>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</si>
  <si>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</si>
  <si>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</si>
  <si>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</si>
  <si>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</si>
  <si>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</si>
  <si>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</si>
  <si>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</si>
  <si>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</si>
  <si>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</si>
  <si>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</si>
  <si>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</si>
  <si>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</si>
  <si>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</si>
  <si>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</si>
  <si>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</si>
  <si>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</si>
  <si>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</si>
  <si>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</si>
  <si>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</si>
  <si>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</si>
  <si>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</si>
  <si>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</si>
  <si>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</si>
  <si>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</si>
  <si>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</si>
  <si>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</si>
  <si>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</si>
  <si>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</si>
  <si>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</si>
  <si>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</si>
  <si>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</si>
  <si>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</si>
  <si>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</si>
  <si>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</si>
  <si>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</si>
  <si>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</si>
  <si>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</si>
  <si>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</si>
  <si>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</si>
  <si>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</si>
  <si>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</si>
  <si>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</si>
  <si>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</si>
  <si>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</si>
  <si>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</si>
  <si>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</si>
  <si>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</si>
  <si>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</si>
  <si>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</si>
  <si>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</si>
  <si>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</si>
  <si>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</si>
  <si>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</si>
  <si>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</si>
  <si>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</si>
  <si>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</si>
  <si>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</si>
  <si>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</si>
  <si>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</si>
  <si>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</si>
  <si>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</si>
  <si>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</si>
  <si>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</si>
  <si>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</si>
  <si>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</si>
  <si>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</si>
  <si>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</si>
  <si>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</si>
  <si>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</si>
  <si>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</si>
  <si>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</si>
  <si>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</si>
  <si>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</si>
  <si>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</si>
  <si>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</si>
  <si>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</si>
  <si>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</si>
  <si>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</si>
  <si>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</si>
  <si>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</si>
  <si>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</si>
  <si>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</si>
  <si>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</si>
  <si>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</si>
  <si>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</si>
  <si>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</si>
  <si>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</si>
  <si>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</si>
  <si>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</si>
  <si>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</si>
  <si>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</si>
  <si>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</si>
  <si>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</si>
  <si>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</si>
  <si>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</si>
  <si>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</si>
  <si>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</si>
  <si>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</si>
  <si>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</si>
  <si>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</si>
  <si>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</si>
  <si>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</si>
  <si>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</si>
  <si>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</si>
  <si>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</si>
  <si>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</si>
  <si>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</si>
  <si>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</si>
  <si>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</si>
  <si>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</si>
  <si>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</si>
  <si>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</si>
  <si>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</si>
  <si>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</si>
  <si>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</si>
  <si>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</si>
  <si>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</si>
  <si>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</si>
  <si>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</si>
  <si>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</si>
  <si>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</si>
  <si>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</si>
  <si>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</si>
  <si>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</si>
  <si>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</si>
  <si>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</si>
  <si>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</si>
  <si>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</si>
  <si>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</si>
  <si>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</si>
  <si>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</si>
  <si>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</si>
  <si>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</si>
  <si>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</si>
  <si>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</si>
  <si>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</si>
  <si>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</si>
  <si>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</si>
  <si>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</si>
  <si>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</si>
  <si>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</si>
  <si>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</si>
  <si>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</si>
  <si>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</si>
  <si>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</si>
  <si>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</si>
  <si>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</si>
  <si>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</si>
  <si>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</si>
  <si>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</si>
  <si>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</si>
  <si>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</si>
  <si>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</si>
  <si>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</si>
  <si>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</si>
  <si>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</si>
  <si>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</si>
  <si>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</si>
  <si>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</si>
  <si>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</si>
  <si>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</si>
  <si>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</si>
  <si>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_Ped_Ent_Speciale_01</t>
  </si>
  <si>
    <t>_Ped_Ent_Speciale_02</t>
  </si>
  <si>
    <t>_Ped_Ent_Speciale_03</t>
  </si>
  <si>
    <t>_Ped_Ent_Speciale_04</t>
  </si>
  <si>
    <t>_Ped_Ent_Speciale_05</t>
  </si>
  <si>
    <t>_Ped_Ent_Speciale_06</t>
  </si>
  <si>
    <t>_Ped_Ent_Speciale_07</t>
  </si>
  <si>
    <t>_Ped_Ent_Speciale_08</t>
  </si>
  <si>
    <t>_Ped_Ent_Speciale_09</t>
  </si>
  <si>
    <t>_Ped_Ent_Speciale_10</t>
  </si>
  <si>
    <t>_Ped_Ent_Speciale_11</t>
  </si>
  <si>
    <t>_Ped_Ent_Speciale_12</t>
  </si>
  <si>
    <t>_Ped_Ent_Vol_1</t>
  </si>
  <si>
    <t>_Ped_Ent_Vol_2</t>
  </si>
  <si>
    <t>_Ped_Ent_Vol_3</t>
  </si>
  <si>
    <t>_Ped_Ent_Vol_4</t>
  </si>
  <si>
    <t>_Ped_IVLijn_Opm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</si>
  <si>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</si>
  <si>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</si>
  <si>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</si>
  <si>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</si>
  <si>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</si>
  <si>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</si>
  <si>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</si>
  <si>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</si>
  <si>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</si>
  <si>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</si>
  <si>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</si>
  <si>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</si>
  <si>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</si>
  <si>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</si>
  <si>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</si>
  <si>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</si>
  <si>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</si>
  <si>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</si>
  <si>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</si>
  <si>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</si>
  <si>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</si>
  <si>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</si>
  <si>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</si>
  <si>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</si>
  <si>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</si>
  <si>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</si>
  <si>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</si>
  <si>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</si>
  <si>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</si>
  <si>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</si>
  <si>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</si>
  <si>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</si>
  <si>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</si>
  <si>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</si>
  <si>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</si>
  <si>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</si>
  <si>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</si>
  <si>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</si>
  <si>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</si>
  <si>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</si>
  <si>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</si>
  <si>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</si>
  <si>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</si>
  <si>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</si>
  <si>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</si>
  <si>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</si>
  <si>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</si>
  <si>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</si>
  <si>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</si>
  <si>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</si>
  <si>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</si>
  <si>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</si>
  <si>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</si>
  <si>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</si>
  <si>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</si>
  <si>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</si>
  <si>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</si>
  <si>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</si>
  <si>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</si>
  <si>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</si>
  <si>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</si>
  <si>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</si>
  <si>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</si>
  <si>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</si>
  <si>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</si>
  <si>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</si>
  <si>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</si>
  <si>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</si>
  <si>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</si>
  <si>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</si>
  <si>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</si>
  <si>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</si>
  <si>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</si>
  <si>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</si>
  <si>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</si>
  <si>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</si>
  <si>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</si>
  <si>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</si>
  <si>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</si>
  <si>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</si>
  <si>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</si>
  <si>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</si>
  <si>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</si>
  <si>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</si>
  <si>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</si>
  <si>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</si>
  <si>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</si>
  <si>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</si>
  <si>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</si>
  <si>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</si>
  <si>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</si>
  <si>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</si>
  <si>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</si>
  <si>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</si>
  <si>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</si>
  <si>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</si>
  <si>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</si>
  <si>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</si>
  <si>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</si>
  <si>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</si>
  <si>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</si>
  <si>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</si>
  <si>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</si>
  <si>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</si>
  <si>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</si>
  <si>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</si>
  <si>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</si>
  <si>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</si>
  <si>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</si>
  <si>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</si>
  <si>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</si>
  <si>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</si>
  <si>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</si>
  <si>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</si>
  <si>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</si>
  <si>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</si>
  <si>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</si>
  <si>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</si>
  <si>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</si>
  <si>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</si>
  <si>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</si>
  <si>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</si>
  <si>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</si>
  <si>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</si>
  <si>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</si>
  <si>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</si>
  <si>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</si>
  <si>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</si>
  <si>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</si>
  <si>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</si>
  <si>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</si>
  <si>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</si>
  <si>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</si>
  <si>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</si>
  <si>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</si>
  <si>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</si>
  <si>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</si>
  <si>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</si>
  <si>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</si>
  <si>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</si>
  <si>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</si>
  <si>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</si>
  <si>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</si>
  <si>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</si>
  <si>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</si>
  <si>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</si>
  <si>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</si>
  <si>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</si>
  <si>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</si>
  <si>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</si>
  <si>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</si>
  <si>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</si>
  <si>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</si>
  <si>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</si>
  <si>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</si>
  <si>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</si>
  <si>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</si>
  <si>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</si>
  <si>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</si>
  <si>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</si>
  <si>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</si>
  <si>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</si>
  <si>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</si>
  <si>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</si>
  <si>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</si>
  <si>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</si>
  <si>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</si>
  <si>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</si>
  <si>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</si>
  <si>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</si>
  <si>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</si>
  <si>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</si>
  <si>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</si>
  <si>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</si>
  <si>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</si>
  <si>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</si>
  <si>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</si>
  <si>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</si>
  <si>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</si>
  <si>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</si>
  <si>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</si>
  <si>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</si>
  <si>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</si>
  <si>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</si>
  <si>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</si>
  <si>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</si>
  <si>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</si>
  <si>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</si>
  <si>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</si>
  <si>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</si>
  <si>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</si>
  <si>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</si>
  <si>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</si>
  <si>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</si>
  <si>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</si>
  <si>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</si>
  <si>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</si>
  <si>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</si>
  <si>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</si>
  <si>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</si>
  <si>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</si>
  <si>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</si>
  <si>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</si>
  <si>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</si>
  <si>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</si>
  <si>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</si>
  <si>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</si>
  <si>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</si>
  <si>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</si>
  <si>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</si>
  <si>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</si>
  <si>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</si>
  <si>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</si>
  <si>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</si>
  <si>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</si>
  <si>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</si>
  <si>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</si>
  <si>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</si>
  <si>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</si>
  <si>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</si>
  <si>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</si>
  <si>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</si>
  <si>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</si>
  <si>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</si>
  <si>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</si>
  <si>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</si>
  <si>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</si>
  <si>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</si>
  <si>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</si>
  <si>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</si>
  <si>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</si>
  <si>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</si>
  <si>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</si>
  <si>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</si>
  <si>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</si>
  <si>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</si>
  <si>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</si>
  <si>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</si>
  <si>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</si>
  <si>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</si>
  <si>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</si>
  <si>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</si>
  <si>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</si>
  <si>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</si>
  <si>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</si>
  <si>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</si>
  <si>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</si>
  <si>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</si>
  <si>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</si>
  <si>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</si>
  <si>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</si>
  <si>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</si>
  <si>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</si>
  <si>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</si>
  <si>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</si>
  <si>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</si>
  <si>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</si>
  <si>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</si>
  <si>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</si>
  <si>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</si>
  <si>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</si>
  <si>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</si>
  <si>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</si>
  <si>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</si>
  <si>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</si>
  <si>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</si>
  <si>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</si>
  <si>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</si>
  <si>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</si>
  <si>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</si>
  <si>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tbl_Neo_MedIV</t>
  </si>
  <si>
    <t>_Pat_OpnDatum</t>
  </si>
  <si>
    <t>_Pat_Dagen</t>
  </si>
  <si>
    <t>_Pat_Weken</t>
  </si>
  <si>
    <t>_Pat_Gewicht</t>
  </si>
  <si>
    <t>_Pat_Lengte</t>
  </si>
  <si>
    <t>F:=_Pat_Gewicht/10</t>
  </si>
  <si>
    <t>Ped</t>
  </si>
  <si>
    <t>Unit 1.1</t>
  </si>
  <si>
    <t>Unit 1.2</t>
  </si>
  <si>
    <t>Unit 1.3</t>
  </si>
  <si>
    <t>Unit 1.4</t>
  </si>
  <si>
    <t>Unit 1.5</t>
  </si>
  <si>
    <t>Unit 1.6</t>
  </si>
  <si>
    <t>Unit 1.7</t>
  </si>
  <si>
    <t>Unit 1.8</t>
  </si>
  <si>
    <t>Unit 1.9</t>
  </si>
  <si>
    <t>Unit 2.1</t>
  </si>
  <si>
    <t>Unit 2.2</t>
  </si>
  <si>
    <t>Unit 2.3</t>
  </si>
  <si>
    <t>Unit 2.4</t>
  </si>
  <si>
    <t>Unit 2.5</t>
  </si>
  <si>
    <t>Unit 2.6</t>
  </si>
  <si>
    <t>Unit 2.7</t>
  </si>
  <si>
    <t>Unit 2.8</t>
  </si>
  <si>
    <t>Unit 2.9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</si>
  <si>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</si>
  <si>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</si>
  <si>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</si>
  <si>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</si>
  <si>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</si>
  <si>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</si>
  <si>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</si>
  <si>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</si>
  <si>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</si>
  <si>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</si>
  <si>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</si>
  <si>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</si>
  <si>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</si>
  <si>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</si>
  <si>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</si>
  <si>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</si>
  <si>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H2.02.bo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</si>
  <si>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</si>
  <si>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</si>
  <si>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</si>
  <si>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</si>
  <si>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</si>
  <si>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</si>
  <si>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</si>
  <si>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</si>
  <si>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H2.03.bo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</si>
  <si>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</si>
  <si>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</si>
  <si>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</si>
  <si>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</si>
  <si>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</si>
  <si>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</si>
  <si>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</si>
  <si>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</si>
  <si>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</si>
  <si>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</si>
  <si>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</si>
  <si>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</si>
  <si>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H3.01.bo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</si>
  <si>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</si>
  <si>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</si>
  <si>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</si>
  <si>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</si>
  <si>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</si>
  <si>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</si>
  <si>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</si>
  <si>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</si>
  <si>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</si>
  <si>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</si>
  <si>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</si>
  <si>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</si>
  <si>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</si>
  <si>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</si>
  <si>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</si>
  <si>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tbl_Neo_Beds</t>
  </si>
  <si>
    <t>GlobSettings!$D$2:$D$19</t>
  </si>
  <si>
    <t>tbl_Ped_Beds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</si>
  <si>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</si>
  <si>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</si>
  <si>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</si>
  <si>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</si>
  <si>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</si>
  <si>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F:=IF(Var_Neo_WerkbriefActueelTPNStand&lt;&gt;"",CONCATENATE("TPN: ",Var_Neo_WerkbriefActueelTPNStand, " ml/uur"),"")</t>
  </si>
  <si>
    <t>F:=IF(Var_Neo_WerkbriefActueelTPNStand&lt;&gt;"",CONCATENATE("TPN Totaal: ",Var_Neo_WerkbriefActueelTPNTotaalGeheel,",",  ROUND(Var_Neo_WerkbriefActueelTPNTotaalBreuk,0), " ml"),"")</t>
  </si>
  <si>
    <t>F:=IF(NeoBer1700!B32="","",NeoBer1700!B32)</t>
  </si>
  <si>
    <t>F:=IF(NeoBer1700!B33="","",NeoBer1700!B33)</t>
  </si>
  <si>
    <t>F:=IF(NeoBer1700!C35&lt;&gt;0,CONCATENATE("Intralipid 20% (incl.vitintra) ",ROUNDUP(NeoBer1700!C35/24,1)," ml/uur"),"")</t>
  </si>
  <si>
    <t>F:=IF(Var_Neo_WerkbriefTPNStand&lt;&gt;"",CONCATENATE("TPN: ",Var_Neo_WerkbriefTPNStand, " ml/uur"),"")</t>
  </si>
  <si>
    <t>F:=IF(Var_Neo_WerkbriefTPNStand&lt;&gt;"",CONCATENATE("TPN Totaal: ",Var_Neo_WerkbriefTPNTotaalGeheel,",", ROUND(Var_Neo_WerkbriefTPNTotaalBreuk,0), " ml"),"")</t>
  </si>
  <si>
    <t>F:=IF(OR(Var_Neo_WerkbriefTPNNaClGeheel&lt;&gt;"",Var_Neo_WerkbriefTPNNaClBreuk&lt;&gt;""),CONCATENATE(Var_Neo_WerkbriefTPNNaCLTekst," ",Var_Neo_WerkbriefTPNNaClGeheel,",", Var_Neo_WerkbriefTPNNaClBreuk, " ml"),"")</t>
  </si>
  <si>
    <t>F:=IF(OR(Var_Neo_WerkbriefTPNKacetaatGeheel&lt;&gt;"",Var_Neo_WerkbriefTPNKacetaatBreuk&lt;&gt;""),CONCATENATE(Var_Neo_WerkbriefTPNKacetaatTekst," ",Var_Neo_WerkbriefTPNKacetaatGeheel,",", Var_Neo_WerkbriefTPNKacetaatBreuk, " ml"),"")</t>
  </si>
  <si>
    <t>F:=IF(OR(Var_Neo_WerkbriefTPNCaClGeheel&lt;&gt;"",Var_Neo_WerkbriefTPNCaClBreuk&lt;&gt;""),CONCATENATE(Var_Neo_WerkbriefTPNCaClTekst," ",Var_Neo_WerkbriefTPNCaClGeheel,",", Var_Neo_WerkbriefTPNCaClBreuk, " ml"),"")</t>
  </si>
  <si>
    <t>F:=IF(OR(Var_Neo_WerkbriefTPNMgClGeheel&lt;&gt;"",Var_Neo_WerkbriefTPNMgClBreuk&lt;&gt;""),CONCATENATE(Var_Neo_WerkbriefTPNMgClTekst," ",Var_Neo_WerkbriefTPNMgClGeheel,",", Var_Neo_WerkbriefTPNMgClBreuk, " ml"),"")</t>
  </si>
  <si>
    <t>F:=IF(OR(Var_Neo_WerkbriefTPNSoluvitGeheel&lt;&gt;"",Var_Neo_WerkbriefTPNSoluvitBreuk&lt;&gt;""),CONCATENATE(Var_Neo_WerkbriefTPNSoluvitTekst," ",Var_Neo_WerkbriefTPNSoluvitGeheel,",", Var_Neo_WerkbriefTPNSoluvitBreuk, " ml"),"")</t>
  </si>
  <si>
    <t>F:=IF(OR(Var_Neo_WerkbriefTPNPrimeneGeheel&lt;&gt;"",Var_Neo_WerkbriefTPNPrimeneBreuk&lt;&gt;""),CONCATENATE(Var_Neo_WerkbriefTPNPrimeneTekst," ",Var_Neo_WerkbriefTPNPrimeneGeheel,",", Var_Neo_WerkbriefTPNPrimeneBreuk, " ml"),"")</t>
  </si>
  <si>
    <t>F:=IF(OR(Var_Neo_WerkbriefTPNNICUmixGeheel&lt;&gt;"",Var_Neo_WerkbriefTPNNICUmixBreuk&lt;&gt;""),CONCATENATE(Var_Neo_WerkbriefTPNNICUmixTekst," ",Var_Neo_WerkbriefTPNNICUmixGeheel,",", Var_Neo_WerkbriefTPNNICUmixBreuk, " ml"),"")</t>
  </si>
  <si>
    <t>F:=IF(OR(Var_Neo_WerkbriefTPNSamBGeheel&lt;&gt;"",Var_Neo_WerkbriefTPNSamBBreuk&lt;&gt;""),CONCATENATE(Var_Neo_WerkbriefTPNSamBTekst," ",Var_Neo_WerkbriefTPNSamBGeheel,",", Var_Neo_WerkbriefTPNSamBBreuk, " ml"),"")</t>
  </si>
  <si>
    <t>F:=IF(OR(Var_Neo_WerkbriefTPNGlucGeheel&lt;&gt;"",Var_Neo_WerkbriefTPNGlucBreuk&lt;&gt;""),CONCATENATE(Var_Neo_WerkbriefTPNGlucTekst," ",Var_Neo_WerkbriefTPNGlucGeheel,",", ROUND(Var_Neo_WerkbriefTPNGlucBreuk,2), " ml"),"")</t>
  </si>
  <si>
    <t>F:=IF(Var_Neo_WerkbriefIntravasaleToegangStand&lt;&gt;"",CONCATENATE(Var_Neo_WerkbriefIntravasaleToegangTekst," ",Var_Neo_WerkbriefIntravasaleToegangStand, " ml/uur"),"")</t>
  </si>
  <si>
    <t>F:=IF(OR(Var_Neo_WerkbriefActueelTPNNaClGeheel&lt;&gt;"",Var_Neo_WerkbriefActueelTPNNaClBreuk&lt;&gt;""),CONCATENATE(Var_Neo_WerkbriefActueelTPNNaCLTekst," ",Var_Neo_WerkbriefActueelTPNNaClGeheel,",", Var_Neo_WerkbriefActueelTPNNaClBreuk, " ml"),"")</t>
  </si>
  <si>
    <t>F:=IF(OR(Var_Neo_WerkbriefActueelTPNKacetaatGeheel&lt;&gt;"",Var_Neo_WerkbriefActueelTPNKacetaatBreuk&lt;&gt;""),CONCATENATE(Var_Neo_WerkbriefActueelTPNKacetaatTekst," ",Var_Neo_WerkbriefActueelTPNKacetaatGeheel,",", Var_Neo_WerkbriefActueelTPNKacetaatBreuk, " ml"),"")</t>
  </si>
  <si>
    <t>F:=IF(OR(Var_Neo_WerkbriefActueelTPNCaClGeheel&lt;&gt;"",Var_Neo_WerkbriefActueelTPNCaClBreuk&lt;&gt;""),CONCATENATE(Var_Neo_WerkbriefActueelTPNCaClTekst," ",Var_Neo_WerkbriefActueelTPNCaClGeheel,",", Var_Neo_WerkbriefActueelTPNCaClBreuk, " ml"),"")</t>
  </si>
  <si>
    <t>F:=IF(OR(Var_Neo_WerkbriefActueelTPNMgClGeheel&lt;&gt;"",Var_Neo_WerkbriefActueelTPNMgClBreuk&lt;&gt;""),CONCATENATE(Var_Neo_WerkbriefActueelTPNMgClTekst," ",Var_Neo_WerkbriefActueelTPNMgClGeheel,",", Var_Neo_WerkbriefActueelTPNMgClBreuk, " ml"),"")</t>
  </si>
  <si>
    <t>F:=IF(OR(Var_Neo_WerkbriefActueelTPNSoluvitGeheel&lt;&gt;"",Var_Neo_WerkbriefActueelTPNSoluvitBreuk&lt;&gt;""),CONCATENATE(Var_Neo_WerkbriefActueelTPNSoluvitTekst," ",Var_Neo_WerkbriefActueelTPNSoluvitGeheel,",", Var_Neo_WerkbriefActueelTPNSoluvitBreuk, " ml"),"")</t>
  </si>
  <si>
    <t>F:=IF(OR(Var_Neo_WerkbriefActueelTPNPrimeneGeheel&lt;&gt;"",Var_Neo_WerkbriefActueelTPNPrimeneBreuk&lt;&gt;""),CONCATENATE(Var_Neo_WerkbriefActueelTPNPrimeneTekst," ",Var_Neo_WerkbriefActueelTPNPrimeneGeheel,",", Var_Neo_WerkbriefActueelTPNPrimeneBreuk, " ml"),"")</t>
  </si>
  <si>
    <t>F:=IF(OR(Var_Neo_WerkbriefActueelTPNNICUmixGeheel&lt;&gt;"",Var_Neo_WerkbriefActueelTPNNICUmixBreuk&lt;&gt;""),CONCATENATE(Var_Neo_WerkbriefActueelTPNNICUmixTekst," ",Var_Neo_WerkbriefActueelTPNNICUmixGeheel,",", Var_Neo_WerkbriefActueelTPNNICUmixBreuk, " ml"),"")</t>
  </si>
  <si>
    <t>F:=IF(OR(Var_Neo_WerkbriefActueelTPNSamBGeheel&lt;&gt;"",Var_Neo_WerkbriefActueelTPNSamBBreuk&lt;&gt;""),CONCATENATE(Var_Neo_WerkbriefActueelTPNSamBTekst," ",Var_Neo_WerkbriefActueelTPNSamBGeheel,",", Var_Neo_WerkbriefActueelTPNSamBBreuk, " ml"),"")</t>
  </si>
  <si>
    <t>F:=IF(OR(Var_Neo_WerkbriefActueelTPNGlucGeheel&lt;&gt;"",Var_Neo_WerkbriefActueelTPNGlucBreuk&lt;&gt;""),CONCATENATE(Var_Neo_WerkbriefActueelTPNGlucTekst," ",Var_Neo_WerkbriefActueelTPNGlucGeheel,",", ROUND(Var_Neo_WerkbriefActueelTPNGlucBreuk,2), " ml"),"")</t>
  </si>
  <si>
    <t>F:=INDEX(tbl_Neo_NutrBMFWaard,NeoBer1700!J52)</t>
  </si>
  <si>
    <t>F:=INDEX(tbl_Neo_NutrToevWaard,NeoBer1700!J53)</t>
  </si>
  <si>
    <t>F:=INDEX(tbl_Neo_NutrToevWaard,NeoBer1700!J54)</t>
  </si>
  <si>
    <t>F:=INDEX(tbl_Neo_NutrToevWaard,NeoBer1700!J55)</t>
  </si>
  <si>
    <t>F:=INDEX(tbl_Neo_NutrToevWaard,NeoBer1700!J56)</t>
  </si>
  <si>
    <t>F:=INDEX(tbl_Neo_NutrToevWaard,NeoBer1700!J58)</t>
  </si>
  <si>
    <t>F:=INDEX(tbl_Neo_NutrToevWaard,NeoBer1700!J59)</t>
  </si>
  <si>
    <t>F:=INDEX(tbl_Neo_NutrToevWaard,NeoBer1700!J60)</t>
  </si>
  <si>
    <t>F:=INDEX(tbl_Neo_NutrToevWaard,NeoBer1700!J61)</t>
  </si>
  <si>
    <t>F:=IF(AND(INDEX(tbl_Neo_LijstVoeding,_Neo_1700_Voeding,14)="KV",_Neo_1700_Toevoeging_5 &gt; 1,Var_Neo_Percentage1700_5 &gt; 0), CONCATENATE("Toev KV: ",INDEX(tbl_Neo_NutrKunstToev,_Neo_1700_Toevoeging_5,1)," ",Var_Neo_Percentage1700_5," %"),"")</t>
  </si>
  <si>
    <t>F:=IF(AND(INDEX(tbl_Neo_LijstVoeding,_Neo_1700_Voeding,14)="KV",_Neo_1700_Toevoeging_6 &gt; 1,Var_Neo_Percentage1700_6 &gt; 0), CONCATENATE("Toev KV: ",INDEX(tbl_Neo_NutrKunstToev,_Neo_1700_Toevoeging_6,1)," ",Var_Neo_Percentage1700_6," %"),"")</t>
  </si>
  <si>
    <t>F:=IF(AND(INDEX(tbl_Neo_LijstVoeding,_Neo_1700_Voeding,14)="KV",_Neo_1700_Toevoeging_7 &gt; 1,Var_Neo_Percentage1700_7 &gt; 0), CONCATENATE("Toev KV: ",INDEX(tbl_Neo_NutrKunstToev,_Neo_1700_Toevoeging_7,1)," ",Var_Neo_Percentage1700_7," %"),"")</t>
  </si>
  <si>
    <t>F:=IF(AND(INDEX(tbl_Neo_LijstVoeding,_Neo_1700_Voeding,14)="KV",_Neo_1700_Toevoeging_8 &gt; 1,Var_Neo_Percentage1700_8 &gt; 0), CONCATENATE("Toev KV: ",INDEX(tbl_Neo_NutrKunstToev,_Neo_1700_Toevoeging_8,1)," ",Var_Neo_Percentage1700_8," %"),"")</t>
  </si>
  <si>
    <t>F:=IF(AND(INDEX(tbl_Neo_LijstVoeding,_Neo_1700_Voeding,14)="MM",Var_Neo_Percentage1700_0 &gt; 0), CONCATENATE("Toev MM: BMF ",Var_Neo_Percentage1700_0," %"),"")</t>
  </si>
  <si>
    <t>F:=IF(AND(INDEX(tbl_Neo_LijstVoeding,_Neo_1700_Voeding,14)="MM",_Neo_1700_Toevoeging_1 &gt; 1,Var_Neo_Percentage1700_1 &gt; 0), CONCATENATE("Toev MM: ",INDEX(tbl_Neo_NutrMMToev,_Neo_1700_Toevoeging_1,1)," ",Var_Neo_Percentage1700_1," %"),"")</t>
  </si>
  <si>
    <t>F:=IF(AND(INDEX(tbl_Neo_LijstVoeding,_Neo_1700_Voeding,14)="MM",_Neo_1700_Toevoeging_2 &gt; 1,Var_Neo_Percentage1700_2 &gt; 0), CONCATENATE("Toev MM: ",INDEX(tbl_Neo_NutrMMToev,_Neo_1700_Toevoeging_2,1)," ",Var_Neo_Percentage1700_2," %"),"")</t>
  </si>
  <si>
    <t>F:=IF(AND(INDEX(tbl_Neo_LijstVoeding,_Neo_1700_Voeding,14)="MM",_Neo_1700_Toevoeging_3 &gt; 1,Var_Neo_Percentage1700_3 &gt; 0), CONCATENATE("Toev MM: ",INDEX(tbl_Neo_NutrMMToev,_Neo_1700_Toevoeging_3,1)," ",Var_Neo_Percentage1700_3," %"),"")</t>
  </si>
  <si>
    <t>F:=IF(AND(INDEX(tbl_Neo_LijstVoeding,_Neo_1700_Voeding,14)="MM",_Neo_1700_Toevoeging_4 &gt; 1,Var_Neo_Percentage1700_4 &gt; 0), CONCATENATE("Toev MM: ",INDEX(tbl_Neo_NutrMMToev,_Neo_1700_Toevoeging_4,1)," ",Var_Neo_Percentage1700_4," %"),"")</t>
  </si>
  <si>
    <t>F:=IF(M6&lt;&gt;"",M6/24,"")</t>
  </si>
  <si>
    <t>F:=IF(M17&lt;&gt;"",IF(ROUND((M17+N17/100)/24,1)&gt;0,ROUND((M17+N17/100)/24,1),""),"")</t>
  </si>
  <si>
    <t>F:=ROUND(IF(SUM(M8:N16)&gt;0,(SUM(M8:M16)+SUM(N8:N16)/100-M17)*100,""),0)</t>
  </si>
  <si>
    <t>F:=IF(SUM(M8:N16)&gt;0,TRUNC(SUM(M8:M16)+SUM(N8:N16)/100),"")</t>
  </si>
  <si>
    <t>F:=IF(NeoBer1700!B18&gt;0,(24*NeoBer1700!B18/10-M6)*10,"")</t>
  </si>
  <si>
    <t>F:=IF(24*NeoBer1700!B18&gt;0,TRUNC(24*NeoBer1700!B18/10),"")</t>
  </si>
  <si>
    <t>F:=IF(NeoBer1700!$K$39&gt;0,IF(_Neo_1700_DagKeuze=1,NeoBer1700!$C$39-M10,0),"")</t>
  </si>
  <si>
    <t>F:=IF(NeoBer1700!$K$39&gt;0,TRUNC(NeoBer1700!$C$39),"")</t>
  </si>
  <si>
    <t>F:=IF(NeoBer1700!$K$45&gt;0,(NeoBer1700!$K$45-M16)*100,"")</t>
  </si>
  <si>
    <t>F:=IF(NeoBer1700!$K$45&gt;0,TRUNC(NeoBer1700!$K$45),"")</t>
  </si>
  <si>
    <t>F:=INDEX(tbl_Neo_Opl,NeoBer1700!D45+1,1)</t>
  </si>
  <si>
    <t>F:=IF(NeoBer1700!$K$38&gt;0,IF(_Neo_1700_DagKeuze&lt;&gt;2,(NeoBer1700!$C$38-M9)*100,0),"")</t>
  </si>
  <si>
    <t>F:=IF(NeoBer1700!$K$38&gt;0,IF(_Neo_1700_DagKeuze&lt;&gt;2,TRUNC(NeoBer1700!$C$38),0),"")</t>
  </si>
  <si>
    <t>F:=IF(NeoBer1700!$K$40&gt;0,IF(_Neo_1700_DagKeuze=1,(NeoBer1700!$C$40-M11)*100,0),"")</t>
  </si>
  <si>
    <t>F:=IF(NeoBer1700!$K$40&gt;0,TRUNC(NeoBer1700!$C$40),"")</t>
  </si>
  <si>
    <t>F:=IF(NeoBer1700!$K$37&gt;0,IF(_Neo_1700_DagKeuze&lt;&gt;2,(NeoBer1700!$C$37-M8)*100,0),"")</t>
  </si>
  <si>
    <t>F:=IF(NeoBer1700!$K$42&gt;0,IF(_Neo_1700_DagKeuze&lt;&gt;1,(NeoBer1700!$C$42-M13)*100,0),"")</t>
  </si>
  <si>
    <t>F:=IF(NeoBer1700!$K$42&gt;0,TRUNC(NeoBer1700!$C$42),"")</t>
  </si>
  <si>
    <t>F:=IF(NeoBer1700!$K$41&gt;0,IF(_Neo_1700_DagKeuze=1,(NeoBer1700!$C$41-M12)*100,0),"")</t>
  </si>
  <si>
    <t>F:=IF(NeoBer1700!$K$41&gt;0,TRUNC(NeoBer1700!$C$41),"")</t>
  </si>
  <si>
    <t>F:=IF(SUM(M8:N16)&gt;0,(SUM(M8:M16)+SUM(N8:N16)/100-M17)*100,"")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</si>
  <si>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</si>
  <si>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</si>
  <si>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</si>
  <si>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</si>
  <si>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</si>
  <si>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</si>
  <si>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</si>
  <si>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</si>
  <si>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</si>
  <si>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</si>
  <si>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</si>
  <si>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</si>
  <si>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GlobBerMedDisc!$AF$2</t>
  </si>
  <si>
    <t>GlobBerMedDisc!$AF$3</t>
  </si>
  <si>
    <t>GlobBerMedDisc!$AF$4</t>
  </si>
  <si>
    <t>GlobBerMedDisc!$AF$5</t>
  </si>
  <si>
    <t>GlobBerMedDisc!$AF$6</t>
  </si>
  <si>
    <t>GlobBerMedDisc!$AF$7</t>
  </si>
  <si>
    <t>GlobBerMedDisc!$AF$8</t>
  </si>
  <si>
    <t>GlobBerMedDisc!$AF$9</t>
  </si>
  <si>
    <t>GlobBerMedDisc!$AF$10</t>
  </si>
  <si>
    <t>GlobBerMedDisc!$AF$11</t>
  </si>
  <si>
    <t>GlobBerMedDisc!$AF$12</t>
  </si>
  <si>
    <t>GlobBerMedDisc!$AF$13</t>
  </si>
  <si>
    <t>GlobBerMedDisc!$AF$14</t>
  </si>
  <si>
    <t>GlobBerMedDisc!$AF$15</t>
  </si>
  <si>
    <t>GlobBerMedDisc!$AF$16</t>
  </si>
  <si>
    <t>GlobBerMedDisc!$AF$17</t>
  </si>
  <si>
    <t>GlobBerMedDisc!$AF$18</t>
  </si>
  <si>
    <t>GlobBerMedDisc!$AF$19</t>
  </si>
  <si>
    <t>GlobBerMedDisc!$AF$20</t>
  </si>
  <si>
    <t>GlobBerMedDisc!$AF$21</t>
  </si>
  <si>
    <t>GlobBerMedDisc!$AF$22</t>
  </si>
  <si>
    <t>GlobBerMedDisc!$AF$23</t>
  </si>
  <si>
    <t>GlobBerMedDisc!$AF$24</t>
  </si>
  <si>
    <t>GlobBerMedDisc!$AF$25</t>
  </si>
  <si>
    <t>GlobBerMedDisc!$AF$26</t>
  </si>
  <si>
    <t>GlobBerMedDisc!$AF$27</t>
  </si>
  <si>
    <t>GlobBerMedDisc!$AF$28</t>
  </si>
  <si>
    <t>GlobBerMedDisc!$AF$29</t>
  </si>
  <si>
    <t>GlobBerMedDisc!$AF$30</t>
  </si>
  <si>
    <t>GlobBerMedDisc!$AF$31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</si>
  <si>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</si>
  <si>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</si>
  <si>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</si>
  <si>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</si>
  <si>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</si>
  <si>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</si>
  <si>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</si>
  <si>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</si>
  <si>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</si>
  <si>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</si>
  <si>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</si>
  <si>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</si>
  <si>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</si>
  <si>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</si>
  <si>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</si>
  <si>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</si>
  <si>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</si>
  <si>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</si>
  <si>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</si>
  <si>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</si>
  <si>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</si>
  <si>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</si>
  <si>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</si>
  <si>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</si>
  <si>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</si>
  <si>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</si>
  <si>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</si>
  <si>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</si>
  <si>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</si>
  <si>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</si>
  <si>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</si>
  <si>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</si>
  <si>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</si>
  <si>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</si>
  <si>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</si>
  <si>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</si>
  <si>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</si>
  <si>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</si>
  <si>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</si>
  <si>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</si>
  <si>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</si>
  <si>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</si>
  <si>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</si>
  <si>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</si>
  <si>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</si>
  <si>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</si>
  <si>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</si>
  <si>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</si>
  <si>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</si>
  <si>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</si>
  <si>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</si>
  <si>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</si>
  <si>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</si>
  <si>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</si>
  <si>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</si>
  <si>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</si>
  <si>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</si>
  <si>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</si>
  <si>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</si>
  <si>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</si>
  <si>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</si>
  <si>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</si>
  <si>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</si>
  <si>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</si>
  <si>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</si>
  <si>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</si>
  <si>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</si>
  <si>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</si>
  <si>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</si>
  <si>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</si>
  <si>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</si>
  <si>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</si>
  <si>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</si>
  <si>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</si>
  <si>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</si>
  <si>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</si>
  <si>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</si>
  <si>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</si>
  <si>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</si>
  <si>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</si>
  <si>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</si>
  <si>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</si>
  <si>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</si>
  <si>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</si>
  <si>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</si>
  <si>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</si>
  <si>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</si>
  <si>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</si>
  <si>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</si>
  <si>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</si>
  <si>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</si>
  <si>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</si>
  <si>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</si>
  <si>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</si>
  <si>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</si>
  <si>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</si>
  <si>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</si>
  <si>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</si>
  <si>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</si>
  <si>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</si>
  <si>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</si>
  <si>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</si>
  <si>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</si>
  <si>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</si>
  <si>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</si>
  <si>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</si>
  <si>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</si>
  <si>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</si>
  <si>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</si>
  <si>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</si>
  <si>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</si>
  <si>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</si>
  <si>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</si>
  <si>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</si>
  <si>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</si>
  <si>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</si>
  <si>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</si>
  <si>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</si>
  <si>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</si>
  <si>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</si>
  <si>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GlobBerMedDisc!$U$2</t>
  </si>
  <si>
    <t>GlobBerMedDisc!$U$3</t>
  </si>
  <si>
    <t>GlobBerMedDisc!$U$4</t>
  </si>
  <si>
    <t>GlobBerMedDisc!$U$5</t>
  </si>
  <si>
    <t>GlobBerMedDisc!$U$6</t>
  </si>
  <si>
    <t>GlobBerMedDisc!$U$7</t>
  </si>
  <si>
    <t>GlobBerMedDisc!$U$8</t>
  </si>
  <si>
    <t>GlobBerMedDisc!$U$9</t>
  </si>
  <si>
    <t>GlobBerMedDisc!$U$10</t>
  </si>
  <si>
    <t>GlobBerMedDisc!$U$11</t>
  </si>
  <si>
    <t>GlobBerMedDisc!$U$12</t>
  </si>
  <si>
    <t>GlobBerMedDisc!$U$13</t>
  </si>
  <si>
    <t>GlobBerMedDisc!$U$14</t>
  </si>
  <si>
    <t>GlobBerMedDisc!$U$15</t>
  </si>
  <si>
    <t>GlobBerMedDisc!$U$16</t>
  </si>
  <si>
    <t>GlobBerMedDisc!$U$17</t>
  </si>
  <si>
    <t>GlobBerMedDisc!$U$18</t>
  </si>
  <si>
    <t>GlobBerMedDisc!$U$19</t>
  </si>
  <si>
    <t>GlobBerMedDisc!$U$20</t>
  </si>
  <si>
    <t>GlobBerMedDisc!$U$21</t>
  </si>
  <si>
    <t>GlobBerMedDisc!$U$22</t>
  </si>
  <si>
    <t>GlobBerMedDisc!$U$23</t>
  </si>
  <si>
    <t>GlobBerMedDisc!$U$24</t>
  </si>
  <si>
    <t>GlobBerMedDisc!$U$25</t>
  </si>
  <si>
    <t>GlobBerMedDisc!$U$26</t>
  </si>
  <si>
    <t>GlobBerMedDisc!$U$27</t>
  </si>
  <si>
    <t>GlobBerMedDisc!$U$28</t>
  </si>
  <si>
    <t>GlobBerMedDisc!$U$29</t>
  </si>
  <si>
    <t>GlobBerMedDisc!$U$30</t>
  </si>
  <si>
    <t>GlobBerMedDisc!$U$31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</si>
  <si>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</si>
  <si>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</si>
  <si>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</si>
  <si>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</si>
  <si>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</si>
  <si>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</si>
  <si>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</si>
  <si>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</si>
  <si>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</si>
  <si>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</si>
  <si>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</si>
  <si>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</si>
  <si>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</si>
  <si>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</si>
  <si>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</si>
  <si>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</si>
  <si>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</si>
  <si>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</si>
  <si>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</si>
  <si>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</si>
  <si>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</si>
  <si>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</si>
  <si>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</si>
  <si>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</si>
  <si>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</si>
  <si>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</si>
  <si>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</si>
  <si>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</si>
  <si>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</si>
  <si>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</si>
  <si>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GlobBerMedDisc!$Q$2</t>
  </si>
  <si>
    <t>GlobBerMedDisc!$Q$3</t>
  </si>
  <si>
    <t>GlobBerMedDisc!$Q$4</t>
  </si>
  <si>
    <t>GlobBerMedDisc!$Q$5</t>
  </si>
  <si>
    <t>GlobBerMedDisc!$Q$6</t>
  </si>
  <si>
    <t>GlobBerMedDisc!$Q$7</t>
  </si>
  <si>
    <t>GlobBerMedDisc!$Q$8</t>
  </si>
  <si>
    <t>GlobBerMedDisc!$Q$9</t>
  </si>
  <si>
    <t>GlobBerMedDisc!$Q$10</t>
  </si>
  <si>
    <t>GlobBerMedDisc!$Q$11</t>
  </si>
  <si>
    <t>GlobBerMedDisc!$Q$12</t>
  </si>
  <si>
    <t>GlobBerMedDisc!$Q$13</t>
  </si>
  <si>
    <t>GlobBerMedDisc!$Q$14</t>
  </si>
  <si>
    <t>GlobBerMedDisc!$Q$15</t>
  </si>
  <si>
    <t>GlobBerMedDisc!$Q$16</t>
  </si>
  <si>
    <t>GlobBerMedDisc!$Q$17</t>
  </si>
  <si>
    <t>GlobBerMedDisc!$Q$18</t>
  </si>
  <si>
    <t>GlobBerMedDisc!$Q$19</t>
  </si>
  <si>
    <t>GlobBerMedDisc!$Q$20</t>
  </si>
  <si>
    <t>GlobBerMedDisc!$Q$21</t>
  </si>
  <si>
    <t>GlobBerMedDisc!$Q$22</t>
  </si>
  <si>
    <t>GlobBerMedDisc!$Q$23</t>
  </si>
  <si>
    <t>GlobBerMedDisc!$Q$24</t>
  </si>
  <si>
    <t>GlobBerMedDisc!$Q$25</t>
  </si>
  <si>
    <t>GlobBerMedDisc!$Q$26</t>
  </si>
  <si>
    <t>GlobBerMedDisc!$Q$27</t>
  </si>
  <si>
    <t>GlobBerMedDisc!$Q$28</t>
  </si>
  <si>
    <t>GlobBerMedDisc!$Q$29</t>
  </si>
  <si>
    <t>GlobBerMedDisc!$Q$30</t>
  </si>
  <si>
    <t>GlobBerMedDisc!$Q$31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</si>
  <si>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</si>
  <si>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</si>
  <si>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</si>
  <si>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</si>
  <si>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</si>
  <si>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</si>
  <si>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</si>
  <si>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</si>
  <si>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</si>
  <si>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</si>
  <si>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</si>
  <si>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</si>
  <si>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</si>
  <si>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</si>
  <si>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</si>
  <si>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</si>
  <si>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</si>
  <si>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</si>
  <si>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</si>
  <si>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</si>
  <si>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</si>
  <si>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</si>
  <si>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</si>
  <si>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</si>
  <si>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</si>
  <si>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</si>
  <si>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</si>
  <si>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</si>
  <si>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</si>
  <si>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</si>
  <si>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</si>
  <si>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</si>
  <si>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</si>
  <si>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</si>
  <si>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</si>
  <si>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</si>
  <si>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</si>
  <si>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</si>
  <si>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</si>
  <si>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</si>
  <si>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</si>
  <si>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</si>
  <si>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</si>
  <si>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</si>
  <si>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</si>
  <si>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</si>
  <si>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</si>
  <si>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</si>
  <si>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</si>
  <si>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</si>
  <si>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</si>
  <si>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</si>
  <si>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</si>
  <si>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</si>
  <si>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</si>
  <si>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</si>
  <si>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</si>
  <si>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</si>
  <si>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</si>
  <si>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</si>
  <si>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GlobBerMedDisc!$N$2</t>
  </si>
  <si>
    <t>GlobBerMedDisc!$N$3</t>
  </si>
  <si>
    <t>GlobBerMedDisc!$N$4</t>
  </si>
  <si>
    <t>GlobBerMedDisc!$N$5</t>
  </si>
  <si>
    <t>GlobBerMedDisc!$N$6</t>
  </si>
  <si>
    <t>GlobBerMedDisc!$N$7</t>
  </si>
  <si>
    <t>GlobBerMedDisc!$N$8</t>
  </si>
  <si>
    <t>GlobBerMedDisc!$N$9</t>
  </si>
  <si>
    <t>GlobBerMedDisc!$N$10</t>
  </si>
  <si>
    <t>GlobBerMedDisc!$N$11</t>
  </si>
  <si>
    <t>GlobBerMedDisc!$N$12</t>
  </si>
  <si>
    <t>GlobBerMedDisc!$N$13</t>
  </si>
  <si>
    <t>GlobBerMedDisc!$N$14</t>
  </si>
  <si>
    <t>GlobBerMedDisc!$N$15</t>
  </si>
  <si>
    <t>GlobBerMedDisc!$N$16</t>
  </si>
  <si>
    <t>GlobBerMedDisc!$N$17</t>
  </si>
  <si>
    <t>GlobBerMedDisc!$N$18</t>
  </si>
  <si>
    <t>GlobBerMedDisc!$N$19</t>
  </si>
  <si>
    <t>GlobBerMedDisc!$N$20</t>
  </si>
  <si>
    <t>GlobBerMedDisc!$N$21</t>
  </si>
  <si>
    <t>GlobBerMedDisc!$N$22</t>
  </si>
  <si>
    <t>GlobBerMedDisc!$N$23</t>
  </si>
  <si>
    <t>GlobBerMedDisc!$N$24</t>
  </si>
  <si>
    <t>GlobBerMedDisc!$N$25</t>
  </si>
  <si>
    <t>GlobBerMedDisc!$N$26</t>
  </si>
  <si>
    <t>GlobBerMedDisc!$N$27</t>
  </si>
  <si>
    <t>GlobBerMedDisc!$N$28</t>
  </si>
  <si>
    <t>GlobBerMedDisc!$N$29</t>
  </si>
  <si>
    <t>GlobBerMedDisc!$N$30</t>
  </si>
  <si>
    <t>GlobBerMedDisc!$N$31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</si>
  <si>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</si>
  <si>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</si>
  <si>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</si>
  <si>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</si>
  <si>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</si>
  <si>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</si>
  <si>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</si>
  <si>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</si>
  <si>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</si>
  <si>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</si>
  <si>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</si>
  <si>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</si>
  <si>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</si>
  <si>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</si>
  <si>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</si>
  <si>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</si>
  <si>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</si>
  <si>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</si>
  <si>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</si>
  <si>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</si>
  <si>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</si>
  <si>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</si>
  <si>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</si>
  <si>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</si>
  <si>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</si>
  <si>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</si>
  <si>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</si>
  <si>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</si>
  <si>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</si>
  <si>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</si>
  <si>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GlobBerMedDisc!$AG$2</t>
  </si>
  <si>
    <t>GlobBerMedDisc!$AG$3</t>
  </si>
  <si>
    <t>GlobBerMedDisc!$AG$4</t>
  </si>
  <si>
    <t>GlobBerMedDisc!$AG$5</t>
  </si>
  <si>
    <t>GlobBerMedDisc!$AG$6</t>
  </si>
  <si>
    <t>GlobBerMedDisc!$AG$7</t>
  </si>
  <si>
    <t>GlobBerMedDisc!$AG$8</t>
  </si>
  <si>
    <t>GlobBerMedDisc!$AG$9</t>
  </si>
  <si>
    <t>GlobBerMedDisc!$AG$10</t>
  </si>
  <si>
    <t>GlobBerMedDisc!$AG$11</t>
  </si>
  <si>
    <t>GlobBerMedDisc!$AG$12</t>
  </si>
  <si>
    <t>GlobBerMedDisc!$AG$13</t>
  </si>
  <si>
    <t>GlobBerMedDisc!$AG$14</t>
  </si>
  <si>
    <t>GlobBerMedDisc!$AG$15</t>
  </si>
  <si>
    <t>GlobBerMedDisc!$AG$16</t>
  </si>
  <si>
    <t>GlobBerMedDisc!$AG$17</t>
  </si>
  <si>
    <t>GlobBerMedDisc!$AG$18</t>
  </si>
  <si>
    <t>GlobBerMedDisc!$AG$19</t>
  </si>
  <si>
    <t>GlobBerMedDisc!$AG$20</t>
  </si>
  <si>
    <t>GlobBerMedDisc!$AG$21</t>
  </si>
  <si>
    <t>GlobBerMedDisc!$AG$22</t>
  </si>
  <si>
    <t>GlobBerMedDisc!$AG$23</t>
  </si>
  <si>
    <t>GlobBerMedDisc!$AG$24</t>
  </si>
  <si>
    <t>GlobBerMedDisc!$AG$25</t>
  </si>
  <si>
    <t>GlobBerMedDisc!$AG$26</t>
  </si>
  <si>
    <t>GlobBerMedDisc!$AG$27</t>
  </si>
  <si>
    <t>GlobBerMedDisc!$AG$28</t>
  </si>
  <si>
    <t>GlobBerMedDisc!$AG$29</t>
  </si>
  <si>
    <t>GlobBerMedDisc!$AG$30</t>
  </si>
  <si>
    <t>GlobBerMedDisc!$AG$31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</si>
  <si>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</si>
  <si>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</si>
  <si>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</si>
  <si>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</si>
  <si>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</si>
  <si>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</si>
  <si>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</si>
  <si>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</si>
  <si>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</si>
  <si>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</si>
  <si>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</si>
  <si>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</si>
  <si>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</si>
  <si>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</si>
  <si>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</si>
  <si>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</si>
  <si>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</si>
  <si>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</si>
  <si>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</si>
  <si>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</si>
  <si>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</si>
  <si>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</si>
  <si>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</si>
  <si>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</si>
  <si>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</si>
  <si>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</si>
  <si>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</si>
  <si>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</si>
  <si>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</si>
  <si>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</si>
  <si>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</si>
  <si>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</si>
  <si>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</si>
  <si>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</si>
  <si>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</si>
  <si>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</si>
  <si>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</si>
  <si>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</si>
  <si>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</si>
  <si>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</si>
  <si>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</si>
  <si>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</si>
  <si>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</si>
  <si>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</si>
  <si>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</si>
  <si>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</si>
  <si>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</si>
  <si>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</si>
  <si>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</si>
  <si>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</si>
  <si>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</si>
  <si>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</si>
  <si>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</si>
  <si>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</si>
  <si>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</si>
  <si>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</si>
  <si>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</si>
  <si>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</si>
  <si>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</si>
  <si>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</si>
  <si>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</si>
  <si>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</si>
  <si>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</si>
  <si>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</si>
  <si>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</si>
  <si>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</si>
  <si>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</si>
  <si>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</si>
  <si>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</si>
  <si>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</si>
  <si>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</si>
  <si>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</si>
  <si>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</si>
  <si>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</si>
  <si>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</si>
  <si>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</si>
  <si>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</si>
  <si>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</si>
  <si>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</si>
  <si>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</si>
  <si>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</si>
  <si>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</si>
  <si>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</si>
  <si>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</si>
  <si>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</si>
  <si>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</si>
  <si>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</si>
  <si>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</si>
  <si>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</si>
  <si>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</si>
  <si>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</si>
  <si>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NeoBerInfB!$F$1</t>
  </si>
  <si>
    <t>NeoBerInfB!$D$36</t>
  </si>
  <si>
    <t>NeoBerInfB!$B$15</t>
  </si>
  <si>
    <t>NeoBerInfB!$D$10</t>
  </si>
  <si>
    <t>NeoBerInfB!$D$12</t>
  </si>
  <si>
    <t>NeoBerInfB!$D$45</t>
  </si>
  <si>
    <t>NeoBerInfB!$D$11</t>
  </si>
  <si>
    <t>NeoBerInfB!$D$13</t>
  </si>
  <si>
    <t>NeoBerInfB!$D$16</t>
  </si>
  <si>
    <t>NeoBerInfB!$D$35</t>
  </si>
  <si>
    <t>NeoBerInfB!$F$35</t>
  </si>
  <si>
    <t>NeoBerInfB!$D$38</t>
  </si>
  <si>
    <t>NeoBerInfB!$B$20</t>
  </si>
  <si>
    <t>NeoBerInfB!$B$21</t>
  </si>
  <si>
    <t>NeoBerInfB!$B$22</t>
  </si>
  <si>
    <t>NeoBerInfB!$B$23</t>
  </si>
  <si>
    <t>NeoBerInfB!$B$24</t>
  </si>
  <si>
    <t>NeoBerInfB!$B$25</t>
  </si>
  <si>
    <t>NeoBerInfB!$B$26</t>
  </si>
  <si>
    <t>NeoBerInfB!$B$27</t>
  </si>
  <si>
    <t>NeoBerInfB!$B$28</t>
  </si>
  <si>
    <t>NeoBerInfB!$C$20</t>
  </si>
  <si>
    <t>NeoBerInfB!$C$21</t>
  </si>
  <si>
    <t>NeoBerInfB!$C$22</t>
  </si>
  <si>
    <t>NeoBerInfB!$C$23</t>
  </si>
  <si>
    <t>NeoBerInfB!$C$24</t>
  </si>
  <si>
    <t>NeoBerInfB!$C$25</t>
  </si>
  <si>
    <t>NeoBerInfB!$C$26</t>
  </si>
  <si>
    <t>NeoBerInfB!$C$27</t>
  </si>
  <si>
    <t>NeoBerInfB!$C$28</t>
  </si>
  <si>
    <t>NeoBerInfB!$B$32</t>
  </si>
  <si>
    <t>NeoBerInfB!$B$33</t>
  </si>
  <si>
    <t>NeoBerInfB!$D$40</t>
  </si>
  <si>
    <t>NeoBerInfB!$D$43</t>
  </si>
  <si>
    <t>NeoBerInfB!$D$20</t>
  </si>
  <si>
    <t>NeoBerInfB!$D$21</t>
  </si>
  <si>
    <t>NeoBerInfB!$D$22</t>
  </si>
  <si>
    <t>NeoBerInfB!$D$23</t>
  </si>
  <si>
    <t>NeoBerInfB!$D$24</t>
  </si>
  <si>
    <t>NeoBerInfB!$D$25</t>
  </si>
  <si>
    <t>NeoBerInfB!$D$26</t>
  </si>
  <si>
    <t>NeoBerInfB!$D$27</t>
  </si>
  <si>
    <t>NeoBerInfB!$D$28</t>
  </si>
  <si>
    <t>NeoBerInfB!$E$20</t>
  </si>
  <si>
    <t>NeoBerInfB!$E$21</t>
  </si>
  <si>
    <t>NeoBerInfB!$E$22</t>
  </si>
  <si>
    <t>NeoBerInfB!$E$23</t>
  </si>
  <si>
    <t>NeoBerInfB!$E$24</t>
  </si>
  <si>
    <t>NeoBerInfB!$E$25</t>
  </si>
  <si>
    <t>NeoBerInfB!$E$26</t>
  </si>
  <si>
    <t>NeoBerInfB!$E$27</t>
  </si>
  <si>
    <t>NeoBerInfB!$E$28</t>
  </si>
  <si>
    <t>NeoBerInfB!$E$29</t>
  </si>
  <si>
    <t>NeoBerInfB!$E$30</t>
  </si>
  <si>
    <t>NeoBerInfB!$E$31</t>
  </si>
  <si>
    <t>NeoBerInfB!$B$17</t>
  </si>
  <si>
    <t>NeoBerInfB!$J$52</t>
  </si>
  <si>
    <t>NeoBerInfB!$J$53</t>
  </si>
  <si>
    <t>NeoBerInfB!$J$54</t>
  </si>
  <si>
    <t>NeoBerInfB!$J$55</t>
  </si>
  <si>
    <t>NeoBerInfB!$J$56</t>
  </si>
  <si>
    <t>NeoBerInfB!$J$58</t>
  </si>
  <si>
    <t>NeoBerInfB!$J$59</t>
  </si>
  <si>
    <t>NeoBerInfB!$J$60</t>
  </si>
  <si>
    <t>NeoBerInfB!$J$61</t>
  </si>
  <si>
    <t>NeoBerInfB!$D$42</t>
  </si>
  <si>
    <t>NeoBerInfB!$D$41</t>
  </si>
  <si>
    <t>NeoBerInfB!$D$44</t>
  </si>
  <si>
    <t>NeoBerInfB!$F$20</t>
  </si>
  <si>
    <t>NeoBerInfB!$F$21</t>
  </si>
  <si>
    <t>NeoBerInfB!$F$22</t>
  </si>
  <si>
    <t>NeoBerInfB!$F$23</t>
  </si>
  <si>
    <t>NeoBerInfB!$F$24</t>
  </si>
  <si>
    <t>NeoBerInfB!$F$25</t>
  </si>
  <si>
    <t>NeoBerInfB!$F$26</t>
  </si>
  <si>
    <t>NeoBerInfB!$F$27</t>
  </si>
  <si>
    <t>NeoBerInfB!$F$28</t>
  </si>
  <si>
    <t>NeoBerInfB!$F$29</t>
  </si>
  <si>
    <t>NeoBerInfB!$F$30</t>
  </si>
  <si>
    <t>NeoBerInfB!$F$31</t>
  </si>
  <si>
    <t>NeoBerInfB!$A$63</t>
  </si>
  <si>
    <t>NeoBerInfB!$B$52</t>
  </si>
  <si>
    <t>NeoBerInfB!$B$53</t>
  </si>
  <si>
    <t>NeoBerInfB!$B$54</t>
  </si>
  <si>
    <t>NeoBerInfB!$B$55</t>
  </si>
  <si>
    <t>NeoBerInfB!$B$56</t>
  </si>
  <si>
    <t>NeoBerInfB!$B$58</t>
  </si>
  <si>
    <t>NeoBerInfB!$B$59</t>
  </si>
  <si>
    <t>NeoBerInfB!$B$60</t>
  </si>
  <si>
    <t>NeoBerInfB!$B$61</t>
  </si>
  <si>
    <t>NeoBerInfB!$D$39</t>
  </si>
  <si>
    <t>NeoBerInfB!$D$37</t>
  </si>
  <si>
    <t>NeoBerInfB!$J$14</t>
  </si>
  <si>
    <t>NeoBerInfB!$J$20</t>
  </si>
  <si>
    <t>NeoBerInfB!$J$21</t>
  </si>
  <si>
    <t>NeoBerInfB!$J$22</t>
  </si>
  <si>
    <t>NeoBerInfB!$J$23</t>
  </si>
  <si>
    <t>NeoBerInfB!$J$24</t>
  </si>
  <si>
    <t>NeoBerInfB!$J$25</t>
  </si>
  <si>
    <t>NeoBerInfB!$J$26</t>
  </si>
  <si>
    <t>NeoBerInfB!$J$27</t>
  </si>
  <si>
    <t>NeoBerInfB!$J$28</t>
  </si>
  <si>
    <t>NeoBerInfB!$J$18</t>
  </si>
  <si>
    <t>NeoBerInfB!$J$29</t>
  </si>
  <si>
    <t>NeoBerInfB!$J$30</t>
  </si>
  <si>
    <t>NeoBerInfB!$J$31</t>
  </si>
  <si>
    <t>NeoBerInfB!$D$14</t>
  </si>
  <si>
    <t>NeoBerInfB!$D$5</t>
  </si>
  <si>
    <t>PatDetails!$B$8</t>
  </si>
  <si>
    <t>_Pat_GebGew</t>
  </si>
  <si>
    <t>PatDetails!$B$6</t>
  </si>
  <si>
    <t>PatDetails!$B$7</t>
  </si>
  <si>
    <t>PatDetails!$B$9</t>
  </si>
  <si>
    <t>NeoBerInfB!$D$4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</si>
  <si>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</si>
  <si>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</si>
  <si>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</si>
  <si>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</si>
  <si>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</si>
  <si>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</si>
  <si>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</si>
  <si>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</si>
  <si>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</si>
  <si>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</si>
  <si>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</si>
  <si>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</si>
  <si>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</si>
  <si>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</si>
  <si>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</si>
  <si>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</si>
  <si>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</si>
  <si>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</si>
  <si>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</si>
  <si>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</si>
  <si>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</si>
  <si>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</si>
  <si>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</si>
  <si>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</si>
  <si>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</si>
  <si>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</si>
  <si>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</si>
  <si>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</si>
  <si>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</si>
  <si>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</si>
  <si>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</si>
  <si>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</si>
  <si>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</si>
  <si>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</si>
  <si>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</si>
  <si>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</si>
  <si>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</si>
  <si>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</si>
  <si>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</si>
  <si>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</si>
  <si>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</si>
  <si>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</si>
  <si>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</si>
  <si>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</si>
  <si>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</si>
  <si>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</si>
  <si>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</si>
  <si>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</si>
  <si>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</si>
  <si>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</si>
  <si>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</si>
  <si>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</si>
  <si>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</si>
  <si>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</si>
  <si>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</si>
  <si>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</si>
  <si>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</si>
  <si>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</si>
  <si>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</si>
  <si>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</si>
  <si>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</si>
  <si>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</si>
  <si>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</si>
  <si>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</si>
  <si>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</si>
  <si>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</si>
  <si>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 xml:space="preserve">Naam: , </t>
  </si>
  <si>
    <t>PedBerAfspr!$B$7,PedBerAfspr!$B$8,PedBerAfspr!$B$9,PedBerAfspr!$B$10,PedBerAfspr!$B$11,PedBerAfspr!$D$11,PedBerAfspr!$D$12,PedBerAfspr!$D$13,PedBerAfspr!$D$14,PedBerAfspr!$B$15,PedBerAfspr!$B$16,PedBerAfspr!$B$17,PedBerAfspr!$B$20,PedBerAfspr!$B$21,PedBerAfspr!$B$22,PedBerAfspr!$B$23,PedBerAfspr!$B$24,PedBerAfspr!$B$25,PedBerAfspr!$B$27,PedBerAfspr!$B$30,PedBerAfspr!$B$33,PedBerAfspr!$B$36,PedBerAfspr!$B$37,PedBerAfspr!$B$38,PedBerAfspr!$B$39,PedBerAfspr!$D$36,PedBerAfspr!$D$37,PedBerAfspr!$D$38,PedBerAfspr!$F$7,PedBerAfspr!$F$8,PedBerAfspr!$F$9,PedBerAfspr!$F$10,PedBerAfspr!$F$11,PedBerAfspr!$F$12,PedBerAfspr!$F$13,PedBerAfspr!$F$14,PedBerAfspr!$F$15,PedBerAfspr!$B$42,PedBerAfspr!$B$43,PedBerAfspr!$B$44,PedBerAfspr!$F$16,PedBerAfspr!$F$18</t>
  </si>
  <si>
    <t>PedBerAfspr!$D$7,PedBerAfspr!$D$8,PedBerAfspr!$D$9,PedBerAfspr!$D$10,PedBerAfspr!$B$12,PedBerAfspr!$D$27,PedBerAfspr!$D$28,PedBerAfspr!$D$29,PedBerAfspr!$D$30,PedBerAfspr!$D$31,PedBerAfspr!$D$32,PedBerAfspr!$D$33,PedBerAfspr!$D$34,PedBerAfspr!$D$35,PedBerAfspr!$D$39,PedBerAfspr!$D$40,PedBerAfspr!$F$17,PedBerAfspr!$C$7,PedBerAfspr!$C$8,PedBerAfspr!$C$9,PedBerAfspr!$C$10,PedBerAfspr!$G$16,PedBerAfspr!$G$18,PedBerAfspr!$H$18,PedBerAfspr!$C$42,PedBerAfspr!$C$43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</si>
  <si>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</si>
  <si>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</si>
  <si>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</si>
  <si>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</si>
  <si>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</si>
  <si>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</si>
  <si>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</si>
  <si>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</si>
  <si>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</si>
  <si>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GlobBerMedDisc!$C$28:$D$39</t>
  </si>
  <si>
    <t>Var_Neo_1700_ContIV_01</t>
  </si>
  <si>
    <t>F:=IF(NeoBer1700!B20&gt;1,INDEX(tbl_Neo_MedIV,NeoBer1700!B20, 1)&amp;" "&amp;NeoGui1700!C32&amp;" "&amp;NeoGui1700!D32&amp;" "&amp; INDEX(tbl_Neo_Opl,NeoBer1700!E20,1)&amp;" " &amp; NeoGui1700!G32&amp;" (="&amp;NeoGui1700!H32&amp;" "&amp;NeoGui1700!I32&amp;"), inlooptijd: "&amp;NeoGui1700!N32,"")</t>
  </si>
  <si>
    <t>Var_Neo_1700_ContIV_02</t>
  </si>
  <si>
    <t>F:=IF(NeoBer1700!B21&gt;1,INDEX(tbl_Neo_MedIV,NeoBer1700!B21, 1)&amp;" "&amp;NeoGui1700!C33&amp;" "&amp;NeoGui1700!D33&amp;" "&amp; INDEX(tbl_Neo_Opl,NeoBer1700!E21,1)&amp;" " &amp; NeoGui1700!G33&amp;" (="&amp;NeoGui1700!H33&amp;" "&amp;NeoGui1700!I33&amp;"), inlooptijd: "&amp;NeoGui1700!N33,"")</t>
  </si>
  <si>
    <t>Var_Neo_1700_ContIV_03</t>
  </si>
  <si>
    <t>F:=IF(NeoBer1700!B22&gt;1,INDEX(tbl_Neo_MedIV,NeoBer1700!B22, 1)&amp;" "&amp;NeoGui1700!C34&amp;" "&amp;NeoGui1700!D34&amp;" "&amp; INDEX(tbl_Neo_Opl,NeoBer1700!E22,1)&amp;" " &amp; NeoGui1700!G34&amp;" (="&amp;NeoGui1700!H34&amp;" "&amp;NeoGui1700!I34&amp;"), inlooptijd: "&amp;NeoGui1700!N34,"")</t>
  </si>
  <si>
    <t>Var_Neo_1700_ContIV_04</t>
  </si>
  <si>
    <t>F:=IF(NeoBer1700!B23&gt;1,INDEX(tbl_Neo_MedIV,NeoBer1700!B23, 1)&amp;" "&amp;NeoGui1700!C35&amp;" "&amp;NeoGui1700!D35&amp;" "&amp; INDEX(tbl_Neo_Opl,NeoBer1700!E23,1)&amp;" " &amp; NeoGui1700!G35&amp;" (="&amp;NeoGui1700!H35&amp;" "&amp;NeoGui1700!I35&amp;"), inlooptijd: "&amp;NeoGui1700!N35,"")</t>
  </si>
  <si>
    <t>Var_Neo_1700_ContIV_05</t>
  </si>
  <si>
    <t>F:=IF(NeoBer1700!B24&gt;1,INDEX(tbl_Neo_MedIV,NeoBer1700!B24, 1)&amp;" "&amp;NeoGui1700!C36&amp;" "&amp;NeoGui1700!D36&amp;" "&amp; INDEX(tbl_Neo_Opl,NeoBer1700!E24,1)&amp;" " &amp; NeoGui1700!G36&amp;" (="&amp;NeoGui1700!H36&amp;" "&amp;NeoGui1700!I36&amp;"), inlooptijd: "&amp;NeoGui1700!N36,"")</t>
  </si>
  <si>
    <t>Var_Neo_1700_ContIV_06</t>
  </si>
  <si>
    <t>F:=IF(NeoBer1700!B25&gt;1,INDEX(tbl_Neo_MedIV,NeoBer1700!B25, 1)&amp;" "&amp;NeoGui1700!C37&amp;" "&amp;NeoGui1700!D37&amp;" "&amp; INDEX(tbl_Neo_Opl,NeoBer1700!E25,1)&amp;" " &amp; NeoGui1700!G37&amp;" (="&amp;NeoGui1700!H37&amp;" "&amp;NeoGui1700!I37&amp;"), inlooptijd: "&amp;NeoGui1700!N37,"")</t>
  </si>
  <si>
    <t>Var_Neo_1700_ContIV_07</t>
  </si>
  <si>
    <t>F:=IF(NeoBer1700!B26&gt;1,INDEX(tbl_Neo_MedIV,NeoBer1700!B26, 1)&amp;" "&amp;NeoGui1700!C38&amp;" "&amp;NeoGui1700!D38&amp;" "&amp; INDEX(tbl_Neo_Opl,NeoBer1700!E26,1)&amp;" " &amp; NeoGui1700!G38&amp;" (="&amp;NeoGui1700!H38&amp;" "&amp;NeoGui1700!I38&amp;"), inlooptijd: "&amp;NeoGui1700!N38,"")</t>
  </si>
  <si>
    <t>Var_Neo_1700_ContIV_08</t>
  </si>
  <si>
    <t>F:=IF(NeoBer1700!B27&gt;1,INDEX(tbl_Neo_MedIV,NeoBer1700!B27, 1)&amp;" "&amp;NeoGui1700!C39&amp;" "&amp;NeoGui1700!D39&amp;" "&amp; INDEX(tbl_Neo_Opl,NeoBer1700!E27,1)&amp;" " &amp; NeoGui1700!G39&amp;" (="&amp;NeoGui1700!H39&amp;" "&amp;NeoGui1700!I39&amp;"), inlooptijd: "&amp;NeoGui1700!N39,"")</t>
  </si>
  <si>
    <t>Var_Neo_1700_ContIV_09</t>
  </si>
  <si>
    <t>F:=IF(NeoBer1700!B28&gt;1,INDEX(tbl_Neo_MedIV,NeoBer1700!B28, 1)&amp;" "&amp;NeoGui1700!C40&amp;" "&amp;NeoGui1700!D40&amp;" "&amp; INDEX(tbl_Neo_Opl,NeoBer1700!E28,1)&amp;" " &amp; NeoGui1700!G40&amp;" (="&amp;NeoGui1700!H40&amp;" "&amp;NeoGui1700!I40&amp;"), inlooptijd: "&amp;NeoGui1700!N40,"")</t>
  </si>
  <si>
    <t>Var_Neo_1700_ContIV_10</t>
  </si>
  <si>
    <t>F:=IF(NeoBer1700!E29&gt;1, NeoGui1700!B42&amp;": "&amp; INDEX(tbl_Neo_Opl,NeoBer1700!$E29,1)&amp;" " &amp; NeoGui1700!G42,"")</t>
  </si>
  <si>
    <t>Var_Neo_1700_ContIV_11</t>
  </si>
  <si>
    <t>F:=IF(NeoBer1700!E30&gt;1, NeoGui1700!B43&amp;": "&amp; INDEX(tbl_Neo_Opl,NeoBer1700!$E30,1)&amp;" " &amp; NeoGui1700!G43,"")</t>
  </si>
  <si>
    <t>Var_Neo_1700_ContIV_12</t>
  </si>
  <si>
    <t>F:=IF(NeoBer1700!E31&gt;1, NeoGui1700!B44&amp;": "&amp; INDEX(tbl_Neo_Opl,NeoBer1700!$E31,1)&amp;" " &amp; NeoGui1700!G44,"")</t>
  </si>
  <si>
    <t>Var_Neo_1700_ContIV_13</t>
  </si>
  <si>
    <t>Var_Neo_1700_ContIV_14</t>
  </si>
  <si>
    <t>Var_Neo_1700_ContIV_15</t>
  </si>
  <si>
    <t>Var_Neo_1700_ContIV_16</t>
  </si>
  <si>
    <t>Var_Neo_1700_ContIV_17</t>
  </si>
  <si>
    <t>Var_Neo_1700_ContIV_18</t>
  </si>
  <si>
    <t>Var_Neo_1700_ContIV_19</t>
  </si>
  <si>
    <t>Var_Neo_1700_ContIV_20</t>
  </si>
  <si>
    <t>Var_Neo_1700_ContIV_21</t>
  </si>
  <si>
    <t>Var_Neo_1700_ContIV_22</t>
  </si>
  <si>
    <t>Var_Neo_1700_ContIV_23</t>
  </si>
  <si>
    <t>Var_Neo_1700_ContIV_24</t>
  </si>
  <si>
    <t>Var_Neo_1700_ContIV_25</t>
  </si>
  <si>
    <t>Var_Neo_1700_ContIV_26</t>
  </si>
  <si>
    <t>Var_Neo_1700_ContIV_27</t>
  </si>
  <si>
    <t>Var_Neo_1700_Voeding_01</t>
  </si>
  <si>
    <t>F:=IF(NeoGui1700!E18=0,"",CONCATENATE(NeoGui1700!B18,": ",NeoGui1700!E18," ",NeoGui1700!F18," = "&amp;NeoBer1700!K47&amp;" ml"))</t>
  </si>
  <si>
    <t>Var_Neo_1700_Voeding_02</t>
  </si>
  <si>
    <t>F:=IF(INDEX(tbl_Neo_Pos,NeoBer1700!D14,1)=0,"",CONCATENATE(NeoGui1700!H21," ",INDEX(tbl_Neo_Pos,NeoBer1700!D14,1)))</t>
  </si>
  <si>
    <t>Var_Neo_1700_Voeding_03</t>
  </si>
  <si>
    <t>F:=IF(INDEX(tbl_Neo_Pos,NeoBer1700!D14,1)=0,"",CONCATENATE("Hoeveelheid 1:  ",NeoGui1700!E21," ",NeoGui1700!F21," ",NeoGui1700!G21))</t>
  </si>
  <si>
    <t>Var_Neo_1700_Voeding_04</t>
  </si>
  <si>
    <t>F:=IF(INDEX(tbl_Neo_Pos,NeoBer1700!D14,1)=0,"",CONCATENATE("Hoeveelheid 2:  ",NeoGui1700!E22," ",NeoGui1700!F22," ",NeoGui1700!G22))</t>
  </si>
  <si>
    <t>Var_Neo_1700_Voeding_05</t>
  </si>
  <si>
    <t>Var_Neo_1700_Voeding_06</t>
  </si>
  <si>
    <t>Var_Neo_1700_Voeding_07</t>
  </si>
  <si>
    <t>Var_Neo_1700_Voeding_08</t>
  </si>
  <si>
    <t>Var_Neo_1700_Voeding_09</t>
  </si>
  <si>
    <t>Var_Neo_1700_Voeding_10</t>
  </si>
  <si>
    <t>Var_Neo_1700_Voeding_11</t>
  </si>
  <si>
    <t>Var_Neo_1700_Voeding_12</t>
  </si>
  <si>
    <t>Var_Neo_1700_Voeding_13</t>
  </si>
  <si>
    <t>Var_Neo_1700_Voeding_14</t>
  </si>
  <si>
    <t>F:=IF(NeoGui1700!E28&gt;0,CONCATENATE(NeoGui1700!B28," ",NeoGui1700!E28," ",NeoGui1700!F28),"")</t>
  </si>
  <si>
    <t>Var_Neo_1700_Voeding_15</t>
  </si>
  <si>
    <t>F:=CONCATENATE(NeoGui1700!B19,": ",IF(NeoBer1700!B15=1,"Ja","Nee"))</t>
  </si>
  <si>
    <t>NeoBerInfB!$B$6</t>
  </si>
  <si>
    <t>NeoBerInfB!$B$90</t>
  </si>
  <si>
    <t>Var_Neo_InfB_ContIV_01</t>
  </si>
  <si>
    <t>F:=IF(NeoBerInfB!B20&gt;1,INDEX(tbl_Neo_MedIV,NeoBerInfB!B20,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t>
  </si>
  <si>
    <t>NeoBerInfB!$B$91</t>
  </si>
  <si>
    <t>Var_Neo_InfB_ContIV_02</t>
  </si>
  <si>
    <t>F:=IF(NeoBerInfB!B21&gt;1,INDEX(tbl_Neo_MedIV,NeoBerInfB!B21,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t>
  </si>
  <si>
    <t>NeoBerInfB!$B$92</t>
  </si>
  <si>
    <t>Var_Neo_InfB_ContIV_03</t>
  </si>
  <si>
    <t>F:=IF(NeoBerInfB!B22&gt;1,INDEX(tbl_Neo_MedIV,NeoBerInfB!B22,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t>
  </si>
  <si>
    <t>NeoBerInfB!$B$93</t>
  </si>
  <si>
    <t>Var_Neo_InfB_ContIV_04</t>
  </si>
  <si>
    <t>F:=IF(NeoBerInfB!B23&gt;1,INDEX(tbl_Neo_MedIV,NeoBerInfB!B23,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t>
  </si>
  <si>
    <t>NeoBerInfB!$B$94</t>
  </si>
  <si>
    <t>Var_Neo_InfB_ContIV_05</t>
  </si>
  <si>
    <t>F:=IF(NeoBerInfB!B24&gt;1,INDEX(tbl_Neo_MedIV,NeoBerInfB!B24,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t>
  </si>
  <si>
    <t>NeoBerInfB!$B$95</t>
  </si>
  <si>
    <t>Var_Neo_InfB_ContIV_06</t>
  </si>
  <si>
    <t>F:=IF(NeoBerInfB!B25&gt;1,INDEX(tbl_Neo_MedIV,NeoBerInfB!B25,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t>
  </si>
  <si>
    <t>NeoBerInfB!$B$96</t>
  </si>
  <si>
    <t>Var_Neo_InfB_ContIV_07</t>
  </si>
  <si>
    <t>F:=IF(NeoBerInfB!B26&gt;1,INDEX(tbl_Neo_MedIV,NeoBerInfB!B26,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t>
  </si>
  <si>
    <t>NeoBerInfB!$B$97</t>
  </si>
  <si>
    <t>Var_Neo_InfB_ContIV_08</t>
  </si>
  <si>
    <t>F:=IF(NeoBerInfB!B27&gt;1,INDEX(tbl_Neo_MedIV,NeoBerInfB!B27,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t>
  </si>
  <si>
    <t>NeoBerInfB!$B$98</t>
  </si>
  <si>
    <t>Var_Neo_InfB_ContIV_09</t>
  </si>
  <si>
    <t>F:=IF(NeoBerInfB!B28&gt;1,INDEX(tbl_Neo_MedIV,NeoBerInfB!B28,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t>
  </si>
  <si>
    <t>NeoBerInfB!$B$99</t>
  </si>
  <si>
    <t>Var_Neo_InfB_ContIV_10</t>
  </si>
  <si>
    <t>F:=IF(NeoBerInfB!E29&lt;&gt;0, NeoGuiInfB!B42&amp;": "&amp; INDEX(tbl_Neo_Opl,NeoBerInfB!$E29,1)&amp;" " &amp; NeoGuiInfB!G42,"")</t>
  </si>
  <si>
    <t>NeoBerInfB!$B$100</t>
  </si>
  <si>
    <t>Var_Neo_InfB_ContIV_11</t>
  </si>
  <si>
    <t>F:=IF(NeoBerInfB!E30&lt;&gt;0, NeoGuiInfB!B43&amp;": "&amp; INDEX(tbl_Neo_Opl,NeoBerInfB!$E30,1)&amp;" " &amp; NeoGuiInfB!G43,"")</t>
  </si>
  <si>
    <t>NeoBerInfB!$B$101</t>
  </si>
  <si>
    <t>Var_Neo_InfB_ContIV_12</t>
  </si>
  <si>
    <t>F:=IF(NeoBerInfB!E31&lt;&gt;0, NeoGuiInfB!B44&amp;": "&amp; INDEX(tbl_Neo_Opl,NeoBerInfB!$E31,1)&amp;" " &amp; NeoGuiInfB!G44,"")</t>
  </si>
  <si>
    <t>NeoBerInfB!$B$102</t>
  </si>
  <si>
    <t>Var_Neo_InfB_ContIV_13</t>
  </si>
  <si>
    <t>F:=IF(NeoBerInfB!B32="","",NeoBerInfB!B32)</t>
  </si>
  <si>
    <t>NeoBerInfB!$B$103</t>
  </si>
  <si>
    <t>Var_Neo_InfB_ContIV_14</t>
  </si>
  <si>
    <t>F:=IF(NeoBerInfB!B33="","",NeoBerInfB!B33)</t>
  </si>
  <si>
    <t>NeoBerInfB!$B$104</t>
  </si>
  <si>
    <t>Var_Neo_InfB_ContIV_15</t>
  </si>
  <si>
    <t>F:=IF(NeoBerInfB!C35&lt;&gt;0,CONCATENATE("Intralipid 20% (incl.vitintra) ",ROUNDUP(NeoBerInfB!C35/24,1)," ml/uur"),"")</t>
  </si>
  <si>
    <t>NeoBerInfB!$B$105</t>
  </si>
  <si>
    <t>Var_Neo_InfB_ContIV_16</t>
  </si>
  <si>
    <t>NeoBerInfB!$B$106</t>
  </si>
  <si>
    <t>Var_Neo_InfB_ContIV_17</t>
  </si>
  <si>
    <t>NeoBerInfB!$B$107</t>
  </si>
  <si>
    <t>Var_Neo_InfB_ContIV_18</t>
  </si>
  <si>
    <t>NeoBerInfB!$B$108</t>
  </si>
  <si>
    <t>Var_Neo_InfB_ContIV_19</t>
  </si>
  <si>
    <t>NeoBerInfB!$B$109</t>
  </si>
  <si>
    <t>Var_Neo_InfB_ContIV_20</t>
  </si>
  <si>
    <t>NeoBerInfB!$B$110</t>
  </si>
  <si>
    <t>Var_Neo_InfB_ContIV_21</t>
  </si>
  <si>
    <t>NeoBerInfB!$B$111</t>
  </si>
  <si>
    <t>Var_Neo_InfB_ContIV_22</t>
  </si>
  <si>
    <t>NeoBerInfB!$B$112</t>
  </si>
  <si>
    <t>Var_Neo_InfB_ContIV_23</t>
  </si>
  <si>
    <t>NeoBerInfB!$B$113</t>
  </si>
  <si>
    <t>Var_Neo_InfB_ContIV_24</t>
  </si>
  <si>
    <t>NeoBerInfB!$B$114</t>
  </si>
  <si>
    <t>Var_Neo_InfB_ContIV_25</t>
  </si>
  <si>
    <t>NeoBerInfB!$B$115</t>
  </si>
  <si>
    <t>Var_Neo_InfB_ContIV_26</t>
  </si>
  <si>
    <t>NeoBerInfB!$B$116</t>
  </si>
  <si>
    <t>Var_Neo_InfB_ContIV_27</t>
  </si>
  <si>
    <t>NeoBerInfB!$B$73</t>
  </si>
  <si>
    <t>Var_Neo_InfB_Voeding_01</t>
  </si>
  <si>
    <t>F:=IF(NeoGuiInfB!E18=0,"",CONCATENATE(NeoGuiInfB!B18,": ",NeoGuiInfB!E18," ",NeoGuiInfB!F18," = "&amp;NeoBerInfB!K47&amp;" ml"))</t>
  </si>
  <si>
    <t>NeoBerInfB!$B$74</t>
  </si>
  <si>
    <t>Var_Neo_InfB_Voeding_02</t>
  </si>
  <si>
    <t>F:=IF(INDEX(tbl_Neo_Pos,NeoBerInfB!D14,1)=0,"",CONCATENATE(NeoGuiInfB!H21," ",INDEX(tbl_Neo_Pos,NeoBerInfB!D14,1)))</t>
  </si>
  <si>
    <t>NeoBerInfB!$B$75</t>
  </si>
  <si>
    <t>Var_Neo_InfB_Voeding_03</t>
  </si>
  <si>
    <t>F:=IF(INDEX(tbl_Neo_Pos,NeoBerInfB!D14,1)=0,"",CONCATENATE("Hoeveelheid 1:  ",NeoGuiInfB!E21," ",NeoGuiInfB!F21," ",NeoGuiInfB!G21))</t>
  </si>
  <si>
    <t>NeoBerInfB!$B$76</t>
  </si>
  <si>
    <t>Var_Neo_InfB_Voeding_04</t>
  </si>
  <si>
    <t>F:=IF(INDEX(tbl_Neo_Pos,NeoBerInfB!D14,1)=0,"",CONCATENATE("Hoeveelheid 2:  ",NeoGuiInfB!E22," ",NeoGuiInfB!F22," ",NeoGuiInfB!G22))</t>
  </si>
  <si>
    <t>NeoBerInfB!$B$77</t>
  </si>
  <si>
    <t>Var_Neo_InfB_Voeding_05</t>
  </si>
  <si>
    <t>NeoBerInfB!$B$78</t>
  </si>
  <si>
    <t>Var_Neo_InfB_Voeding_06</t>
  </si>
  <si>
    <t>NeoBerInfB!$B$79</t>
  </si>
  <si>
    <t>Var_Neo_InfB_Voeding_07</t>
  </si>
  <si>
    <t>NeoBerInfB!$B$80</t>
  </si>
  <si>
    <t>Var_Neo_InfB_Voeding_08</t>
  </si>
  <si>
    <t>NeoBerInfB!$B$81</t>
  </si>
  <si>
    <t>Var_Neo_InfB_Voeding_09</t>
  </si>
  <si>
    <t>NeoBerInfB!$B$82</t>
  </si>
  <si>
    <t>Var_Neo_InfB_Voeding_10</t>
  </si>
  <si>
    <t>NeoBerInfB!$B$83</t>
  </si>
  <si>
    <t>Var_Neo_InfB_Voeding_11</t>
  </si>
  <si>
    <t>NeoBerInfB!$B$84</t>
  </si>
  <si>
    <t>Var_Neo_InfB_Voeding_12</t>
  </si>
  <si>
    <t>NeoBerInfB!$B$85</t>
  </si>
  <si>
    <t>Var_Neo_InfB_Voeding_13</t>
  </si>
  <si>
    <t>NeoBerInfB!$B$86</t>
  </si>
  <si>
    <t>Var_Neo_InfB_Voeding_14</t>
  </si>
  <si>
    <t>F:=IF(NeoGuiInfB!E28&gt;0,CONCATENATE(NeoGuiInfB!B28," ",NeoGuiInfB!E28," ",NeoGuiInfB!F28),"")</t>
  </si>
  <si>
    <t>NeoBerInfB!$B$87</t>
  </si>
  <si>
    <t>Var_Neo_InfB_Voeding_15</t>
  </si>
  <si>
    <t>F:=CONCATENATE(NeoGuiInfB!B19,": ",IF(NeoBerInfB!B15=1,"Ja","Nee"))</t>
  </si>
  <si>
    <t>NeoBerInfB!$K$52</t>
  </si>
  <si>
    <t>F:=INDEX(tbl_Neo_NutrBMFWaard,NeoBerInfB!J52)</t>
  </si>
  <si>
    <t>NeoBerInfB!$K$53</t>
  </si>
  <si>
    <t>F:=INDEX(tbl_Neo_NutrToevWaard,NeoBerInfB!J53)</t>
  </si>
  <si>
    <t>NeoBerInfB!$K$54</t>
  </si>
  <si>
    <t>F:=INDEX(tbl_Neo_NutrToevWaard,NeoBerInfB!J54)</t>
  </si>
  <si>
    <t>NeoBerInfB!$K$55</t>
  </si>
  <si>
    <t>F:=INDEX(tbl_Neo_NutrToevWaard,NeoBerInfB!J55)</t>
  </si>
  <si>
    <t>NeoBerInfB!$K$56</t>
  </si>
  <si>
    <t>F:=INDEX(tbl_Neo_NutrToevWaard,NeoBerInfB!J56)</t>
  </si>
  <si>
    <t>NeoBerInfB!$K$58</t>
  </si>
  <si>
    <t>F:=INDEX(tbl_Neo_NutrToevWaard,NeoBerInfB!J58)</t>
  </si>
  <si>
    <t>NeoBerInfB!$K$59</t>
  </si>
  <si>
    <t>F:=INDEX(tbl_Neo_NutrToevWaard,NeoBerInfB!J59)</t>
  </si>
  <si>
    <t>NeoBerInfB!$K$60</t>
  </si>
  <si>
    <t>F:=INDEX(tbl_Neo_NutrToevWaard,NeoBerInfB!J60)</t>
  </si>
  <si>
    <t>NeoBerInfB!$K$61</t>
  </si>
  <si>
    <t>F:=INDEX(tbl_Neo_NutrToevWaard,NeoBerInfB!J61)</t>
  </si>
  <si>
    <t>F:=IF(NeoBerInfB!B18&gt;0,(24*NeoBerInfB!B18/10-M6)*10,"")</t>
  </si>
  <si>
    <t>F:=IF(24*NeoBerInfB!B18&gt;0,TRUNC(24*NeoBerInfB!B18/10),"")</t>
  </si>
  <si>
    <t>F:=NeoGuiInfB!B30</t>
  </si>
  <si>
    <t>F:=IF(NeoBerInfB!$K$39&gt;0,IF(_Neo_1700_DagKeuze=1,NeoBerInfB!$C$39-M10,0),"")</t>
  </si>
  <si>
    <t>F:=IF(NeoBerInfB!$K$39&gt;0,TRUNC(NeoBerInfB!$C$39),"")</t>
  </si>
  <si>
    <t>F:=IF(NeoBerInfB!$K$45&gt;0,(NeoBerInfB!$K$45-M16)*100,"")</t>
  </si>
  <si>
    <t>F:=IF(NeoBerInfB!$K$45&gt;0,TRUNC(NeoBerInfB!$K$45),"")</t>
  </si>
  <si>
    <t>F:=INDEX(tbl_Neo_Opl,NeoBerInfB!D45+1,1)</t>
  </si>
  <si>
    <t>F:=IF(NeoBerInfB!$K$38&gt;0,IF(_Neo_1700_DagKeuze&lt;&gt;2,(NeoBerInfB!$C$38-M9)*100,0),"")</t>
  </si>
  <si>
    <t>F:=IF(NeoBerInfB!$K$38&gt;0,IF(_Neo_1700_DagKeuze&lt;&gt;2,TRUNC(NeoBerInfB!$C$38),0),"")</t>
  </si>
  <si>
    <t>F:=IF(NeoBerInfB!$K$40&gt;0,IF(_Neo_1700_DagKeuze=1,(NeoBerInfB!$C$40-M11)*100,0),"")</t>
  </si>
  <si>
    <t>F:=IF(NeoBerInfB!$K$40&gt;0,TRUNC(NeoBerInfB!$C$40),"")</t>
  </si>
  <si>
    <t>F:=IF(NeoBerInfB!$K$37&gt;0,IF(_Neo_1700_DagKeuze&lt;&gt;2,(NeoBerInfB!$C$37-M8)*100,0),"")</t>
  </si>
  <si>
    <t>F:=IF(NeoBerInfB!$K$42&gt;0,IF(_Neo_1700_DagKeuze&lt;&gt;1,(NeoBerInfB!$C$42-M13)*100,0),"")</t>
  </si>
  <si>
    <t>F:=IF(NeoBerInfB!$K$42&gt;0,TRUNC(NeoBerInfB!$C$42),"")</t>
  </si>
  <si>
    <t>F:=IF(NeoBerInfB!$K$41&gt;0,IF(_Neo_1700_DagKeuze=1,(NeoBerInfB!$C$41-M12)*100,0),"")</t>
  </si>
  <si>
    <t>F:=IF(NeoBerInfB!$K$41&gt;0,TRUNC(NeoBerInfB!$C$41),"")</t>
  </si>
  <si>
    <t>F:=NeoGui1700!B30</t>
  </si>
  <si>
    <t>PedBerAfspr!$B$47</t>
  </si>
  <si>
    <t>PedBerAfspr!$B$49</t>
  </si>
  <si>
    <t>PedBerAfspr!$B$48</t>
  </si>
  <si>
    <t>PedBerAfspr!$B$50</t>
  </si>
  <si>
    <t>GlobBerMedDisc!$P$33</t>
  </si>
  <si>
    <t>PedBerMedIV!$B$18</t>
  </si>
  <si>
    <t>_Ped_MedIV_Keuze_16</t>
  </si>
  <si>
    <t>PedBerMedIV!$B$19</t>
  </si>
  <si>
    <t>_Ped_MedIV_Keuze_17</t>
  </si>
  <si>
    <t>PedBerMedIV!$B$20</t>
  </si>
  <si>
    <t>_Ped_MedIV_Keuze_18</t>
  </si>
  <si>
    <t>PedBerMedIV!$B$21</t>
  </si>
  <si>
    <t>_Ped_MedIV_Keuze_19</t>
  </si>
  <si>
    <t>PedBerMedIV!$B$22</t>
  </si>
  <si>
    <t>_Ped_MedIV_Keuze_20</t>
  </si>
  <si>
    <t>PedBerMedIV!$I$18</t>
  </si>
  <si>
    <t>_Ped_MedIV_OplVlst_16</t>
  </si>
  <si>
    <t>PedBerMedIV!$I$19</t>
  </si>
  <si>
    <t>_Ped_MedIV_OplVlst_17</t>
  </si>
  <si>
    <t>PedBerMedIV!$I$20</t>
  </si>
  <si>
    <t>_Ped_MedIV_OplVlst_18</t>
  </si>
  <si>
    <t>PedBerMedIV!$I$21</t>
  </si>
  <si>
    <t>_Ped_MedIV_OplVlst_19</t>
  </si>
  <si>
    <t>PedBerMedIV!$I$22</t>
  </si>
  <si>
    <t>_Ped_MedIV_OplVlst_20</t>
  </si>
  <si>
    <t>PedBerMedIV!$E$18</t>
  </si>
  <si>
    <t>_Ped_MedIV_OplVol_16</t>
  </si>
  <si>
    <t>PedBerMedIV!$E$19</t>
  </si>
  <si>
    <t>_Ped_MedIV_OplVol_17</t>
  </si>
  <si>
    <t>PedBerMedIV!$E$20</t>
  </si>
  <si>
    <t>_Ped_MedIV_OplVol_18</t>
  </si>
  <si>
    <t>PedBerMedIV!$E$21</t>
  </si>
  <si>
    <t>_Ped_MedIV_OplVol_19</t>
  </si>
  <si>
    <t>PedBerMedIV!$E$22</t>
  </si>
  <si>
    <t>_Ped_MedIV_OplVol_20</t>
  </si>
  <si>
    <t>PedBerMedIV!$J$18</t>
  </si>
  <si>
    <t>_Ped_MedIV_Stand_16</t>
  </si>
  <si>
    <t>PedBerMedIV!$J$19</t>
  </si>
  <si>
    <t>_Ped_MedIV_Stand_17</t>
  </si>
  <si>
    <t>PedBerMedIV!$J$20</t>
  </si>
  <si>
    <t>_Ped_MedIV_Stand_18</t>
  </si>
  <si>
    <t>PedBerMedIV!$J$21</t>
  </si>
  <si>
    <t>_Ped_MedIV_Stand_19</t>
  </si>
  <si>
    <t>PedBerMedIV!$J$22</t>
  </si>
  <si>
    <t>_Ped_MedIV_Stand_20</t>
  </si>
  <si>
    <t>PedBerMedIV!$D$18</t>
  </si>
  <si>
    <t>_Ped_MedIV_Sterkte_16</t>
  </si>
  <si>
    <t>PedBerMedIV!$D$19</t>
  </si>
  <si>
    <t>_Ped_MedIV_Sterkte_17</t>
  </si>
  <si>
    <t>PedBerMedIV!$D$20</t>
  </si>
  <si>
    <t>_Ped_MedIV_Sterkte_18</t>
  </si>
  <si>
    <t>PedBerMedIV!$D$21</t>
  </si>
  <si>
    <t>_Ped_MedIV_Sterkte_19</t>
  </si>
  <si>
    <t>PedBerMedIV!$D$22</t>
  </si>
  <si>
    <t>_Ped_MedIV_Sterkte_20</t>
  </si>
  <si>
    <t>PedBerMedIV!$B$2:$H$17</t>
  </si>
  <si>
    <t>IsStand</t>
  </si>
  <si>
    <t>Verw</t>
  </si>
  <si>
    <t>Eenheid</t>
  </si>
  <si>
    <t>Calc Conc</t>
  </si>
  <si>
    <t>Calc Vol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</si>
  <si>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</si>
  <si>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</si>
  <si>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</si>
  <si>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</si>
  <si>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</si>
  <si>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</si>
  <si>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</si>
  <si>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</si>
  <si>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MedicatieIV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</si>
  <si>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</si>
  <si>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</si>
  <si>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</si>
  <si>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</si>
  <si>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</si>
  <si>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</si>
  <si>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</si>
  <si>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</si>
  <si>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</si>
  <si>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</si>
  <si>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</si>
  <si>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</si>
  <si>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</si>
  <si>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</si>
  <si>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</si>
  <si>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</si>
  <si>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</si>
  <si>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</si>
  <si>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</si>
  <si>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</si>
  <si>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</si>
  <si>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</si>
  <si>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</si>
  <si>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</si>
  <si>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</si>
  <si>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</si>
  <si>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</si>
  <si>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</si>
  <si>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</si>
  <si>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</si>
  <si>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</si>
  <si>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</si>
  <si>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</si>
  <si>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</si>
  <si>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</si>
  <si>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</si>
  <si>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</si>
  <si>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</si>
  <si>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</si>
  <si>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GlobBerMedDisc!$AB$2</t>
  </si>
  <si>
    <t>GlobBerMedDisc!$AB$3</t>
  </si>
  <si>
    <t>GlobBerMedDisc!$AB$4</t>
  </si>
  <si>
    <t>GlobBerMedDisc!$AB$5</t>
  </si>
  <si>
    <t>GlobBerMedDisc!$AB$6</t>
  </si>
  <si>
    <t>GlobBerMedDisc!$AB$7</t>
  </si>
  <si>
    <t>GlobBerMedDisc!$AB$8</t>
  </si>
  <si>
    <t>GlobBerMedDisc!$AB$9</t>
  </si>
  <si>
    <t>GlobBerMedDisc!$AB$10</t>
  </si>
  <si>
    <t>GlobBerMedDisc!$AB$11</t>
  </si>
  <si>
    <t>GlobBerMedDisc!$AB$12</t>
  </si>
  <si>
    <t>GlobBerMedDisc!$AB$13</t>
  </si>
  <si>
    <t>GlobBerMedDisc!$AB$14</t>
  </si>
  <si>
    <t>GlobBerMedDisc!$AB$15</t>
  </si>
  <si>
    <t>GlobBerMedDisc!$AB$16</t>
  </si>
  <si>
    <t>GlobBerMedDisc!$AB$17</t>
  </si>
  <si>
    <t>GlobBerMedDisc!$AB$18</t>
  </si>
  <si>
    <t>GlobBerMedDisc!$AB$19</t>
  </si>
  <si>
    <t>GlobBerMedDisc!$AB$20</t>
  </si>
  <si>
    <t>GlobBerMedDisc!$AB$21</t>
  </si>
  <si>
    <t>GlobBerMedDisc!$AB$22</t>
  </si>
  <si>
    <t>GlobBerMedDisc!$AB$23</t>
  </si>
  <si>
    <t>GlobBerMedDisc!$AB$24</t>
  </si>
  <si>
    <t>GlobBerMedDisc!$AB$25</t>
  </si>
  <si>
    <t>GlobBerMedDisc!$AB$26</t>
  </si>
  <si>
    <t>GlobBerMedDisc!$AB$27</t>
  </si>
  <si>
    <t>GlobBerMedDisc!$AB$28</t>
  </si>
  <si>
    <t>GlobBerMedDisc!$AB$29</t>
  </si>
  <si>
    <t>GlobBerMedDisc!$AB$30</t>
  </si>
  <si>
    <t>GlobBerMedDisc!$AB$31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</si>
  <si>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</si>
  <si>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</si>
  <si>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</si>
  <si>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</si>
  <si>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</si>
  <si>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</si>
  <si>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</si>
  <si>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</si>
  <si>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</si>
  <si>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</si>
  <si>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</si>
  <si>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</si>
  <si>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</si>
  <si>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</si>
  <si>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</si>
  <si>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</si>
  <si>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</si>
  <si>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</si>
  <si>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</si>
  <si>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</si>
  <si>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</si>
  <si>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</si>
  <si>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</si>
  <si>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</si>
  <si>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</si>
  <si>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</si>
  <si>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</si>
  <si>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</si>
  <si>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</si>
  <si>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</si>
  <si>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</si>
  <si>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</si>
  <si>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</si>
  <si>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</si>
  <si>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</si>
  <si>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</si>
  <si>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</si>
  <si>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</si>
  <si>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</si>
  <si>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</si>
  <si>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</si>
  <si>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</si>
  <si>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</si>
  <si>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</si>
  <si>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</si>
  <si>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</si>
  <si>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</si>
  <si>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</si>
  <si>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</si>
  <si>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</si>
  <si>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</si>
  <si>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</si>
  <si>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</si>
  <si>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</si>
  <si>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</si>
  <si>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</si>
  <si>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</si>
  <si>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</si>
  <si>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</si>
  <si>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</si>
  <si>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</si>
  <si>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</si>
  <si>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</si>
  <si>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</si>
  <si>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</si>
  <si>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</si>
  <si>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</si>
  <si>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</si>
  <si>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</si>
  <si>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</si>
  <si>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</si>
  <si>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</si>
  <si>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</si>
  <si>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</si>
  <si>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</si>
  <si>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</si>
  <si>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</si>
  <si>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</si>
  <si>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</si>
  <si>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</si>
  <si>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</si>
  <si>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</si>
  <si>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</si>
  <si>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</si>
  <si>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</si>
  <si>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</si>
  <si>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</si>
  <si>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</si>
  <si>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</si>
  <si>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</si>
  <si>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GlobBerOpm!$B$5</t>
  </si>
  <si>
    <t>GlobBerOpm!$B$3</t>
  </si>
  <si>
    <t>GlobBerOpm!$B$4</t>
  </si>
  <si>
    <t>PedTblMedIV!$Y$3:$Y$6</t>
  </si>
  <si>
    <t>PatDetails!$B$11</t>
  </si>
  <si>
    <t>PatDetails!$B$12</t>
  </si>
  <si>
    <t>Vorm</t>
  </si>
  <si>
    <t>PatData!$A$1:$P$634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</si>
  <si>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</si>
  <si>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</si>
  <si>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</si>
  <si>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</si>
  <si>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</si>
  <si>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</si>
  <si>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</si>
  <si>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</si>
  <si>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</si>
  <si>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</si>
  <si>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</si>
  <si>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</si>
  <si>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</si>
  <si>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</si>
  <si>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</si>
  <si>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</si>
  <si>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</si>
  <si>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</si>
  <si>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</si>
  <si>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</si>
  <si>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</si>
  <si>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</si>
  <si>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</si>
  <si>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</si>
  <si>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</si>
  <si>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</si>
  <si>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</si>
  <si>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</si>
  <si>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</si>
  <si>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</si>
  <si>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>PatData!$A$1:$B$766</t>
  </si>
  <si>
    <t xml:space="preserve">Medicament </t>
  </si>
  <si>
    <t>Actie</t>
  </si>
  <si>
    <t>Inf Snelheid</t>
  </si>
  <si>
    <t>Pat No:</t>
  </si>
  <si>
    <t>Enteraal</t>
  </si>
  <si>
    <t>Speciale voeding (per 100 mL)</t>
  </si>
  <si>
    <t>Voed Verw</t>
  </si>
  <si>
    <t>Sonde Verw</t>
  </si>
  <si>
    <t>Opmerking bij enterale voeding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</si>
  <si>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</si>
  <si>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</si>
  <si>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</si>
  <si>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</si>
  <si>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</si>
  <si>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</si>
  <si>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</si>
  <si>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</si>
  <si>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</si>
  <si>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</si>
  <si>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</si>
  <si>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</si>
  <si>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</si>
  <si>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</si>
  <si>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</si>
  <si>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</si>
  <si>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</si>
  <si>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</si>
  <si>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</si>
  <si>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</si>
  <si>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</si>
  <si>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</si>
  <si>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Heading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</si>
  <si>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</si>
  <si>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</si>
  <si>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</si>
  <si>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</si>
  <si>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</si>
  <si>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</si>
  <si>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</si>
  <si>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</si>
  <si>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</si>
  <si>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</si>
  <si>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</si>
  <si>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</si>
  <si>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</si>
  <si>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</si>
  <si>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</si>
  <si>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</si>
  <si>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</si>
  <si>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</si>
  <si>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</si>
  <si>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</si>
  <si>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GlobNames!$A$1:$I$1902</t>
  </si>
  <si>
    <t>PedBerEnt!$C$16</t>
  </si>
  <si>
    <t>PedBerIVenPM!$B$9</t>
  </si>
  <si>
    <t>PedBerIVenPM!$H$2</t>
  </si>
  <si>
    <t>PedBerIVenPM!$K$2</t>
  </si>
  <si>
    <t>PedBerIVenPM!$K$5</t>
  </si>
  <si>
    <t>PedBerIVenPM!$K$4</t>
  </si>
  <si>
    <t>PedBerIVenPM!$K$1</t>
  </si>
  <si>
    <t>PedBerIVenPM!$I$2</t>
  </si>
  <si>
    <t>PedBerIVenPM!$K$3</t>
  </si>
  <si>
    <t>PedBerIVenPM!$K$6</t>
  </si>
  <si>
    <t>PedBerIVenPM!$K$1:$K$6</t>
  </si>
  <si>
    <t>PedBerIVenPM!$L$1:$L$6</t>
  </si>
  <si>
    <t>PatDetails!$B$13</t>
  </si>
  <si>
    <t>Var_Pat_OpnameDat</t>
  </si>
  <si>
    <t>F:=IF(IsEmptyDate(_Pat_OpnDatum),"",DateToString(_Pat_OpnDatum)&amp;" "&amp;B20)</t>
  </si>
  <si>
    <t>Act</t>
  </si>
  <si>
    <t>17:00</t>
  </si>
  <si>
    <t>Values</t>
  </si>
  <si>
    <t>Var_Neo_InfB_ArtLijn</t>
  </si>
  <si>
    <t>Var_Neo_InfB_Arts</t>
  </si>
  <si>
    <t>Var_Neo_InfB_DagKeuze</t>
  </si>
  <si>
    <t>Var_Neo_InfB_Fototherapie</t>
  </si>
  <si>
    <t>Var_Neo_InfB_Frequentie_1</t>
  </si>
  <si>
    <t>Var_Neo_InfB_Frequentie_2</t>
  </si>
  <si>
    <t>Var_Neo_InfB_GlucSterkte</t>
  </si>
  <si>
    <t>Var_Neo_InfB_Hoeveelheid_1</t>
  </si>
  <si>
    <t>Var_Neo_InfB_Hoeveelheid_2</t>
  </si>
  <si>
    <t>Var_Neo_InfB_IntakePerKg</t>
  </si>
  <si>
    <t>Var_Neo_InfB_IntraLipid</t>
  </si>
  <si>
    <t>Var_Neo_InfB_IntralipidSmof</t>
  </si>
  <si>
    <t>Var_Neo_InfB_KCl</t>
  </si>
  <si>
    <t>Var_Neo_InfB_Medicament_1</t>
  </si>
  <si>
    <t>Var_Neo_InfB_Medicament_2</t>
  </si>
  <si>
    <t>Var_Neo_InfB_Medicament_3</t>
  </si>
  <si>
    <t>Var_Neo_InfB_Medicament_4</t>
  </si>
  <si>
    <t>Var_Neo_InfB_Medicament_5</t>
  </si>
  <si>
    <t>Var_Neo_InfB_Medicament_6</t>
  </si>
  <si>
    <t>Var_Neo_InfB_Medicament_7</t>
  </si>
  <si>
    <t>Var_Neo_InfB_Medicament_8</t>
  </si>
  <si>
    <t>Var_Neo_InfB_Medicament_9</t>
  </si>
  <si>
    <t>Var_Neo_InfB_MedSterkte_1</t>
  </si>
  <si>
    <t>Var_Neo_InfB_MedSterkte_2</t>
  </si>
  <si>
    <t>Var_Neo_InfB_MedSterkte_3</t>
  </si>
  <si>
    <t>Var_Neo_InfB_MedSterkte_4</t>
  </si>
  <si>
    <t>Var_Neo_InfB_MedSterkte_5</t>
  </si>
  <si>
    <t>Var_Neo_InfB_MedSterkte_6</t>
  </si>
  <si>
    <t>Var_Neo_InfB_MedSterkte_7</t>
  </si>
  <si>
    <t>Var_Neo_InfB_MedSterkte_8</t>
  </si>
  <si>
    <t>Var_Neo_InfB_MedSterkte_9</t>
  </si>
  <si>
    <t>Var_Neo_InfB_MedTekst_1</t>
  </si>
  <si>
    <t>Var_Neo_InfB_MedTekst_2</t>
  </si>
  <si>
    <t>Var_Neo_InfB_MgCl2</t>
  </si>
  <si>
    <t>Var_Neo_InfB_NICUMix</t>
  </si>
  <si>
    <t>Var_Neo_InfB_OplHoev_1</t>
  </si>
  <si>
    <t>Var_Neo_InfB_OplHoev_2</t>
  </si>
  <si>
    <t>Var_Neo_InfB_OplHoev_3</t>
  </si>
  <si>
    <t>Var_Neo_InfB_OplHoev_4</t>
  </si>
  <si>
    <t>Var_Neo_InfB_OplHoev_5</t>
  </si>
  <si>
    <t>Var_Neo_InfB_OplHoev_6</t>
  </si>
  <si>
    <t>Var_Neo_InfB_OplHoev_7</t>
  </si>
  <si>
    <t>Var_Neo_InfB_OplHoev_8</t>
  </si>
  <si>
    <t>Var_Neo_InfB_OplHoev_9</t>
  </si>
  <si>
    <t>Var_Neo_InfB_Oplossing_01</t>
  </si>
  <si>
    <t>Var_Neo_InfB_Oplossing_02</t>
  </si>
  <si>
    <t>Var_Neo_InfB_Oplossing_03</t>
  </si>
  <si>
    <t>Var_Neo_InfB_Oplossing_04</t>
  </si>
  <si>
    <t>Var_Neo_InfB_Oplossing_05</t>
  </si>
  <si>
    <t>Var_Neo_InfB_Oplossing_06</t>
  </si>
  <si>
    <t>Var_Neo_InfB_Oplossing_07</t>
  </si>
  <si>
    <t>Var_Neo_InfB_Oplossing_08</t>
  </si>
  <si>
    <t>Var_Neo_InfB_Oplossing_09</t>
  </si>
  <si>
    <t>Var_Neo_InfB_Oplossing_10</t>
  </si>
  <si>
    <t>Var_Neo_InfB_Oplossing_11</t>
  </si>
  <si>
    <t>Var_Neo_InfB_Oplossing_12</t>
  </si>
  <si>
    <t>Var_Neo_InfB_Parenteraal</t>
  </si>
  <si>
    <t>Var_Neo_InfB_PercentageKeuze_0</t>
  </si>
  <si>
    <t>Var_Neo_InfB_PercentageKeuze_1</t>
  </si>
  <si>
    <t>Var_Neo_InfB_PercentageKeuze_2</t>
  </si>
  <si>
    <t>Var_Neo_InfB_PercentageKeuze_3</t>
  </si>
  <si>
    <t>Var_Neo_InfB_PercentageKeuze_4</t>
  </si>
  <si>
    <t>Var_Neo_InfB_PercentageKeuze_5</t>
  </si>
  <si>
    <t>Var_Neo_InfB_PercentageKeuze_6</t>
  </si>
  <si>
    <t>Var_Neo_InfB_PercentageKeuze_7</t>
  </si>
  <si>
    <t>Var_Neo_InfB_PercentageKeuze_8</t>
  </si>
  <si>
    <t>Var_Neo_InfB_Primene</t>
  </si>
  <si>
    <t>Var_Neo_InfB_SoluVit</t>
  </si>
  <si>
    <t>Var_Neo_InfB_SSTB</t>
  </si>
  <si>
    <t>Var_Neo_InfB_Stand_01</t>
  </si>
  <si>
    <t>Var_Neo_InfB_Stand_02</t>
  </si>
  <si>
    <t>Var_Neo_InfB_Stand_03</t>
  </si>
  <si>
    <t>Var_Neo_InfB_Stand_04</t>
  </si>
  <si>
    <t>Var_Neo_InfB_Stand_05</t>
  </si>
  <si>
    <t>Var_Neo_InfB_Stand_06</t>
  </si>
  <si>
    <t>Var_Neo_InfB_Stand_07</t>
  </si>
  <si>
    <t>Var_Neo_InfB_Stand_08</t>
  </si>
  <si>
    <t>Var_Neo_InfB_Stand_09</t>
  </si>
  <si>
    <t>Var_Neo_InfB_Stand_10</t>
  </si>
  <si>
    <t>Var_Neo_InfB_Stand_11</t>
  </si>
  <si>
    <t>Var_Neo_InfB_Stand_12</t>
  </si>
  <si>
    <t>Var_Neo_InfB_Sterkte_1</t>
  </si>
  <si>
    <t>Var_Neo_InfB_Sterkte_2</t>
  </si>
  <si>
    <t>Var_Neo_InfB_Sterkte_3</t>
  </si>
  <si>
    <t>Var_Neo_InfB_Sterkte_4</t>
  </si>
  <si>
    <t>Var_Neo_InfB_Sterkte_5</t>
  </si>
  <si>
    <t>Var_Neo_InfB_Sterkte_6</t>
  </si>
  <si>
    <t>Var_Neo_InfB_Sterkte_7</t>
  </si>
  <si>
    <t>Var_Neo_InfB_Sterkte_8</t>
  </si>
  <si>
    <t>Var_Neo_InfB_Sterkte_9</t>
  </si>
  <si>
    <t>Var_Neo_InfB_Supervisor</t>
  </si>
  <si>
    <t>Var_Neo_InfB_Toevoeging_0</t>
  </si>
  <si>
    <t>Var_Neo_InfB_Toevoeging_1</t>
  </si>
  <si>
    <t>Var_Neo_InfB_Toevoeging_2</t>
  </si>
  <si>
    <t>Var_Neo_InfB_Toevoeging_3</t>
  </si>
  <si>
    <t>Var_Neo_InfB_Toevoeging_4</t>
  </si>
  <si>
    <t>Var_Neo_InfB_Toevoeging_5</t>
  </si>
  <si>
    <t>Var_Neo_InfB_Toevoeging_6</t>
  </si>
  <si>
    <t>Var_Neo_InfB_Toevoeging_7</t>
  </si>
  <si>
    <t>Var_Neo_InfB_Toevoeging_8</t>
  </si>
  <si>
    <t>Var_Neo_InfB_TPNCaCl2</t>
  </si>
  <si>
    <t>Var_Neo_InfB_TPNNacl</t>
  </si>
  <si>
    <t>Var_Neo_InfB_VochtExtra_01</t>
  </si>
  <si>
    <t>Var_Neo_InfB_VochtExtra_02</t>
  </si>
  <si>
    <t>Var_Neo_InfB_VochtExtra_03</t>
  </si>
  <si>
    <t>Var_Neo_InfB_VochtExtra_04</t>
  </si>
  <si>
    <t>Var_Neo_InfB_VochtExtra_05</t>
  </si>
  <si>
    <t>Var_Neo_InfB_VochtExtra_06</t>
  </si>
  <si>
    <t>Var_Neo_InfB_VochtExtra_07</t>
  </si>
  <si>
    <t>Var_Neo_InfB_VochtExtra_08</t>
  </si>
  <si>
    <t>Var_Neo_InfB_VochtExtra_09</t>
  </si>
  <si>
    <t>Var_Neo_InfB_VochtExtra_10</t>
  </si>
  <si>
    <t>Var_Neo_InfB_VochtExtra_11</t>
  </si>
  <si>
    <t>Var_Neo_InfB_VochtExtra_12</t>
  </si>
  <si>
    <t>Var_Neo_InfB_VochtExtra_13</t>
  </si>
  <si>
    <t>Var_Neo_InfB_VochtExtra_14</t>
  </si>
  <si>
    <t>Var_Neo_InfB_Voeding</t>
  </si>
  <si>
    <t>F:=IF(AND(INDEX(tbl_Neo_LijstVoeding,Var_Neo_InfB_Voeding,14)="MM",Var_Neo_Percentage_0 &gt; 0), CONCATENATE("Toev MM: BMF ",Var_Neo_Percentage_0," %"),"")</t>
  </si>
  <si>
    <t>F:=IF(AND(INDEX(tbl_Neo_LijstVoeding,Var_Neo_InfB_Voeding,14)="MM",Var_Neo_InfB_Toevoeging_1 &gt; 1,Var_Neo_Percentage_1 &gt; 0), CONCATENATE("Toev MM: ",INDEX(tbl_Neo_NutrMMToev,Var_Neo_InfB_Toevoeging_1,1)," ",Var_Neo_Percentage_1," %"),"")</t>
  </si>
  <si>
    <t>F:=IF(AND(INDEX(tbl_Neo_LijstVoeding,Var_Neo_InfB_Voeding,14)="MM",Var_Neo_InfB_Toevoeging_2 &gt; 1,Var_Neo_Percentage_2 &gt; 0), CONCATENATE("Toev MM: ",INDEX(tbl_Neo_NutrMMToev,Var_Neo_InfB_Toevoeging_2,1)," ",Var_Neo_Percentage_2," %"),"")</t>
  </si>
  <si>
    <t>F:=IF(AND(INDEX(tbl_Neo_LijstVoeding,Var_Neo_InfB_Voeding,14)="MM",Var_Neo_InfB_Toevoeging_3 &gt; 1,Var_Neo_Percentage_3 &gt; 0), CONCATENATE("Toev MM: ",INDEX(tbl_Neo_NutrMMToev,Var_Neo_InfB_Toevoeging_3,1)," ",Var_Neo_Percentage_3," %"),"")</t>
  </si>
  <si>
    <t>F:=IF(AND(INDEX(tbl_Neo_LijstVoeding,Var_Neo_InfB_Voeding,14)="MM",Var_Neo_InfB_Toevoeging_4 &gt; 1,Var_Neo_Percentage_4 &gt; 0), CONCATENATE("Toev MM: ",INDEX(tbl_Neo_NutrMMToev,Var_Neo_InfB_Toevoeging_4,1)," ",Var_Neo_Percentage_4," %"),"")</t>
  </si>
  <si>
    <t>F:=IF(AND(INDEX(tbl_Neo_LijstVoeding,Var_Neo_InfB_Voeding,14)="KV",Var_Neo_InfB_Toevoeging_5 &gt; 1,Var_Neo_Percentage_5 &gt; 0), CONCATENATE("Toev KV: ",INDEX(tbl_Neo_NutrKunstToev,Var_Neo_InfB_Toevoeging_5,1)," ",Var_Neo_Percentage_5," %"),"")</t>
  </si>
  <si>
    <t>F:=IF(AND(INDEX(tbl_Neo_LijstVoeding,Var_Neo_InfB_Voeding,14)="KV",Var_Neo_InfB_Toevoeging_6 &gt; 1,Var_Neo_Percentage_6 &gt; 0), CONCATENATE("Toev KV: ",INDEX(tbl_Neo_NutrKunstToev,Var_Neo_InfB_Toevoeging_6,1)," ",Var_Neo_Percentage_6," %"),"")</t>
  </si>
  <si>
    <t>F:=IF(AND(INDEX(tbl_Neo_LijstVoeding,Var_Neo_InfB_Voeding,14)="KV",Var_Neo_InfB_Toevoeging_7 &gt; 1,Var_Neo_Percentage_7 &gt; 0), CONCATENATE("Toev KV: ",INDEX(tbl_Neo_NutrKunstToev,Var_Neo_InfB_Toevoeging_7,1)," ",Var_Neo_Percentage_7," %"),"")</t>
  </si>
  <si>
    <t>F:=IF(AND(INDEX(tbl_Neo_LijstVoeding,Var_Neo_InfB_Voeding,14)="KV",Var_Neo_InfB_Toevoeging_8 &gt; 1,Var_Neo_Percentage_8 &gt; 0), CONCATENATE("Toev KV: ",INDEX(tbl_Neo_NutrKunstToev,Var_Neo_InfB_Toevoeging_8,1)," ",Var_Neo_Percentage_8," %"),"")</t>
  </si>
  <si>
    <t>F:=IF(NeoBerInfB!$K$37&gt;0,IF(Var_Neo_InfB_DagKeuze&lt;&gt;2,TRUNC(NeoBerInfB!$C$37),0),"")</t>
  </si>
  <si>
    <t>F:=IF(Var_Neo_InfB_DagKeuze=2,(NeoBerInfB!$C$43-M14)*100,"")</t>
  </si>
  <si>
    <t>F:=IF(Var_Neo_InfB_DagKeuze=2,TRUNC(NeoBerInfB!$C$43),"")</t>
  </si>
  <si>
    <t>F:=IF(Var_Neo_InfB_DagKeuze=3,(NeoBerInfB!$C$44-M15)*100,"")</t>
  </si>
  <si>
    <t>F:=IF(Var_Neo_InfB_DagKeuze=3,TRUNC(NeoBerInfB!$C$44),"")</t>
  </si>
  <si>
    <t>F:=IF(NeoBer1700!$K$37&gt;0,IF(Var_Neo_InfB_DagKeuze&lt;&gt;2,TRUNC(NeoBer1700!$C$37),0),"")</t>
  </si>
  <si>
    <t>F:=IF(Var_Neo_InfB_DagKeuze=2,(NeoBer1700!$C$43-M14)*100,"")</t>
  </si>
  <si>
    <t>F:=IF(Var_Neo_InfB_DagKeuze=2,TRUNC(NeoBer1700!$C$43),"")</t>
  </si>
  <si>
    <t>F:=IF(Var_Neo_InfB_DagKeuze=3,(NeoBer1700!$C$44-M15)*100,"")</t>
  </si>
  <si>
    <t>F:=IF(Var_Neo_InfB_DagKeuze=3,TRUNC(NeoBer1700!$C$44),"")</t>
  </si>
  <si>
    <t>_Neo_1700_Sterkte_1</t>
  </si>
  <si>
    <t>_Neo_1700_Sterkte_2</t>
  </si>
  <si>
    <t>_Neo_1700_Sterkte_3</t>
  </si>
  <si>
    <t>_Neo_1700_Sterkte_4</t>
  </si>
  <si>
    <t>_Neo_1700_Sterkte_5</t>
  </si>
  <si>
    <t>_Neo_1700_Sterkte_6</t>
  </si>
  <si>
    <t>_Neo_1700_Sterkte_7</t>
  </si>
  <si>
    <t>_Neo_1700_Sterkte_8</t>
  </si>
  <si>
    <t>_Neo_1700_Sterkte_9</t>
  </si>
  <si>
    <t>_Neo_1700_TPNCaCl2</t>
  </si>
  <si>
    <t>_Neo_1700_TPNNacl</t>
  </si>
  <si>
    <t>NeoDataInfB!D2</t>
  </si>
  <si>
    <t>NeoDataInfB!D3</t>
  </si>
  <si>
    <t>NeoDataInfB!D4</t>
  </si>
  <si>
    <t>NeoDataInfB!D5</t>
  </si>
  <si>
    <t>NeoDataInfB!D6</t>
  </si>
  <si>
    <t>NeoDataInfB!D7</t>
  </si>
  <si>
    <t>NeoDataInfB!D8</t>
  </si>
  <si>
    <t>NeoDataInfB!D9</t>
  </si>
  <si>
    <t>NeoDataInfB!D10</t>
  </si>
  <si>
    <t>NeoDataInfB!D11</t>
  </si>
  <si>
    <t>NeoDataInfB!D12</t>
  </si>
  <si>
    <t>NeoDataInfB!D13</t>
  </si>
  <si>
    <t>NeoDataInfB!D14</t>
  </si>
  <si>
    <t>NeoDataInfB!D15</t>
  </si>
  <si>
    <t>NeoDataInfB!D16</t>
  </si>
  <si>
    <t>NeoDataInfB!D17</t>
  </si>
  <si>
    <t>NeoDataInfB!D18</t>
  </si>
  <si>
    <t>NeoDataInfB!D19</t>
  </si>
  <si>
    <t>NeoDataInfB!D20</t>
  </si>
  <si>
    <t>NeoDataInfB!D21</t>
  </si>
  <si>
    <t>NeoDataInfB!D22</t>
  </si>
  <si>
    <t>NeoDataInfB!D23</t>
  </si>
  <si>
    <t>NeoDataInfB!D24</t>
  </si>
  <si>
    <t>NeoDataInfB!D25</t>
  </si>
  <si>
    <t>NeoDataInfB!D26</t>
  </si>
  <si>
    <t>NeoDataInfB!D27</t>
  </si>
  <si>
    <t>NeoDataInfB!D28</t>
  </si>
  <si>
    <t>NeoDataInfB!D29</t>
  </si>
  <si>
    <t>NeoDataInfB!D30</t>
  </si>
  <si>
    <t>NeoDataInfB!D31</t>
  </si>
  <si>
    <t>NeoDataInfB!D32</t>
  </si>
  <si>
    <t>NeoDataInfB!D33</t>
  </si>
  <si>
    <t>NeoDataInfB!D34</t>
  </si>
  <si>
    <t>NeoDataInfB!D35</t>
  </si>
  <si>
    <t>NeoDataInfB!D36</t>
  </si>
  <si>
    <t>NeoDataInfB!D37</t>
  </si>
  <si>
    <t>NeoDataInfB!D38</t>
  </si>
  <si>
    <t>NeoDataInfB!D39</t>
  </si>
  <si>
    <t>NeoDataInfB!D40</t>
  </si>
  <si>
    <t>NeoDataInfB!D41</t>
  </si>
  <si>
    <t>NeoDataInfB!D42</t>
  </si>
  <si>
    <t>NeoDataInfB!D43</t>
  </si>
  <si>
    <t>NeoDataInfB!D44</t>
  </si>
  <si>
    <t>NeoDataInfB!D45</t>
  </si>
  <si>
    <t>NeoDataInfB!D46</t>
  </si>
  <si>
    <t>NeoDataInfB!D47</t>
  </si>
  <si>
    <t>NeoDataInfB!D48</t>
  </si>
  <si>
    <t>NeoDataInfB!D49</t>
  </si>
  <si>
    <t>NeoDataInfB!D50</t>
  </si>
  <si>
    <t>NeoDataInfB!D51</t>
  </si>
  <si>
    <t>NeoDataInfB!D52</t>
  </si>
  <si>
    <t>NeoDataInfB!D53</t>
  </si>
  <si>
    <t>NeoDataInfB!D54</t>
  </si>
  <si>
    <t>NeoDataInfB!D55</t>
  </si>
  <si>
    <t>NeoDataInfB!D56</t>
  </si>
  <si>
    <t>NeoDataInfB!D57</t>
  </si>
  <si>
    <t>NeoDataInfB!D58</t>
  </si>
  <si>
    <t>NeoDataInfB!D59</t>
  </si>
  <si>
    <t>NeoDataInfB!D60</t>
  </si>
  <si>
    <t>NeoDataInfB!D61</t>
  </si>
  <si>
    <t>NeoDataInfB!D62</t>
  </si>
  <si>
    <t>NeoDataInfB!D63</t>
  </si>
  <si>
    <t>NeoDataInfB!D64</t>
  </si>
  <si>
    <t>NeoDataInfB!D65</t>
  </si>
  <si>
    <t>NeoDataInfB!D66</t>
  </si>
  <si>
    <t>NeoDataInfB!D67</t>
  </si>
  <si>
    <t>NeoDataInfB!D68</t>
  </si>
  <si>
    <t>NeoDataInfB!D69</t>
  </si>
  <si>
    <t>NeoDataInfB!D70</t>
  </si>
  <si>
    <t>NeoDataInfB!D71</t>
  </si>
  <si>
    <t>NeoDataInfB!D72</t>
  </si>
  <si>
    <t>NeoDataInfB!D73</t>
  </si>
  <si>
    <t>NeoDataInfB!D74</t>
  </si>
  <si>
    <t>NeoDataInfB!D75</t>
  </si>
  <si>
    <t>NeoDataInfB!D76</t>
  </si>
  <si>
    <t>NeoDataInfB!D77</t>
  </si>
  <si>
    <t>NeoDataInfB!D78</t>
  </si>
  <si>
    <t>NeoDataInfB!D79</t>
  </si>
  <si>
    <t>NeoDataInfB!D80</t>
  </si>
  <si>
    <t>NeoDataInfB!D81</t>
  </si>
  <si>
    <t>NeoDataInfB!D82</t>
  </si>
  <si>
    <t>NeoDataInfB!D83</t>
  </si>
  <si>
    <t>NeoDataInfB!D84</t>
  </si>
  <si>
    <t>NeoDataInfB!D85</t>
  </si>
  <si>
    <t>NeoDataInfB!D86</t>
  </si>
  <si>
    <t>NeoDataInfB!D87</t>
  </si>
  <si>
    <t>NeoDataInfB!D88</t>
  </si>
  <si>
    <t>NeoDataInfB!D89</t>
  </si>
  <si>
    <t>NeoDataInfB!D90</t>
  </si>
  <si>
    <t>NeoDataInfB!D91</t>
  </si>
  <si>
    <t>NeoDataInfB!D92</t>
  </si>
  <si>
    <t>NeoDataInfB!D93</t>
  </si>
  <si>
    <t>NeoDataInfB!D94</t>
  </si>
  <si>
    <t>NeoDataInfB!D95</t>
  </si>
  <si>
    <t>NeoDataInfB!D96</t>
  </si>
  <si>
    <t>NeoDataInfB!D97</t>
  </si>
  <si>
    <t>NeoDataInfB!D98</t>
  </si>
  <si>
    <t>NeoDataInfB!D99</t>
  </si>
  <si>
    <t>NeoDataInfB!D100</t>
  </si>
  <si>
    <t>NeoDataInfB!D101</t>
  </si>
  <si>
    <t>NeoDataInfB!D102</t>
  </si>
  <si>
    <t>NeoDataInfB!D103</t>
  </si>
  <si>
    <t>NeoDataInfB!D104</t>
  </si>
  <si>
    <t>NeoDataInfB!D105</t>
  </si>
  <si>
    <t>NeoDataInfB!D106</t>
  </si>
  <si>
    <t>NeoDataInfB!D107</t>
  </si>
  <si>
    <t>NeoDataInfB!D108</t>
  </si>
  <si>
    <t>NeoDataInfB!D109</t>
  </si>
  <si>
    <t>NeoDataInfB!D110</t>
  </si>
  <si>
    <t>NeoDataInfB!D111</t>
  </si>
  <si>
    <t>NeoDataInfB!D112</t>
  </si>
  <si>
    <t>NeoDataInfB!D113</t>
  </si>
  <si>
    <t>NeoDataInfB!D114</t>
  </si>
  <si>
    <t>NeoDataInfB!D115</t>
  </si>
  <si>
    <t>NeoDataInfB!D116</t>
  </si>
  <si>
    <t>NeoDataInfB!D117</t>
  </si>
  <si>
    <t>NeoDataInfB!D118</t>
  </si>
  <si>
    <t>NeoDataInfB!B2</t>
  </si>
  <si>
    <t>NeoDataInfB!B3</t>
  </si>
  <si>
    <t>NeoDataInfB!B4</t>
  </si>
  <si>
    <t>NeoDataInfB!B5</t>
  </si>
  <si>
    <t>NeoDataInfB!B6</t>
  </si>
  <si>
    <t>NeoDataInfB!B7</t>
  </si>
  <si>
    <t>NeoDataInfB!B8</t>
  </si>
  <si>
    <t>NeoDataInfB!B9</t>
  </si>
  <si>
    <t>NeoDataInfB!B10</t>
  </si>
  <si>
    <t>NeoDataInfB!B11</t>
  </si>
  <si>
    <t>NeoDataInfB!B12</t>
  </si>
  <si>
    <t>NeoDataInfB!B13</t>
  </si>
  <si>
    <t>NeoDataInfB!B14</t>
  </si>
  <si>
    <t>NeoDataInfB!B15</t>
  </si>
  <si>
    <t>NeoDataInfB!B16</t>
  </si>
  <si>
    <t>NeoDataInfB!B17</t>
  </si>
  <si>
    <t>NeoDataInfB!B18</t>
  </si>
  <si>
    <t>NeoDataInfB!B19</t>
  </si>
  <si>
    <t>NeoDataInfB!B20</t>
  </si>
  <si>
    <t>NeoDataInfB!B21</t>
  </si>
  <si>
    <t>NeoDataInfB!B22</t>
  </si>
  <si>
    <t>NeoDataInfB!B23</t>
  </si>
  <si>
    <t>NeoDataInfB!B24</t>
  </si>
  <si>
    <t>NeoDataInfB!B25</t>
  </si>
  <si>
    <t>NeoDataInfB!B26</t>
  </si>
  <si>
    <t>NeoDataInfB!B27</t>
  </si>
  <si>
    <t>NeoDataInfB!B28</t>
  </si>
  <si>
    <t>NeoDataInfB!B29</t>
  </si>
  <si>
    <t>NeoDataInfB!B30</t>
  </si>
  <si>
    <t>NeoDataInfB!B31</t>
  </si>
  <si>
    <t>NeoDataInfB!B32</t>
  </si>
  <si>
    <t>NeoDataInfB!B33</t>
  </si>
  <si>
    <t>NeoDataInfB!B34</t>
  </si>
  <si>
    <t>NeoDataInfB!B35</t>
  </si>
  <si>
    <t>NeoDataInfB!B36</t>
  </si>
  <si>
    <t>NeoDataInfB!B37</t>
  </si>
  <si>
    <t>NeoDataInfB!B38</t>
  </si>
  <si>
    <t>NeoDataInfB!B39</t>
  </si>
  <si>
    <t>NeoDataInfB!B40</t>
  </si>
  <si>
    <t>NeoDataInfB!B41</t>
  </si>
  <si>
    <t>NeoDataInfB!B42</t>
  </si>
  <si>
    <t>NeoDataInfB!B43</t>
  </si>
  <si>
    <t>NeoDataInfB!B44</t>
  </si>
  <si>
    <t>NeoDataInfB!B45</t>
  </si>
  <si>
    <t>NeoDataInfB!B46</t>
  </si>
  <si>
    <t>NeoDataInfB!B47</t>
  </si>
  <si>
    <t>NeoDataInfB!B48</t>
  </si>
  <si>
    <t>NeoDataInfB!B49</t>
  </si>
  <si>
    <t>NeoDataInfB!B50</t>
  </si>
  <si>
    <t>NeoDataInfB!B51</t>
  </si>
  <si>
    <t>NeoDataInfB!B52</t>
  </si>
  <si>
    <t>NeoDataInfB!B53</t>
  </si>
  <si>
    <t>NeoDataInfB!B54</t>
  </si>
  <si>
    <t>NeoDataInfB!B55</t>
  </si>
  <si>
    <t>NeoDataInfB!B56</t>
  </si>
  <si>
    <t>NeoDataInfB!B57</t>
  </si>
  <si>
    <t>NeoDataInfB!B58</t>
  </si>
  <si>
    <t>NeoDataInfB!B59</t>
  </si>
  <si>
    <t>NeoDataInfB!B60</t>
  </si>
  <si>
    <t>NeoDataInfB!B61</t>
  </si>
  <si>
    <t>NeoDataInfB!B62</t>
  </si>
  <si>
    <t>NeoDataInfB!B63</t>
  </si>
  <si>
    <t>NeoDataInfB!B64</t>
  </si>
  <si>
    <t>NeoDataInfB!B65</t>
  </si>
  <si>
    <t>NeoDataInfB!B66</t>
  </si>
  <si>
    <t>NeoDataInfB!B67</t>
  </si>
  <si>
    <t>NeoDataInfB!B68</t>
  </si>
  <si>
    <t>NeoDataInfB!B69</t>
  </si>
  <si>
    <t>NeoDataInfB!B70</t>
  </si>
  <si>
    <t>NeoDataInfB!B71</t>
  </si>
  <si>
    <t>NeoDataInfB!B72</t>
  </si>
  <si>
    <t>NeoDataInfB!B73</t>
  </si>
  <si>
    <t>NeoDataInfB!B74</t>
  </si>
  <si>
    <t>NeoDataInfB!B75</t>
  </si>
  <si>
    <t>NeoDataInfB!B76</t>
  </si>
  <si>
    <t>NeoDataInfB!B77</t>
  </si>
  <si>
    <t>NeoDataInfB!B78</t>
  </si>
  <si>
    <t>NeoDataInfB!B79</t>
  </si>
  <si>
    <t>NeoDataInfB!B80</t>
  </si>
  <si>
    <t>NeoDataInfB!B81</t>
  </si>
  <si>
    <t>NeoDataInfB!B82</t>
  </si>
  <si>
    <t>NeoDataInfB!B83</t>
  </si>
  <si>
    <t>NeoDataInfB!B84</t>
  </si>
  <si>
    <t>NeoDataInfB!B85</t>
  </si>
  <si>
    <t>NeoDataInfB!B86</t>
  </si>
  <si>
    <t>NeoDataInfB!B87</t>
  </si>
  <si>
    <t>NeoDataInfB!B88</t>
  </si>
  <si>
    <t>NeoDataInfB!B89</t>
  </si>
  <si>
    <t>NeoDataInfB!B90</t>
  </si>
  <si>
    <t>NeoDataInfB!B91</t>
  </si>
  <si>
    <t>NeoDataInfB!B92</t>
  </si>
  <si>
    <t>NeoDataInfB!B93</t>
  </si>
  <si>
    <t>NeoDataInfB!B94</t>
  </si>
  <si>
    <t>NeoDataInfB!B95</t>
  </si>
  <si>
    <t>NeoDataInfB!B96</t>
  </si>
  <si>
    <t>NeoDataInfB!B97</t>
  </si>
  <si>
    <t>NeoDataInfB!B98</t>
  </si>
  <si>
    <t>NeoDataInfB!B99</t>
  </si>
  <si>
    <t>NeoDataInfB!B100</t>
  </si>
  <si>
    <t>NeoDataInfB!B101</t>
  </si>
  <si>
    <t>NeoDataInfB!B102</t>
  </si>
  <si>
    <t>NeoDataInfB!B103</t>
  </si>
  <si>
    <t>NeoDataInfB!B104</t>
  </si>
  <si>
    <t>NeoDataInfB!B105</t>
  </si>
  <si>
    <t>NeoDataInfB!B106</t>
  </si>
  <si>
    <t>NeoDataInfB!B107</t>
  </si>
  <si>
    <t>NeoDataInfB!B108</t>
  </si>
  <si>
    <t>NeoDataInfB!B109</t>
  </si>
  <si>
    <t>NeoDataInfB!B110</t>
  </si>
  <si>
    <t>NeoDataInfB!B111</t>
  </si>
  <si>
    <t>NeoDataInfB!B112</t>
  </si>
  <si>
    <t>NeoDataInfB!B113</t>
  </si>
  <si>
    <t>NeoDataInfB!B114</t>
  </si>
  <si>
    <t>NeoDataInfB!B115</t>
  </si>
  <si>
    <t>NeoDataInfB!B116</t>
  </si>
  <si>
    <t>NeoDataInfB!B117</t>
  </si>
  <si>
    <t>NeoDataInfB!B118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</si>
</sst>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#,##0.000"/>
    <numFmt numFmtId="172" formatCode="d\ mmmm\ \y\y\y\y"/>
  </numFmts>
  <fonts count="9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b/>
      <i/>
      <sz val="10"/>
      <color indexed="10"/>
      <name val="Arial"/>
      <family val="2"/>
    </font>
    <font>
      <b/>
      <i/>
      <sz val="12"/>
      <color indexed="18"/>
      <name val="Arial"/>
      <family val="2"/>
    </font>
    <font>
      <i/>
      <sz val="10"/>
      <color indexed="18"/>
      <name val="Arial"/>
      <family val="2"/>
    </font>
    <font>
      <b/>
      <sz val="10"/>
      <color indexed="54"/>
      <name val="Arial"/>
      <family val="2"/>
    </font>
    <font>
      <b/>
      <sz val="10"/>
      <color indexed="10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indexed="56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20"/>
      <color rgb="FFFF0000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20"/>
      <color theme="0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</fonts>
  <fills count="4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15967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97470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</fills>
  <borders count="11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ck">
        <color indexed="18"/>
      </bottom>
      <diagonal/>
    </border>
    <border>
      <left/>
      <right/>
      <top/>
      <bottom style="thin">
        <color indexed="18"/>
      </bottom>
      <diagonal/>
    </border>
    <border>
      <left/>
      <right/>
      <top/>
      <bottom style="thin">
        <color indexed="54"/>
      </bottom>
      <diagonal/>
    </border>
    <border>
      <left/>
      <right/>
      <top style="thin">
        <color indexed="54"/>
      </top>
      <bottom style="thin">
        <color indexed="54"/>
      </bottom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4"/>
      </top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theme="0" tint="-4.9989318521683403E-2"/>
      </left>
      <right style="thick">
        <color theme="0" tint="-4.9989318521683403E-2"/>
      </right>
      <top/>
      <bottom style="thick">
        <color theme="0" tint="-4.9989318521683403E-2"/>
      </bottom>
      <diagonal/>
    </border>
    <border>
      <left style="thick">
        <color theme="0" tint="-4.9989318521683403E-2"/>
      </left>
      <right/>
      <top/>
      <bottom style="thick">
        <color theme="0" tint="-4.9989318521683403E-2"/>
      </bottom>
      <diagonal/>
    </border>
    <border>
      <left style="thick">
        <color theme="0" tint="-4.9989318521683403E-2"/>
      </left>
      <right style="thick">
        <color theme="0" tint="-4.9989318521683403E-2"/>
      </right>
      <top style="thick">
        <color theme="0" tint="-4.9989318521683403E-2"/>
      </top>
      <bottom style="thick">
        <color theme="0" tint="-4.9989318521683403E-2"/>
      </bottom>
      <diagonal/>
    </border>
    <border>
      <left style="thick">
        <color theme="0" tint="-4.9989318521683403E-2"/>
      </left>
      <right/>
      <top style="thick">
        <color theme="0" tint="-4.9989318521683403E-2"/>
      </top>
      <bottom style="thick">
        <color theme="0" tint="-4.9989318521683403E-2"/>
      </bottom>
      <diagonal/>
    </border>
    <border>
      <left/>
      <right/>
      <top style="thick">
        <color theme="0" tint="-4.9989318521683403E-2"/>
      </top>
      <bottom style="thick">
        <color theme="0" tint="-4.9989318521683403E-2"/>
      </bottom>
      <diagonal/>
    </border>
    <border>
      <left/>
      <right style="thick">
        <color rgb="FFF2F2F2"/>
      </right>
      <top/>
      <bottom/>
      <diagonal/>
    </border>
    <border>
      <left style="thick">
        <color rgb="FFF2F2F2"/>
      </left>
      <right style="thick">
        <color rgb="FFF2F2F2"/>
      </right>
      <top/>
      <bottom/>
      <diagonal/>
    </border>
    <border>
      <left style="thick">
        <color rgb="FFF2F2F2"/>
      </left>
      <right/>
      <top/>
      <bottom/>
      <diagonal/>
    </border>
    <border>
      <left/>
      <right style="thick">
        <color rgb="FFF2F2F2"/>
      </right>
      <top/>
      <bottom style="thick">
        <color rgb="FFF2F2F2"/>
      </bottom>
      <diagonal/>
    </border>
    <border>
      <left style="thick">
        <color rgb="FFF2F2F2"/>
      </left>
      <right style="thick">
        <color rgb="FFF2F2F2"/>
      </right>
      <top/>
      <bottom style="thick">
        <color rgb="FFF2F2F2"/>
      </bottom>
      <diagonal/>
    </border>
    <border>
      <left style="thick">
        <color rgb="FFF2F2F2"/>
      </left>
      <right/>
      <top/>
      <bottom style="thick">
        <color rgb="FFF2F2F2"/>
      </bottom>
      <diagonal/>
    </border>
    <border>
      <left/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 style="thick">
        <color rgb="FFF2F2F2"/>
      </right>
      <top style="thick">
        <color rgb="FFF2F2F2"/>
      </top>
      <bottom style="thick">
        <color theme="0" tint="-4.9989318521683403E-2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theme="0" tint="-4.9989318521683403E-2"/>
      </bottom>
      <diagonal/>
    </border>
    <border>
      <left style="thick">
        <color rgb="FFF2F2F2"/>
      </left>
      <right/>
      <top style="thick">
        <color rgb="FFF2F2F2"/>
      </top>
      <bottom style="thick">
        <color theme="0" tint="-4.9989318521683403E-2"/>
      </bottom>
      <diagonal/>
    </border>
    <border>
      <left/>
      <right/>
      <top/>
      <bottom style="thin">
        <color rgb="FFF2F2F2"/>
      </bottom>
      <diagonal/>
    </border>
    <border>
      <left/>
      <right/>
      <top style="thin">
        <color rgb="FFF2F2F2"/>
      </top>
      <bottom style="thick">
        <color theme="0" tint="-4.9989318521683403E-2"/>
      </bottom>
      <diagonal/>
    </border>
    <border>
      <left/>
      <right/>
      <top style="thick">
        <color theme="0" tint="-4.9989318521683403E-2"/>
      </top>
      <bottom style="thin">
        <color rgb="FFF2F2F2"/>
      </bottom>
      <diagonal/>
    </border>
    <border>
      <left/>
      <right/>
      <top style="thin">
        <color rgb="FFF2F2F2"/>
      </top>
      <bottom style="thin">
        <color rgb="FFF2F2F2"/>
      </bottom>
      <diagonal/>
    </border>
    <border>
      <left/>
      <right style="thick">
        <color rgb="FFF2F2F2"/>
      </right>
      <top/>
      <bottom style="thin">
        <color rgb="FFF2F2F2"/>
      </bottom>
      <diagonal/>
    </border>
    <border>
      <left style="thick">
        <color rgb="FFF2F2F2"/>
      </left>
      <right style="thick">
        <color theme="0" tint="-4.9989318521683403E-2"/>
      </right>
      <top/>
      <bottom style="thin">
        <color rgb="FFF2F2F2"/>
      </bottom>
      <diagonal/>
    </border>
    <border>
      <left/>
      <right style="thick">
        <color rgb="FFF2F2F2"/>
      </right>
      <top style="thin">
        <color rgb="FFF2F2F2"/>
      </top>
      <bottom style="thin">
        <color rgb="FFF2F2F2"/>
      </bottom>
      <diagonal/>
    </border>
    <border>
      <left style="thick">
        <color rgb="FFF2F2F2"/>
      </left>
      <right style="thick">
        <color theme="0" tint="-4.9989318521683403E-2"/>
      </right>
      <top style="thin">
        <color rgb="FFF2F2F2"/>
      </top>
      <bottom style="thin">
        <color rgb="FFF2F2F2"/>
      </bottom>
      <diagonal/>
    </border>
    <border>
      <left/>
      <right style="thick">
        <color rgb="FFF2F2F2"/>
      </right>
      <top style="thin">
        <color rgb="FFF2F2F2"/>
      </top>
      <bottom style="thick">
        <color theme="0" tint="-4.9989318521683403E-2"/>
      </bottom>
      <diagonal/>
    </border>
    <border>
      <left style="thick">
        <color rgb="FFF2F2F2"/>
      </left>
      <right style="thick">
        <color theme="0" tint="-4.9989318521683403E-2"/>
      </right>
      <top style="thin">
        <color rgb="FFF2F2F2"/>
      </top>
      <bottom style="thick">
        <color theme="0" tint="-4.9989318521683403E-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ck">
        <color rgb="FFF2F2F2"/>
      </right>
      <top style="medium">
        <color indexed="22"/>
      </top>
      <bottom style="thick">
        <color rgb="FFF2F2F2"/>
      </bottom>
      <diagonal/>
    </border>
    <border>
      <left style="thick">
        <color rgb="FFF2F2F2"/>
      </left>
      <right style="thick">
        <color rgb="FFF2F2F2"/>
      </right>
      <top style="medium">
        <color indexed="22"/>
      </top>
      <bottom style="thick">
        <color rgb="FFF2F2F2"/>
      </bottom>
      <diagonal/>
    </border>
    <border>
      <left style="thick">
        <color rgb="FFF2F2F2"/>
      </left>
      <right/>
      <top style="medium">
        <color indexed="22"/>
      </top>
      <bottom style="thick">
        <color rgb="FFF2F2F2"/>
      </bottom>
      <diagonal/>
    </border>
    <border>
      <left/>
      <right style="thick">
        <color rgb="FFF2F2F2"/>
      </right>
      <top style="thick">
        <color rgb="FFF2F2F2"/>
      </top>
      <bottom style="medium">
        <color indexed="22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medium">
        <color indexed="22"/>
      </bottom>
      <diagonal/>
    </border>
    <border>
      <left style="thick">
        <color rgb="FFF2F2F2"/>
      </left>
      <right/>
      <top style="thick">
        <color rgb="FFF2F2F2"/>
      </top>
      <bottom style="medium">
        <color indexed="22"/>
      </bottom>
      <diagonal/>
    </border>
    <border>
      <left/>
      <right/>
      <top/>
      <bottom style="thick">
        <color rgb="FFF2F2F2"/>
      </bottom>
      <diagonal/>
    </border>
    <border>
      <left/>
      <right/>
      <top style="thick">
        <color rgb="FFF2F2F2"/>
      </top>
      <bottom style="thick">
        <color theme="0" tint="-4.9989318521683403E-2"/>
      </bottom>
      <diagonal/>
    </border>
  </borders>
  <cellStyleXfs count="208">
    <xf numFmtId="0" fontId="0" fillId="0" borderId="0"/>
    <xf numFmtId="0" fontId="33" fillId="2" borderId="0" applyNumberFormat="0" applyBorder="0" applyAlignment="0" applyProtection="0"/>
    <xf numFmtId="0" fontId="33" fillId="3" borderId="0" applyNumberFormat="0" applyBorder="0" applyAlignment="0" applyProtection="0"/>
    <xf numFmtId="0" fontId="33" fillId="4" borderId="0" applyNumberFormat="0" applyBorder="0" applyAlignment="0" applyProtection="0"/>
    <xf numFmtId="0" fontId="33" fillId="5" borderId="0" applyNumberFormat="0" applyBorder="0" applyAlignment="0" applyProtection="0"/>
    <xf numFmtId="0" fontId="33" fillId="6" borderId="0" applyNumberFormat="0" applyBorder="0" applyAlignment="0" applyProtection="0"/>
    <xf numFmtId="0" fontId="33" fillId="7" borderId="0" applyNumberFormat="0" applyBorder="0" applyAlignment="0" applyProtection="0"/>
    <xf numFmtId="0" fontId="33" fillId="8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5" borderId="0" applyNumberFormat="0" applyBorder="0" applyAlignment="0" applyProtection="0"/>
    <xf numFmtId="0" fontId="33" fillId="8" borderId="0" applyNumberFormat="0" applyBorder="0" applyAlignment="0" applyProtection="0"/>
    <xf numFmtId="0" fontId="33" fillId="11" borderId="0" applyNumberFormat="0" applyBorder="0" applyAlignment="0" applyProtection="0"/>
    <xf numFmtId="0" fontId="34" fillId="12" borderId="0" applyNumberFormat="0" applyBorder="0" applyAlignment="0" applyProtection="0"/>
    <xf numFmtId="0" fontId="34" fillId="9" borderId="0" applyNumberFormat="0" applyBorder="0" applyAlignment="0" applyProtection="0"/>
    <xf numFmtId="0" fontId="34" fillId="10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5" borderId="0" applyNumberFormat="0" applyBorder="0" applyAlignment="0" applyProtection="0"/>
    <xf numFmtId="0" fontId="34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9" borderId="0" applyNumberFormat="0" applyBorder="0" applyAlignment="0" applyProtection="0"/>
    <xf numFmtId="0" fontId="35" fillId="3" borderId="0" applyNumberFormat="0" applyBorder="0" applyAlignment="0" applyProtection="0"/>
    <xf numFmtId="0" fontId="36" fillId="20" borderId="1" applyNumberFormat="0" applyAlignment="0" applyProtection="0"/>
    <xf numFmtId="0" fontId="37" fillId="21" borderId="2" applyNumberFormat="0" applyAlignment="0" applyProtection="0"/>
    <xf numFmtId="0" fontId="38" fillId="0" borderId="0" applyNumberFormat="0" applyFill="0" applyBorder="0" applyAlignment="0" applyProtection="0"/>
    <xf numFmtId="0" fontId="39" fillId="4" borderId="0" applyNumberFormat="0" applyBorder="0" applyAlignment="0" applyProtection="0"/>
    <xf numFmtId="0" fontId="40" fillId="0" borderId="3" applyNumberFormat="0" applyFill="0" applyAlignment="0" applyProtection="0"/>
    <xf numFmtId="0" fontId="41" fillId="0" borderId="4" applyNumberFormat="0" applyFill="0" applyAlignment="0" applyProtection="0"/>
    <xf numFmtId="0" fontId="42" fillId="0" borderId="5" applyNumberFormat="0" applyFill="0" applyAlignment="0" applyProtection="0"/>
    <xf numFmtId="0" fontId="42" fillId="0" borderId="0" applyNumberFormat="0" applyFill="0" applyBorder="0" applyAlignment="0" applyProtection="0"/>
    <xf numFmtId="0" fontId="43" fillId="7" borderId="1" applyNumberFormat="0" applyAlignment="0" applyProtection="0"/>
    <xf numFmtId="0" fontId="44" fillId="0" borderId="6" applyNumberFormat="0" applyFill="0" applyAlignment="0" applyProtection="0"/>
    <xf numFmtId="0" fontId="45" fillId="22" borderId="0" applyNumberFormat="0" applyBorder="0" applyAlignment="0" applyProtection="0"/>
    <xf numFmtId="0" fontId="10" fillId="23" borderId="7" applyNumberFormat="0" applyFont="0" applyAlignment="0" applyProtection="0"/>
    <xf numFmtId="0" fontId="46" fillId="20" borderId="8" applyNumberFormat="0" applyAlignment="0" applyProtection="0"/>
    <xf numFmtId="0" fontId="47" fillId="0" borderId="0" applyNumberFormat="0" applyFill="0" applyBorder="0" applyAlignment="0" applyProtection="0"/>
    <xf numFmtId="0" fontId="48" fillId="0" borderId="9" applyNumberFormat="0" applyFill="0" applyAlignment="0" applyProtection="0"/>
    <xf numFmtId="0" fontId="49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3" fillId="2" borderId="0" applyNumberFormat="0" applyBorder="0" applyAlignment="0" applyProtection="0"/>
    <xf numFmtId="0" fontId="33" fillId="3" borderId="0" applyNumberFormat="0" applyBorder="0" applyAlignment="0" applyProtection="0"/>
    <xf numFmtId="0" fontId="33" fillId="4" borderId="0" applyNumberFormat="0" applyBorder="0" applyAlignment="0" applyProtection="0"/>
    <xf numFmtId="0" fontId="33" fillId="5" borderId="0" applyNumberFormat="0" applyBorder="0" applyAlignment="0" applyProtection="0"/>
    <xf numFmtId="0" fontId="33" fillId="6" borderId="0" applyNumberFormat="0" applyBorder="0" applyAlignment="0" applyProtection="0"/>
    <xf numFmtId="0" fontId="33" fillId="7" borderId="0" applyNumberFormat="0" applyBorder="0" applyAlignment="0" applyProtection="0"/>
    <xf numFmtId="0" fontId="33" fillId="8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5" borderId="0" applyNumberFormat="0" applyBorder="0" applyAlignment="0" applyProtection="0"/>
    <xf numFmtId="0" fontId="33" fillId="8" borderId="0" applyNumberFormat="0" applyBorder="0" applyAlignment="0" applyProtection="0"/>
    <xf numFmtId="0" fontId="33" fillId="11" borderId="0" applyNumberFormat="0" applyBorder="0" applyAlignment="0" applyProtection="0"/>
    <xf numFmtId="0" fontId="34" fillId="12" borderId="0" applyNumberFormat="0" applyBorder="0" applyAlignment="0" applyProtection="0"/>
    <xf numFmtId="0" fontId="34" fillId="9" borderId="0" applyNumberFormat="0" applyBorder="0" applyAlignment="0" applyProtection="0"/>
    <xf numFmtId="0" fontId="34" fillId="10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5" borderId="0" applyNumberFormat="0" applyBorder="0" applyAlignment="0" applyProtection="0"/>
    <xf numFmtId="0" fontId="34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3" fillId="2" borderId="0" applyNumberFormat="0" applyBorder="0" applyAlignment="0" applyProtection="0"/>
    <xf numFmtId="0" fontId="33" fillId="3" borderId="0" applyNumberFormat="0" applyBorder="0" applyAlignment="0" applyProtection="0"/>
    <xf numFmtId="0" fontId="33" fillId="4" borderId="0" applyNumberFormat="0" applyBorder="0" applyAlignment="0" applyProtection="0"/>
    <xf numFmtId="0" fontId="33" fillId="5" borderId="0" applyNumberFormat="0" applyBorder="0" applyAlignment="0" applyProtection="0"/>
    <xf numFmtId="0" fontId="33" fillId="6" borderId="0" applyNumberFormat="0" applyBorder="0" applyAlignment="0" applyProtection="0"/>
    <xf numFmtId="0" fontId="33" fillId="7" borderId="0" applyNumberFormat="0" applyBorder="0" applyAlignment="0" applyProtection="0"/>
    <xf numFmtId="0" fontId="33" fillId="8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5" borderId="0" applyNumberFormat="0" applyBorder="0" applyAlignment="0" applyProtection="0"/>
    <xf numFmtId="0" fontId="33" fillId="8" borderId="0" applyNumberFormat="0" applyBorder="0" applyAlignment="0" applyProtection="0"/>
    <xf numFmtId="0" fontId="33" fillId="11" borderId="0" applyNumberFormat="0" applyBorder="0" applyAlignment="0" applyProtection="0"/>
    <xf numFmtId="0" fontId="34" fillId="12" borderId="0" applyNumberFormat="0" applyBorder="0" applyAlignment="0" applyProtection="0"/>
    <xf numFmtId="0" fontId="34" fillId="9" borderId="0" applyNumberFormat="0" applyBorder="0" applyAlignment="0" applyProtection="0"/>
    <xf numFmtId="0" fontId="34" fillId="10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5" borderId="0" applyNumberFormat="0" applyBorder="0" applyAlignment="0" applyProtection="0"/>
    <xf numFmtId="0" fontId="34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3" fillId="2" borderId="0" applyNumberFormat="0" applyBorder="0" applyAlignment="0" applyProtection="0"/>
    <xf numFmtId="0" fontId="33" fillId="3" borderId="0" applyNumberFormat="0" applyBorder="0" applyAlignment="0" applyProtection="0"/>
    <xf numFmtId="0" fontId="33" fillId="4" borderId="0" applyNumberFormat="0" applyBorder="0" applyAlignment="0" applyProtection="0"/>
    <xf numFmtId="0" fontId="33" fillId="5" borderId="0" applyNumberFormat="0" applyBorder="0" applyAlignment="0" applyProtection="0"/>
    <xf numFmtId="0" fontId="33" fillId="6" borderId="0" applyNumberFormat="0" applyBorder="0" applyAlignment="0" applyProtection="0"/>
    <xf numFmtId="0" fontId="33" fillId="7" borderId="0" applyNumberFormat="0" applyBorder="0" applyAlignment="0" applyProtection="0"/>
    <xf numFmtId="0" fontId="33" fillId="8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5" borderId="0" applyNumberFormat="0" applyBorder="0" applyAlignment="0" applyProtection="0"/>
    <xf numFmtId="0" fontId="33" fillId="8" borderId="0" applyNumberFormat="0" applyBorder="0" applyAlignment="0" applyProtection="0"/>
    <xf numFmtId="0" fontId="33" fillId="11" borderId="0" applyNumberFormat="0" applyBorder="0" applyAlignment="0" applyProtection="0"/>
    <xf numFmtId="0" fontId="34" fillId="12" borderId="0" applyNumberFormat="0" applyBorder="0" applyAlignment="0" applyProtection="0"/>
    <xf numFmtId="0" fontId="34" fillId="9" borderId="0" applyNumberFormat="0" applyBorder="0" applyAlignment="0" applyProtection="0"/>
    <xf numFmtId="0" fontId="34" fillId="10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5" borderId="0" applyNumberFormat="0" applyBorder="0" applyAlignment="0" applyProtection="0"/>
    <xf numFmtId="0" fontId="34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1077">
    <xf numFmtId="0" fontId="0" fillId="0" borderId="0" xfId="0"/>
    <xf numFmtId="0" fontId="0" fillId="0" borderId="0" xfId="0" applyAlignment="1">
      <alignment horizontal="left"/>
    </xf>
    <xf numFmtId="0" fontId="12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4" fontId="0" fillId="0" borderId="0" xfId="0" applyNumberFormat="1"/>
    <xf numFmtId="0" fontId="12" fillId="0" borderId="0" xfId="0" applyFont="1" applyAlignment="1">
      <alignment horizontal="center"/>
    </xf>
    <xf numFmtId="0" fontId="21" fillId="0" borderId="0" xfId="0" applyFont="1"/>
    <xf numFmtId="0" fontId="12" fillId="0" borderId="10" xfId="0" applyFont="1" applyBorder="1"/>
    <xf numFmtId="0" fontId="0" fillId="0" borderId="11" xfId="0" applyBorder="1"/>
    <xf numFmtId="0" fontId="0" fillId="0" borderId="12" xfId="0" applyBorder="1"/>
    <xf numFmtId="0" fontId="12" fillId="0" borderId="10" xfId="0" applyFont="1" applyBorder="1" applyAlignment="1">
      <alignment horizontal="left"/>
    </xf>
    <xf numFmtId="0" fontId="23" fillId="0" borderId="7" xfId="0" quotePrefix="1" applyNumberFormat="1" applyFont="1" applyBorder="1"/>
    <xf numFmtId="0" fontId="20" fillId="0" borderId="7" xfId="0" applyFont="1" applyBorder="1"/>
    <xf numFmtId="0" fontId="20" fillId="0" borderId="0" xfId="0" applyFont="1"/>
    <xf numFmtId="0" fontId="0" fillId="0" borderId="7" xfId="0" applyBorder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1" fillId="0" borderId="0" xfId="0" applyFont="1" applyFill="1" applyBorder="1"/>
    <xf numFmtId="0" fontId="0" fillId="0" borderId="0" xfId="0" applyAlignment="1">
      <alignment wrapText="1"/>
    </xf>
    <xf numFmtId="0" fontId="21" fillId="0" borderId="0" xfId="0" applyFont="1" applyFill="1" applyProtection="1">
      <protection locked="0" hidden="1"/>
    </xf>
    <xf numFmtId="0" fontId="20" fillId="0" borderId="7" xfId="0" quotePrefix="1" applyNumberFormat="1" applyFont="1" applyBorder="1"/>
    <xf numFmtId="0" fontId="20" fillId="0" borderId="0" xfId="0" quotePrefix="1" applyNumberFormat="1" applyFont="1" applyBorder="1"/>
    <xf numFmtId="0" fontId="20" fillId="0" borderId="7" xfId="0" applyNumberFormat="1" applyFont="1" applyBorder="1"/>
    <xf numFmtId="15" fontId="0" fillId="0" borderId="0" xfId="0" applyNumberFormat="1"/>
    <xf numFmtId="0" fontId="21" fillId="0" borderId="14" xfId="0" applyFont="1" applyBorder="1" applyAlignment="1">
      <alignment vertical="top" wrapText="1"/>
    </xf>
    <xf numFmtId="0" fontId="21" fillId="0" borderId="15" xfId="0" applyFont="1" applyBorder="1" applyAlignment="1">
      <alignment vertical="top" wrapText="1"/>
    </xf>
    <xf numFmtId="0" fontId="21" fillId="0" borderId="16" xfId="0" applyFont="1" applyBorder="1" applyAlignment="1">
      <alignment vertical="top" wrapText="1"/>
    </xf>
    <xf numFmtId="0" fontId="21" fillId="0" borderId="17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1" fillId="0" borderId="0" xfId="0" applyFont="1" applyAlignment="1">
      <alignment vertical="top" wrapText="1"/>
    </xf>
    <xf numFmtId="0" fontId="21" fillId="0" borderId="18" xfId="0" applyFont="1" applyBorder="1" applyAlignment="1">
      <alignment vertical="top" wrapText="1"/>
    </xf>
    <xf numFmtId="0" fontId="21" fillId="0" borderId="19" xfId="0" applyFont="1" applyBorder="1" applyAlignment="1">
      <alignment vertical="top" wrapText="1"/>
    </xf>
    <xf numFmtId="0" fontId="21" fillId="0" borderId="20" xfId="0" applyFont="1" applyBorder="1" applyAlignment="1">
      <alignment vertical="top" wrapText="1"/>
    </xf>
    <xf numFmtId="0" fontId="21" fillId="0" borderId="21" xfId="0" applyFont="1" applyBorder="1" applyAlignment="1">
      <alignment vertical="top" wrapText="1"/>
    </xf>
    <xf numFmtId="0" fontId="21" fillId="0" borderId="22" xfId="0" applyFont="1" applyBorder="1" applyAlignment="1">
      <alignment vertical="top" wrapText="1"/>
    </xf>
    <xf numFmtId="166" fontId="21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21" fillId="0" borderId="0" xfId="0" applyFont="1" applyFill="1" applyProtection="1"/>
    <xf numFmtId="0" fontId="21" fillId="0" borderId="0" xfId="0" applyFont="1" applyFill="1" applyBorder="1" applyProtection="1"/>
    <xf numFmtId="0" fontId="12" fillId="0" borderId="0" xfId="0" applyFont="1" applyFill="1" applyBorder="1" applyProtection="1"/>
    <xf numFmtId="0" fontId="21" fillId="0" borderId="23" xfId="0" applyFont="1" applyBorder="1"/>
    <xf numFmtId="0" fontId="21" fillId="0" borderId="25" xfId="0" applyFont="1" applyBorder="1"/>
    <xf numFmtId="0" fontId="21" fillId="0" borderId="22" xfId="0" applyFont="1" applyBorder="1"/>
    <xf numFmtId="0" fontId="21" fillId="0" borderId="18" xfId="0" applyFont="1" applyBorder="1"/>
    <xf numFmtId="0" fontId="21" fillId="0" borderId="14" xfId="0" applyFont="1" applyBorder="1"/>
    <xf numFmtId="0" fontId="21" fillId="0" borderId="0" xfId="0" applyFont="1" applyBorder="1"/>
    <xf numFmtId="0" fontId="21" fillId="0" borderId="15" xfId="0" applyFont="1" applyBorder="1"/>
    <xf numFmtId="15" fontId="21" fillId="0" borderId="14" xfId="0" applyNumberFormat="1" applyFont="1" applyBorder="1"/>
    <xf numFmtId="0" fontId="21" fillId="0" borderId="16" xfId="0" applyFont="1" applyBorder="1"/>
    <xf numFmtId="0" fontId="21" fillId="0" borderId="17" xfId="0" applyFont="1" applyBorder="1"/>
    <xf numFmtId="0" fontId="21" fillId="0" borderId="26" xfId="0" applyFont="1" applyBorder="1" applyAlignment="1">
      <alignment vertical="top" wrapText="1"/>
    </xf>
    <xf numFmtId="0" fontId="0" fillId="0" borderId="24" xfId="0" applyBorder="1" applyAlignment="1">
      <alignment horizontal="center"/>
    </xf>
    <xf numFmtId="0" fontId="21" fillId="0" borderId="14" xfId="0" applyFont="1" applyBorder="1" applyAlignment="1">
      <alignment horizontal="center" vertical="top" wrapText="1"/>
    </xf>
    <xf numFmtId="0" fontId="26" fillId="0" borderId="0" xfId="0" applyFont="1" applyAlignment="1">
      <alignment vertical="top" wrapText="1"/>
    </xf>
    <xf numFmtId="0" fontId="21" fillId="0" borderId="15" xfId="0" applyFont="1" applyBorder="1" applyAlignment="1">
      <alignment horizontal="left" vertical="top" wrapText="1"/>
    </xf>
    <xf numFmtId="0" fontId="21" fillId="0" borderId="15" xfId="0" applyFont="1" applyBorder="1" applyAlignment="1">
      <alignment horizontal="center" vertical="top" wrapText="1"/>
    </xf>
    <xf numFmtId="0" fontId="21" fillId="0" borderId="0" xfId="0" applyFont="1" applyBorder="1" applyAlignment="1">
      <alignment horizontal="center" vertical="top" wrapText="1"/>
    </xf>
    <xf numFmtId="0" fontId="21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 wrapText="1"/>
    </xf>
    <xf numFmtId="0" fontId="26" fillId="0" borderId="22" xfId="0" applyFont="1" applyBorder="1" applyAlignment="1">
      <alignment vertical="top" wrapText="1"/>
    </xf>
    <xf numFmtId="0" fontId="26" fillId="0" borderId="10" xfId="0" applyFont="1" applyBorder="1" applyAlignment="1">
      <alignment vertical="center" wrapText="1"/>
    </xf>
    <xf numFmtId="0" fontId="26" fillId="0" borderId="11" xfId="0" applyFont="1" applyBorder="1" applyAlignment="1">
      <alignment vertical="center" wrapText="1"/>
    </xf>
    <xf numFmtId="0" fontId="26" fillId="0" borderId="12" xfId="0" applyFont="1" applyBorder="1" applyAlignment="1">
      <alignment vertical="center" wrapText="1"/>
    </xf>
    <xf numFmtId="0" fontId="21" fillId="0" borderId="12" xfId="0" applyFont="1" applyBorder="1" applyAlignment="1">
      <alignment horizontal="center" vertical="center" wrapText="1"/>
    </xf>
    <xf numFmtId="0" fontId="26" fillId="0" borderId="16" xfId="0" applyFont="1" applyBorder="1" applyAlignment="1">
      <alignment vertical="center" wrapText="1"/>
    </xf>
    <xf numFmtId="0" fontId="26" fillId="0" borderId="23" xfId="0" applyFont="1" applyBorder="1" applyAlignment="1">
      <alignment vertical="center" wrapText="1"/>
    </xf>
    <xf numFmtId="0" fontId="26" fillId="0" borderId="17" xfId="0" applyFont="1" applyBorder="1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6" fillId="0" borderId="14" xfId="0" applyFont="1" applyBorder="1" applyAlignment="1">
      <alignment vertical="center" wrapText="1"/>
    </xf>
    <xf numFmtId="0" fontId="26" fillId="0" borderId="0" xfId="0" applyFont="1" applyAlignment="1">
      <alignment vertical="center" wrapText="1"/>
    </xf>
    <xf numFmtId="0" fontId="26" fillId="0" borderId="15" xfId="0" applyFont="1" applyBorder="1" applyAlignment="1">
      <alignment vertical="center" wrapText="1"/>
    </xf>
    <xf numFmtId="0" fontId="26" fillId="0" borderId="10" xfId="0" applyFont="1" applyBorder="1" applyAlignment="1">
      <alignment vertical="center"/>
    </xf>
    <xf numFmtId="0" fontId="26" fillId="0" borderId="16" xfId="0" applyFont="1" applyBorder="1" applyAlignment="1">
      <alignment vertical="center"/>
    </xf>
    <xf numFmtId="0" fontId="26" fillId="0" borderId="11" xfId="0" applyFont="1" applyBorder="1" applyAlignment="1">
      <alignment vertical="center"/>
    </xf>
    <xf numFmtId="0" fontId="26" fillId="0" borderId="12" xfId="0" applyFont="1" applyBorder="1" applyAlignment="1">
      <alignment vertical="center"/>
    </xf>
    <xf numFmtId="0" fontId="26" fillId="0" borderId="23" xfId="0" applyFont="1" applyBorder="1" applyAlignment="1">
      <alignment vertical="center"/>
    </xf>
    <xf numFmtId="0" fontId="26" fillId="0" borderId="17" xfId="0" applyFont="1" applyBorder="1" applyAlignment="1">
      <alignment vertical="center"/>
    </xf>
    <xf numFmtId="0" fontId="27" fillId="0" borderId="12" xfId="0" applyFont="1" applyBorder="1" applyAlignment="1">
      <alignment vertical="center"/>
    </xf>
    <xf numFmtId="0" fontId="21" fillId="0" borderId="12" xfId="0" applyFont="1" applyBorder="1" applyAlignment="1">
      <alignment horizontal="center" vertical="center"/>
    </xf>
    <xf numFmtId="0" fontId="27" fillId="0" borderId="17" xfId="0" applyFont="1" applyBorder="1" applyAlignment="1">
      <alignment vertical="center"/>
    </xf>
    <xf numFmtId="0" fontId="21" fillId="0" borderId="17" xfId="0" applyFont="1" applyBorder="1" applyAlignment="1">
      <alignment horizontal="center" vertical="center"/>
    </xf>
    <xf numFmtId="0" fontId="21" fillId="0" borderId="30" xfId="0" applyFont="1" applyBorder="1" applyAlignment="1">
      <alignment vertical="top" wrapText="1"/>
    </xf>
    <xf numFmtId="0" fontId="21" fillId="0" borderId="31" xfId="0" applyFont="1" applyBorder="1" applyAlignment="1">
      <alignment vertical="top" wrapText="1"/>
    </xf>
    <xf numFmtId="0" fontId="21" fillId="0" borderId="23" xfId="0" applyFont="1" applyBorder="1" applyAlignment="1">
      <alignment horizontal="center" vertical="center" wrapText="1"/>
    </xf>
    <xf numFmtId="0" fontId="26" fillId="0" borderId="22" xfId="0" applyFont="1" applyBorder="1" applyAlignment="1">
      <alignment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24" xfId="0" applyFont="1" applyBorder="1" applyAlignment="1">
      <alignment horizontal="center" vertical="center" wrapText="1"/>
    </xf>
    <xf numFmtId="0" fontId="18" fillId="25" borderId="7" xfId="0" applyFont="1" applyFill="1" applyBorder="1" applyAlignment="1">
      <alignment wrapText="1"/>
    </xf>
    <xf numFmtId="0" fontId="18" fillId="25" borderId="32" xfId="0" applyFont="1" applyFill="1" applyBorder="1"/>
    <xf numFmtId="0" fontId="18" fillId="25" borderId="33" xfId="0" applyFont="1" applyFill="1" applyBorder="1"/>
    <xf numFmtId="0" fontId="18" fillId="25" borderId="34" xfId="0" applyFont="1" applyFill="1" applyBorder="1"/>
    <xf numFmtId="0" fontId="23" fillId="25" borderId="7" xfId="0" quotePrefix="1" applyNumberFormat="1" applyFont="1" applyFill="1" applyBorder="1"/>
    <xf numFmtId="0" fontId="23" fillId="25" borderId="35" xfId="0" quotePrefix="1" applyNumberFormat="1" applyFont="1" applyFill="1" applyBorder="1"/>
    <xf numFmtId="0" fontId="0" fillId="25" borderId="7" xfId="0" applyFill="1" applyBorder="1"/>
    <xf numFmtId="0" fontId="20" fillId="25" borderId="7" xfId="0" applyFont="1" applyFill="1" applyBorder="1"/>
    <xf numFmtId="16" fontId="20" fillId="25" borderId="7" xfId="0" applyNumberFormat="1" applyFont="1" applyFill="1" applyBorder="1" applyAlignment="1">
      <alignment horizontal="center" vertical="center" wrapText="1"/>
    </xf>
    <xf numFmtId="0" fontId="21" fillId="25" borderId="0" xfId="0" applyFont="1" applyFill="1" applyProtection="1"/>
    <xf numFmtId="0" fontId="21" fillId="25" borderId="0" xfId="0" applyFont="1" applyFill="1"/>
    <xf numFmtId="0" fontId="21" fillId="25" borderId="0" xfId="0" applyFont="1" applyFill="1" applyBorder="1" applyAlignment="1">
      <alignment horizontal="left"/>
    </xf>
    <xf numFmtId="15" fontId="12" fillId="25" borderId="0" xfId="0" applyNumberFormat="1" applyFont="1" applyFill="1" applyBorder="1" applyAlignment="1">
      <alignment horizontal="left"/>
    </xf>
    <xf numFmtId="0" fontId="21" fillId="25" borderId="0" xfId="0" applyFont="1" applyFill="1" applyBorder="1" applyAlignment="1"/>
    <xf numFmtId="15" fontId="12" fillId="25" borderId="0" xfId="0" applyNumberFormat="1" applyFont="1" applyFill="1" applyBorder="1" applyAlignment="1" applyProtection="1">
      <alignment horizontal="left"/>
      <protection locked="0"/>
    </xf>
    <xf numFmtId="0" fontId="12" fillId="25" borderId="0" xfId="0" applyFont="1" applyFill="1" applyBorder="1" applyAlignment="1" applyProtection="1">
      <alignment horizontal="left"/>
      <protection locked="0"/>
    </xf>
    <xf numFmtId="0" fontId="12" fillId="25" borderId="0" xfId="0" applyFont="1" applyFill="1" applyBorder="1" applyAlignment="1">
      <alignment horizontal="left"/>
    </xf>
    <xf numFmtId="0" fontId="21" fillId="25" borderId="0" xfId="0" applyFont="1" applyFill="1" applyBorder="1" applyProtection="1"/>
    <xf numFmtId="1" fontId="12" fillId="25" borderId="0" xfId="0" applyNumberFormat="1" applyFont="1" applyFill="1" applyBorder="1" applyAlignment="1">
      <alignment horizontal="left"/>
    </xf>
    <xf numFmtId="0" fontId="17" fillId="0" borderId="0" xfId="0" applyFont="1" applyFill="1" applyBorder="1" applyProtection="1"/>
    <xf numFmtId="0" fontId="17" fillId="24" borderId="0" xfId="0" applyFont="1" applyFill="1" applyBorder="1" applyProtection="1"/>
    <xf numFmtId="0" fontId="21" fillId="25" borderId="0" xfId="0" applyFont="1" applyFill="1" applyBorder="1"/>
    <xf numFmtId="166" fontId="21" fillId="25" borderId="0" xfId="0" applyNumberFormat="1" applyFont="1" applyFill="1" applyBorder="1" applyAlignment="1" applyProtection="1">
      <alignment horizontal="left"/>
    </xf>
    <xf numFmtId="0" fontId="21" fillId="0" borderId="0" xfId="0" applyFont="1" applyFill="1" applyBorder="1" applyAlignment="1" applyProtection="1">
      <alignment horizontal="center" vertical="center"/>
    </xf>
    <xf numFmtId="0" fontId="17" fillId="25" borderId="0" xfId="0" applyFont="1" applyFill="1" applyBorder="1" applyAlignment="1" applyProtection="1">
      <alignment horizontal="center"/>
    </xf>
    <xf numFmtId="0" fontId="31" fillId="25" borderId="0" xfId="0" applyFont="1" applyFill="1" applyBorder="1" applyProtection="1"/>
    <xf numFmtId="0" fontId="17" fillId="0" borderId="0" xfId="0" applyFont="1" applyFill="1" applyBorder="1" applyAlignment="1" applyProtection="1">
      <alignment horizontal="center"/>
    </xf>
    <xf numFmtId="0" fontId="13" fillId="25" borderId="0" xfId="0" applyFont="1" applyFill="1" applyBorder="1" applyProtection="1"/>
    <xf numFmtId="0" fontId="29" fillId="25" borderId="0" xfId="0" applyFont="1" applyFill="1" applyBorder="1" applyProtection="1"/>
    <xf numFmtId="0" fontId="17" fillId="24" borderId="36" xfId="0" applyFont="1" applyFill="1" applyBorder="1" applyProtection="1"/>
    <xf numFmtId="0" fontId="12" fillId="0" borderId="36" xfId="0" applyFont="1" applyFill="1" applyBorder="1" applyProtection="1"/>
    <xf numFmtId="0" fontId="21" fillId="0" borderId="36" xfId="0" applyFont="1" applyFill="1" applyBorder="1" applyProtection="1"/>
    <xf numFmtId="0" fontId="17" fillId="24" borderId="37" xfId="0" applyFont="1" applyFill="1" applyBorder="1" applyProtection="1"/>
    <xf numFmtId="0" fontId="12" fillId="0" borderId="37" xfId="0" applyFont="1" applyFill="1" applyBorder="1" applyProtection="1"/>
    <xf numFmtId="0" fontId="21" fillId="0" borderId="37" xfId="0" applyFont="1" applyFill="1" applyBorder="1" applyProtection="1"/>
    <xf numFmtId="0" fontId="13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1" fillId="25" borderId="0" xfId="0" applyNumberFormat="1" applyFont="1" applyFill="1" applyBorder="1" applyAlignment="1" applyProtection="1">
      <alignment horizontal="left"/>
    </xf>
    <xf numFmtId="0" fontId="25" fillId="0" borderId="33" xfId="0" applyFont="1" applyBorder="1" applyAlignment="1">
      <alignment vertical="top" wrapText="1"/>
    </xf>
    <xf numFmtId="0" fontId="20" fillId="0" borderId="33" xfId="0" applyFont="1" applyBorder="1" applyAlignment="1">
      <alignment horizontal="right" vertical="top" wrapText="1"/>
    </xf>
    <xf numFmtId="0" fontId="20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0" fontId="50" fillId="0" borderId="36" xfId="0" applyFont="1" applyFill="1" applyBorder="1" applyProtection="1"/>
    <xf numFmtId="0" fontId="50" fillId="0" borderId="0" xfId="0" applyFont="1" applyFill="1" applyBorder="1" applyProtection="1"/>
    <xf numFmtId="0" fontId="50" fillId="0" borderId="37" xfId="0" applyFont="1" applyFill="1" applyBorder="1" applyProtection="1"/>
    <xf numFmtId="0" fontId="50" fillId="0" borderId="0" xfId="0" applyFont="1" applyFill="1" applyProtection="1"/>
    <xf numFmtId="0" fontId="10" fillId="0" borderId="0" xfId="0" applyFont="1"/>
    <xf numFmtId="0" fontId="21" fillId="26" borderId="0" xfId="0" applyFont="1" applyFill="1" applyProtection="1"/>
    <xf numFmtId="0" fontId="11" fillId="26" borderId="0" xfId="0" applyFont="1" applyFill="1" applyProtection="1"/>
    <xf numFmtId="0" fontId="21" fillId="26" borderId="0" xfId="0" applyFont="1" applyFill="1" applyBorder="1" applyAlignment="1">
      <alignment horizontal="left"/>
    </xf>
    <xf numFmtId="15" fontId="12" fillId="26" borderId="0" xfId="0" applyNumberFormat="1" applyFont="1" applyFill="1" applyBorder="1" applyAlignment="1">
      <alignment horizontal="left"/>
    </xf>
    <xf numFmtId="0" fontId="21" fillId="26" borderId="0" xfId="0" applyFont="1" applyFill="1" applyBorder="1" applyAlignment="1"/>
    <xf numFmtId="15" fontId="12" fillId="26" borderId="0" xfId="0" applyNumberFormat="1" applyFont="1" applyFill="1" applyBorder="1" applyAlignment="1" applyProtection="1">
      <alignment horizontal="left"/>
      <protection locked="0"/>
    </xf>
    <xf numFmtId="0" fontId="21" fillId="26" borderId="0" xfId="0" applyFont="1" applyFill="1"/>
    <xf numFmtId="0" fontId="12" fillId="26" borderId="0" xfId="0" applyFont="1" applyFill="1" applyBorder="1" applyAlignment="1" applyProtection="1">
      <alignment horizontal="left"/>
      <protection locked="0"/>
    </xf>
    <xf numFmtId="0" fontId="12" fillId="26" borderId="0" xfId="0" applyFont="1" applyFill="1" applyBorder="1" applyAlignment="1">
      <alignment horizontal="left"/>
    </xf>
    <xf numFmtId="0" fontId="21" fillId="26" borderId="0" xfId="0" applyFont="1" applyFill="1" applyBorder="1" applyProtection="1"/>
    <xf numFmtId="1" fontId="12" fillId="26" borderId="0" xfId="0" applyNumberFormat="1" applyFont="1" applyFill="1" applyBorder="1" applyAlignment="1">
      <alignment horizontal="left"/>
    </xf>
    <xf numFmtId="0" fontId="16" fillId="26" borderId="0" xfId="0" applyFont="1" applyFill="1" applyProtection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26" borderId="0" xfId="0" applyFont="1" applyFill="1" applyBorder="1" applyAlignment="1">
      <alignment horizontal="left"/>
    </xf>
    <xf numFmtId="0" fontId="10" fillId="25" borderId="0" xfId="0" applyFont="1" applyFill="1" applyBorder="1" applyAlignment="1">
      <alignment horizontal="left"/>
    </xf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4" fillId="0" borderId="0" xfId="42" applyFont="1"/>
    <xf numFmtId="0" fontId="10" fillId="0" borderId="0" xfId="42" applyAlignment="1"/>
    <xf numFmtId="0" fontId="12" fillId="0" borderId="0" xfId="42" applyFont="1" applyAlignment="1">
      <alignment horizontal="left"/>
    </xf>
    <xf numFmtId="0" fontId="12" fillId="0" borderId="0" xfId="42" applyFont="1"/>
    <xf numFmtId="0" fontId="55" fillId="0" borderId="0" xfId="42" applyFont="1" applyBorder="1"/>
    <xf numFmtId="0" fontId="10" fillId="0" borderId="0" xfId="42" applyBorder="1"/>
    <xf numFmtId="0" fontId="55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4" fillId="0" borderId="0" xfId="42" applyFont="1" applyBorder="1"/>
    <xf numFmtId="0" fontId="12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44" xfId="42" applyBorder="1"/>
    <xf numFmtId="0" fontId="10" fillId="0" borderId="45" xfId="42" applyBorder="1"/>
    <xf numFmtId="0" fontId="10" fillId="0" borderId="0" xfId="42" applyAlignment="1">
      <alignment horizontal="left"/>
    </xf>
    <xf numFmtId="0" fontId="10" fillId="0" borderId="46" xfId="42" applyFont="1" applyBorder="1"/>
    <xf numFmtId="0" fontId="12" fillId="0" borderId="46" xfId="42" applyFont="1" applyBorder="1"/>
    <xf numFmtId="0" fontId="10" fillId="0" borderId="47" xfId="42" applyFont="1" applyBorder="1"/>
    <xf numFmtId="0" fontId="10" fillId="0" borderId="46" xfId="42" applyFont="1" applyBorder="1" applyAlignment="1">
      <alignment horizontal="center"/>
    </xf>
    <xf numFmtId="0" fontId="10" fillId="0" borderId="47" xfId="42" applyBorder="1"/>
    <xf numFmtId="0" fontId="10" fillId="0" borderId="48" xfId="42" applyFont="1" applyBorder="1"/>
    <xf numFmtId="0" fontId="12" fillId="0" borderId="48" xfId="42" applyFont="1" applyBorder="1"/>
    <xf numFmtId="0" fontId="12" fillId="0" borderId="48" xfId="42" applyFont="1" applyBorder="1" applyAlignment="1">
      <alignment horizontal="right"/>
    </xf>
    <xf numFmtId="0" fontId="10" fillId="0" borderId="48" xfId="42" applyFont="1" applyBorder="1" applyAlignment="1">
      <alignment horizontal="center"/>
    </xf>
    <xf numFmtId="0" fontId="10" fillId="0" borderId="48" xfId="42" applyFont="1" applyBorder="1" applyAlignment="1">
      <alignment horizontal="right"/>
    </xf>
    <xf numFmtId="0" fontId="32" fillId="0" borderId="48" xfId="42" applyFont="1" applyBorder="1" applyAlignment="1">
      <alignment horizontal="left"/>
    </xf>
    <xf numFmtId="0" fontId="10" fillId="0" borderId="49" xfId="42" applyFont="1" applyBorder="1"/>
    <xf numFmtId="0" fontId="10" fillId="0" borderId="49" xfId="42" applyBorder="1"/>
    <xf numFmtId="0" fontId="10" fillId="0" borderId="50" xfId="42" applyBorder="1"/>
    <xf numFmtId="0" fontId="10" fillId="0" borderId="51" xfId="42" applyBorder="1"/>
    <xf numFmtId="0" fontId="10" fillId="0" borderId="34" xfId="42" applyBorder="1"/>
    <xf numFmtId="0" fontId="10" fillId="0" borderId="32" xfId="42" applyBorder="1"/>
    <xf numFmtId="0" fontId="10" fillId="0" borderId="52" xfId="42" applyBorder="1"/>
    <xf numFmtId="0" fontId="10" fillId="0" borderId="33" xfId="42" applyBorder="1"/>
    <xf numFmtId="0" fontId="12" fillId="0" borderId="32" xfId="42" applyFont="1" applyBorder="1"/>
    <xf numFmtId="0" fontId="10" fillId="0" borderId="33" xfId="42" applyFont="1" applyBorder="1"/>
    <xf numFmtId="0" fontId="10" fillId="0" borderId="34" xfId="42" applyFont="1" applyBorder="1"/>
    <xf numFmtId="0" fontId="10" fillId="0" borderId="53" xfId="42" applyBorder="1"/>
    <xf numFmtId="0" fontId="10" fillId="0" borderId="54" xfId="42" applyBorder="1"/>
    <xf numFmtId="0" fontId="10" fillId="0" borderId="55" xfId="42" applyBorder="1"/>
    <xf numFmtId="0" fontId="10" fillId="0" borderId="56" xfId="42" applyBorder="1"/>
    <xf numFmtId="0" fontId="20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2" fillId="0" borderId="0" xfId="42" applyFont="1" applyFill="1"/>
    <xf numFmtId="15" fontId="12" fillId="0" borderId="0" xfId="42" applyNumberFormat="1" applyFont="1" applyFill="1" applyAlignment="1">
      <alignment horizontal="left"/>
    </xf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32" xfId="42" applyFill="1" applyBorder="1"/>
    <xf numFmtId="0" fontId="10" fillId="0" borderId="34" xfId="42" applyFill="1" applyBorder="1"/>
    <xf numFmtId="0" fontId="10" fillId="0" borderId="51" xfId="42" applyFill="1" applyBorder="1"/>
    <xf numFmtId="0" fontId="12" fillId="0" borderId="51" xfId="42" applyFont="1" applyFill="1" applyBorder="1"/>
    <xf numFmtId="0" fontId="10" fillId="0" borderId="0" xfId="42" applyFill="1" applyBorder="1"/>
    <xf numFmtId="0" fontId="10" fillId="0" borderId="59" xfId="42" applyFill="1" applyBorder="1"/>
    <xf numFmtId="0" fontId="12" fillId="0" borderId="32" xfId="42" applyFont="1" applyFill="1" applyBorder="1"/>
    <xf numFmtId="0" fontId="10" fillId="0" borderId="33" xfId="42" applyFill="1" applyBorder="1"/>
    <xf numFmtId="170" fontId="56" fillId="0" borderId="7" xfId="42" applyNumberFormat="1" applyFont="1" applyFill="1" applyBorder="1" applyAlignment="1">
      <alignment horizontal="right"/>
    </xf>
    <xf numFmtId="170" fontId="56" fillId="0" borderId="33" xfId="42" applyNumberFormat="1" applyFont="1" applyFill="1" applyBorder="1" applyAlignment="1">
      <alignment horizontal="right"/>
    </xf>
    <xf numFmtId="0" fontId="12" fillId="0" borderId="60" xfId="42" applyFont="1" applyFill="1" applyBorder="1"/>
    <xf numFmtId="0" fontId="10" fillId="0" borderId="57" xfId="42" applyFill="1" applyBorder="1"/>
    <xf numFmtId="0" fontId="10" fillId="0" borderId="40" xfId="42" applyFill="1" applyBorder="1"/>
    <xf numFmtId="0" fontId="10" fillId="0" borderId="58" xfId="42" applyFill="1" applyBorder="1"/>
    <xf numFmtId="1" fontId="56" fillId="0" borderId="35" xfId="42" applyNumberFormat="1" applyFont="1" applyFill="1" applyBorder="1" applyAlignment="1">
      <alignment horizontal="right"/>
    </xf>
    <xf numFmtId="170" fontId="56" fillId="0" borderId="35" xfId="42" applyNumberFormat="1" applyFont="1" applyFill="1" applyBorder="1" applyAlignment="1">
      <alignment horizontal="right"/>
    </xf>
    <xf numFmtId="0" fontId="10" fillId="0" borderId="60" xfId="42" applyFill="1" applyBorder="1"/>
    <xf numFmtId="1" fontId="56" fillId="0" borderId="7" xfId="42" applyNumberFormat="1" applyFont="1" applyFill="1" applyBorder="1" applyAlignment="1">
      <alignment horizontal="right"/>
    </xf>
    <xf numFmtId="0" fontId="12" fillId="0" borderId="33" xfId="42" applyFont="1" applyFill="1" applyBorder="1"/>
    <xf numFmtId="0" fontId="12" fillId="0" borderId="0" xfId="42" applyFont="1" applyFill="1" applyBorder="1"/>
    <xf numFmtId="1" fontId="56" fillId="0" borderId="0" xfId="42" applyNumberFormat="1" applyFont="1" applyFill="1" applyBorder="1" applyAlignment="1">
      <alignment horizontal="right"/>
    </xf>
    <xf numFmtId="170" fontId="56" fillId="0" borderId="0" xfId="42" applyNumberFormat="1" applyFont="1" applyFill="1" applyBorder="1" applyAlignment="1">
      <alignment horizontal="right"/>
    </xf>
    <xf numFmtId="1" fontId="57" fillId="0" borderId="0" xfId="42" applyNumberFormat="1" applyFont="1" applyFill="1" applyBorder="1" applyAlignment="1">
      <alignment horizontal="right"/>
    </xf>
    <xf numFmtId="170" fontId="57" fillId="0" borderId="0" xfId="42" applyNumberFormat="1" applyFont="1" applyFill="1" applyBorder="1" applyAlignment="1">
      <alignment horizontal="right"/>
    </xf>
    <xf numFmtId="0" fontId="12" fillId="0" borderId="7" xfId="42" applyFont="1" applyFill="1" applyBorder="1"/>
    <xf numFmtId="0" fontId="10" fillId="0" borderId="7" xfId="42" applyFill="1" applyBorder="1"/>
    <xf numFmtId="0" fontId="12" fillId="0" borderId="7" xfId="42" applyFont="1" applyFill="1" applyBorder="1" applyAlignment="1">
      <alignment horizontal="left"/>
    </xf>
    <xf numFmtId="1" fontId="57" fillId="0" borderId="51" xfId="42" applyNumberFormat="1" applyFont="1" applyFill="1" applyBorder="1" applyAlignment="1">
      <alignment horizontal="right"/>
    </xf>
    <xf numFmtId="170" fontId="57" fillId="0" borderId="51" xfId="42" applyNumberFormat="1" applyFont="1" applyFill="1" applyBorder="1" applyAlignment="1">
      <alignment horizontal="right"/>
    </xf>
    <xf numFmtId="0" fontId="10" fillId="0" borderId="50" xfId="42" applyFill="1" applyBorder="1"/>
    <xf numFmtId="0" fontId="10" fillId="0" borderId="51" xfId="42" applyFill="1" applyBorder="1" applyAlignment="1">
      <alignment horizontal="right"/>
    </xf>
    <xf numFmtId="1" fontId="56" fillId="0" borderId="61" xfId="42" applyNumberFormat="1" applyFont="1" applyFill="1" applyBorder="1" applyAlignment="1">
      <alignment horizontal="right"/>
    </xf>
    <xf numFmtId="170" fontId="56" fillId="0" borderId="61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6" fillId="0" borderId="62" xfId="42" applyNumberFormat="1" applyFont="1" applyFill="1" applyBorder="1" applyAlignment="1">
      <alignment horizontal="right"/>
    </xf>
    <xf numFmtId="170" fontId="56" fillId="0" borderId="62" xfId="42" applyNumberFormat="1" applyFont="1" applyFill="1" applyBorder="1" applyAlignment="1">
      <alignment horizontal="right"/>
    </xf>
    <xf numFmtId="0" fontId="10" fillId="0" borderId="40" xfId="42" applyFill="1" applyBorder="1" applyAlignment="1">
      <alignment horizontal="right"/>
    </xf>
    <xf numFmtId="0" fontId="12" fillId="0" borderId="40" xfId="42" applyFont="1" applyFill="1" applyBorder="1"/>
    <xf numFmtId="0" fontId="58" fillId="0" borderId="0" xfId="42" applyFont="1" applyFill="1" applyBorder="1" applyAlignment="1">
      <alignment horizontal="right"/>
    </xf>
    <xf numFmtId="0" fontId="58" fillId="0" borderId="33" xfId="42" applyFont="1" applyFill="1" applyBorder="1" applyAlignment="1">
      <alignment horizontal="right"/>
    </xf>
    <xf numFmtId="0" fontId="54" fillId="0" borderId="32" xfId="42" applyFont="1" applyFill="1" applyBorder="1"/>
    <xf numFmtId="0" fontId="10" fillId="0" borderId="33" xfId="42" applyFill="1" applyBorder="1" applyAlignment="1">
      <alignment horizontal="right"/>
    </xf>
    <xf numFmtId="0" fontId="58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59" fillId="0" borderId="0" xfId="42" applyFont="1"/>
    <xf numFmtId="0" fontId="12" fillId="25" borderId="7" xfId="42" applyFont="1" applyFill="1" applyBorder="1"/>
    <xf numFmtId="0" fontId="10" fillId="25" borderId="50" xfId="42" applyFill="1" applyBorder="1"/>
    <xf numFmtId="0" fontId="10" fillId="25" borderId="51" xfId="42" applyFill="1" applyBorder="1"/>
    <xf numFmtId="0" fontId="12" fillId="25" borderId="51" xfId="42" applyFont="1" applyFill="1" applyBorder="1"/>
    <xf numFmtId="0" fontId="10" fillId="25" borderId="51" xfId="42" applyFill="1" applyBorder="1" applyAlignment="1">
      <alignment horizontal="right"/>
    </xf>
    <xf numFmtId="1" fontId="60" fillId="25" borderId="61" xfId="42" applyNumberFormat="1" applyFont="1" applyFill="1" applyBorder="1" applyAlignment="1">
      <alignment horizontal="right"/>
    </xf>
    <xf numFmtId="170" fontId="60" fillId="25" borderId="61" xfId="42" applyNumberFormat="1" applyFont="1" applyFill="1" applyBorder="1" applyAlignment="1">
      <alignment horizontal="right"/>
    </xf>
    <xf numFmtId="0" fontId="10" fillId="25" borderId="60" xfId="42" applyFill="1" applyBorder="1"/>
    <xf numFmtId="0" fontId="10" fillId="25" borderId="0" xfId="42" applyFill="1" applyBorder="1"/>
    <xf numFmtId="0" fontId="10" fillId="25" borderId="0" xfId="42" applyFill="1" applyBorder="1" applyAlignment="1">
      <alignment horizontal="right"/>
    </xf>
    <xf numFmtId="0" fontId="12" fillId="25" borderId="0" xfId="42" applyFont="1" applyFill="1" applyBorder="1"/>
    <xf numFmtId="1" fontId="60" fillId="25" borderId="62" xfId="42" applyNumberFormat="1" applyFont="1" applyFill="1" applyBorder="1" applyAlignment="1">
      <alignment horizontal="right"/>
    </xf>
    <xf numFmtId="170" fontId="60" fillId="25" borderId="62" xfId="42" applyNumberFormat="1" applyFont="1" applyFill="1" applyBorder="1" applyAlignment="1">
      <alignment horizontal="right"/>
    </xf>
    <xf numFmtId="0" fontId="29" fillId="25" borderId="57" xfId="42" applyFont="1" applyFill="1" applyBorder="1"/>
    <xf numFmtId="0" fontId="29" fillId="25" borderId="40" xfId="42" applyFont="1" applyFill="1" applyBorder="1"/>
    <xf numFmtId="0" fontId="61" fillId="25" borderId="40" xfId="42" applyFont="1" applyFill="1" applyBorder="1"/>
    <xf numFmtId="0" fontId="10" fillId="25" borderId="40" xfId="42" applyFill="1" applyBorder="1"/>
    <xf numFmtId="0" fontId="10" fillId="25" borderId="40" xfId="42" applyFont="1" applyFill="1" applyBorder="1"/>
    <xf numFmtId="1" fontId="60" fillId="25" borderId="7" xfId="42" applyNumberFormat="1" applyFont="1" applyFill="1" applyBorder="1" applyAlignment="1">
      <alignment horizontal="right"/>
    </xf>
    <xf numFmtId="170" fontId="60" fillId="25" borderId="7" xfId="42" applyNumberFormat="1" applyFont="1" applyFill="1" applyBorder="1" applyAlignment="1">
      <alignment horizontal="right"/>
    </xf>
    <xf numFmtId="0" fontId="61" fillId="0" borderId="51" xfId="42" applyFont="1" applyFill="1" applyBorder="1"/>
    <xf numFmtId="1" fontId="60" fillId="0" borderId="33" xfId="42" applyNumberFormat="1" applyFont="1" applyFill="1" applyBorder="1" applyAlignment="1">
      <alignment horizontal="right"/>
    </xf>
    <xf numFmtId="170" fontId="60" fillId="0" borderId="33" xfId="42" applyNumberFormat="1" applyFont="1" applyFill="1" applyBorder="1" applyAlignment="1">
      <alignment horizontal="right"/>
    </xf>
    <xf numFmtId="0" fontId="12" fillId="0" borderId="7" xfId="42" applyFont="1" applyBorder="1"/>
    <xf numFmtId="0" fontId="12" fillId="0" borderId="51" xfId="42" applyFont="1" applyBorder="1"/>
    <xf numFmtId="0" fontId="10" fillId="0" borderId="51" xfId="42" applyBorder="1" applyAlignment="1">
      <alignment horizontal="right"/>
    </xf>
    <xf numFmtId="1" fontId="60" fillId="0" borderId="62" xfId="42" applyNumberFormat="1" applyFont="1" applyBorder="1" applyAlignment="1">
      <alignment horizontal="right"/>
    </xf>
    <xf numFmtId="170" fontId="60" fillId="0" borderId="62" xfId="42" applyNumberFormat="1" applyFont="1" applyBorder="1" applyAlignment="1">
      <alignment horizontal="right"/>
    </xf>
    <xf numFmtId="0" fontId="10" fillId="0" borderId="60" xfId="42" applyBorder="1"/>
    <xf numFmtId="0" fontId="10" fillId="0" borderId="0" xfId="42" applyBorder="1" applyAlignment="1">
      <alignment horizontal="right"/>
    </xf>
    <xf numFmtId="0" fontId="29" fillId="0" borderId="57" xfId="42" applyFont="1" applyBorder="1"/>
    <xf numFmtId="0" fontId="29" fillId="0" borderId="40" xfId="42" applyFont="1" applyBorder="1"/>
    <xf numFmtId="0" fontId="61" fillId="0" borderId="40" xfId="42" applyFont="1" applyBorder="1"/>
    <xf numFmtId="0" fontId="29" fillId="0" borderId="40" xfId="42" applyFont="1" applyBorder="1" applyAlignment="1">
      <alignment horizontal="right"/>
    </xf>
    <xf numFmtId="0" fontId="10" fillId="0" borderId="40" xfId="42" applyBorder="1"/>
    <xf numFmtId="0" fontId="10" fillId="0" borderId="40" xfId="42" applyFont="1" applyBorder="1"/>
    <xf numFmtId="1" fontId="60" fillId="0" borderId="7" xfId="42" applyNumberFormat="1" applyFont="1" applyBorder="1" applyAlignment="1">
      <alignment horizontal="right"/>
    </xf>
    <xf numFmtId="170" fontId="60" fillId="0" borderId="7" xfId="42" applyNumberFormat="1" applyFont="1" applyBorder="1" applyAlignment="1">
      <alignment horizontal="right"/>
    </xf>
    <xf numFmtId="0" fontId="12" fillId="0" borderId="33" xfId="42" applyFont="1" applyBorder="1"/>
    <xf numFmtId="0" fontId="61" fillId="0" borderId="51" xfId="42" applyFont="1" applyBorder="1"/>
    <xf numFmtId="1" fontId="60" fillId="0" borderId="51" xfId="42" applyNumberFormat="1" applyFont="1" applyBorder="1" applyAlignment="1">
      <alignment horizontal="right"/>
    </xf>
    <xf numFmtId="170" fontId="60" fillId="0" borderId="51" xfId="42" applyNumberFormat="1" applyFont="1" applyBorder="1" applyAlignment="1">
      <alignment horizontal="right"/>
    </xf>
    <xf numFmtId="0" fontId="10" fillId="25" borderId="40" xfId="42" applyFill="1" applyBorder="1" applyAlignment="1">
      <alignment horizontal="right"/>
    </xf>
    <xf numFmtId="0" fontId="10" fillId="0" borderId="40" xfId="42" applyBorder="1" applyAlignment="1">
      <alignment horizontal="right"/>
    </xf>
    <xf numFmtId="0" fontId="10" fillId="0" borderId="33" xfId="42" applyBorder="1" applyAlignment="1">
      <alignment horizontal="right"/>
    </xf>
    <xf numFmtId="0" fontId="54" fillId="0" borderId="33" xfId="42" applyFont="1" applyBorder="1"/>
    <xf numFmtId="0" fontId="10" fillId="0" borderId="34" xfId="42" applyBorder="1" applyAlignment="1">
      <alignment horizontal="right"/>
    </xf>
    <xf numFmtId="0" fontId="23" fillId="0" borderId="0" xfId="42" applyFont="1"/>
    <xf numFmtId="0" fontId="20" fillId="0" borderId="0" xfId="42" applyFont="1" applyAlignment="1">
      <alignment horizontal="left"/>
    </xf>
    <xf numFmtId="0" fontId="10" fillId="0" borderId="65" xfId="42" applyFill="1" applyBorder="1"/>
    <xf numFmtId="0" fontId="12" fillId="0" borderId="0" xfId="42" applyFont="1" applyAlignment="1">
      <alignment wrapText="1"/>
    </xf>
    <xf numFmtId="49" fontId="10" fillId="0" borderId="0" xfId="42" applyNumberFormat="1" applyAlignment="1">
      <alignment wrapText="1"/>
    </xf>
    <xf numFmtId="2" fontId="10" fillId="0" borderId="0" xfId="42" applyNumberFormat="1" applyAlignment="1">
      <alignment wrapText="1"/>
    </xf>
    <xf numFmtId="2" fontId="10" fillId="0" borderId="0" xfId="42" applyNumberFormat="1"/>
    <xf numFmtId="49" fontId="12" fillId="0" borderId="0" xfId="42" applyNumberFormat="1" applyFont="1" applyAlignment="1">
      <alignment wrapText="1"/>
    </xf>
    <xf numFmtId="2" fontId="12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14" fontId="10" fillId="0" borderId="0" xfId="42" applyNumberFormat="1"/>
    <xf numFmtId="171" fontId="10" fillId="0" borderId="0" xfId="42" applyNumberFormat="1"/>
    <xf numFmtId="0" fontId="10" fillId="26" borderId="0" xfId="0" applyFont="1" applyFill="1" applyProtection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70" xfId="0" applyBorder="1"/>
    <xf numFmtId="0" fontId="68" fillId="0" borderId="0" xfId="0" applyFont="1"/>
    <xf numFmtId="0" fontId="10" fillId="0" borderId="0" xfId="0" quotePrefix="1" applyFont="1"/>
    <xf numFmtId="0" fontId="10" fillId="0" borderId="0" xfId="42" applyFont="1" applyFill="1" applyBorder="1"/>
    <xf numFmtId="0" fontId="17" fillId="0" borderId="0" xfId="42" applyFont="1" applyFill="1" applyBorder="1"/>
    <xf numFmtId="172" fontId="10" fillId="0" borderId="0" xfId="42" applyNumberFormat="1" applyFont="1" applyFill="1" applyBorder="1" applyAlignment="1">
      <alignment horizontal="left"/>
    </xf>
    <xf numFmtId="172" fontId="69" fillId="0" borderId="0" xfId="42" applyNumberFormat="1" applyFont="1" applyFill="1" applyBorder="1" applyAlignment="1">
      <alignment horizontal="left"/>
    </xf>
    <xf numFmtId="0" fontId="10" fillId="0" borderId="0" xfId="42" applyFont="1" applyFill="1" applyBorder="1" applyAlignment="1">
      <alignment horizontal="left"/>
    </xf>
    <xf numFmtId="0" fontId="10" fillId="0" borderId="0" xfId="42" applyFont="1" applyFill="1"/>
    <xf numFmtId="0" fontId="17" fillId="0" borderId="0" xfId="42" applyFont="1" applyFill="1"/>
    <xf numFmtId="0" fontId="10" fillId="25" borderId="0" xfId="42" applyFont="1" applyFill="1" applyBorder="1"/>
    <xf numFmtId="0" fontId="70" fillId="25" borderId="0" xfId="42" applyFont="1" applyFill="1" applyBorder="1"/>
    <xf numFmtId="0" fontId="10" fillId="25" borderId="0" xfId="42" applyFill="1"/>
    <xf numFmtId="0" fontId="10" fillId="25" borderId="0" xfId="42" applyFont="1" applyFill="1"/>
    <xf numFmtId="0" fontId="68" fillId="0" borderId="0" xfId="0" applyFont="1" applyFill="1" applyProtection="1"/>
    <xf numFmtId="0" fontId="71" fillId="0" borderId="0" xfId="0" applyFont="1" applyFill="1" applyProtection="1"/>
    <xf numFmtId="0" fontId="68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72" fillId="0" borderId="0" xfId="0" applyFont="1"/>
    <xf numFmtId="0" fontId="10" fillId="0" borderId="0" xfId="0" applyFont="1" applyBorder="1"/>
    <xf numFmtId="20" fontId="0" fillId="0" borderId="0" xfId="0" applyNumberFormat="1"/>
    <xf numFmtId="49" fontId="12" fillId="0" borderId="0" xfId="0" applyNumberFormat="1" applyFont="1"/>
    <xf numFmtId="0" fontId="12" fillId="0" borderId="72" xfId="0" applyFont="1" applyBorder="1"/>
    <xf numFmtId="0" fontId="10" fillId="0" borderId="72" xfId="0" applyFont="1" applyBorder="1"/>
    <xf numFmtId="0" fontId="0" fillId="0" borderId="72" xfId="0" applyBorder="1"/>
    <xf numFmtId="0" fontId="12" fillId="0" borderId="0" xfId="43" applyFont="1"/>
    <xf numFmtId="0" fontId="10" fillId="0" borderId="0" xfId="43"/>
    <xf numFmtId="0" fontId="10" fillId="0" borderId="70" xfId="43" applyBorder="1"/>
    <xf numFmtId="0" fontId="12" fillId="0" borderId="72" xfId="43" applyFont="1" applyBorder="1"/>
    <xf numFmtId="0" fontId="10" fillId="0" borderId="0" xfId="43" applyFont="1"/>
    <xf numFmtId="0" fontId="10" fillId="0" borderId="72" xfId="43" applyFont="1" applyBorder="1"/>
    <xf numFmtId="0" fontId="10" fillId="0" borderId="0" xfId="43" applyFont="1" applyBorder="1"/>
    <xf numFmtId="0" fontId="10" fillId="0" borderId="72" xfId="43" applyBorder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70" xfId="0" applyBorder="1" applyProtection="1">
      <protection locked="0"/>
    </xf>
    <xf numFmtId="0" fontId="10" fillId="0" borderId="0" xfId="43" applyProtection="1">
      <protection locked="0"/>
    </xf>
    <xf numFmtId="0" fontId="10" fillId="0" borderId="70" xfId="43" applyBorder="1" applyProtection="1">
      <protection locked="0"/>
    </xf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1" fillId="0" borderId="0" xfId="0" applyFont="1" applyFill="1" applyProtection="1">
      <protection locked="0"/>
    </xf>
    <xf numFmtId="0" fontId="21" fillId="26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21" fillId="25" borderId="0" xfId="0" applyFont="1" applyFill="1" applyProtection="1">
      <protection locked="0"/>
    </xf>
    <xf numFmtId="0" fontId="12" fillId="0" borderId="0" xfId="0" applyFont="1" applyProtection="1">
      <protection locked="0"/>
    </xf>
    <xf numFmtId="0" fontId="10" fillId="0" borderId="0" xfId="42" applyFont="1" applyFill="1" applyBorder="1" applyProtection="1">
      <protection locked="0"/>
    </xf>
    <xf numFmtId="0" fontId="10" fillId="0" borderId="0" xfId="42" applyFont="1" applyProtection="1">
      <protection locked="0"/>
    </xf>
    <xf numFmtId="0" fontId="21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2" fillId="0" borderId="0" xfId="42" applyFont="1" applyAlignment="1" applyProtection="1">
      <alignment wrapText="1"/>
      <protection locked="0"/>
    </xf>
    <xf numFmtId="0" fontId="12" fillId="0" borderId="0" xfId="43" applyFont="1" applyProtection="1">
      <protection locked="0"/>
    </xf>
    <xf numFmtId="0" fontId="10" fillId="0" borderId="0" xfId="42" applyFont="1" applyFill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2" fillId="0" borderId="32" xfId="42" applyFont="1" applyFill="1" applyBorder="1" applyProtection="1">
      <protection locked="0"/>
    </xf>
    <xf numFmtId="0" fontId="59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0" fontId="20" fillId="0" borderId="7" xfId="0" applyFont="1" applyFill="1" applyBorder="1"/>
    <xf numFmtId="0" fontId="10" fillId="0" borderId="0" xfId="44" applyFont="1"/>
    <xf numFmtId="0" fontId="74" fillId="0" borderId="0" xfId="44" applyFont="1"/>
    <xf numFmtId="20" fontId="10" fillId="0" borderId="0" xfId="0" applyNumberFormat="1" applyFont="1"/>
    <xf numFmtId="0" fontId="10" fillId="0" borderId="0" xfId="43" applyAlignment="1">
      <alignment horizontal="left"/>
    </xf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72" xfId="42" applyBorder="1"/>
    <xf numFmtId="0" fontId="10" fillId="0" borderId="70" xfId="42" applyBorder="1"/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6" fillId="0" borderId="0" xfId="0" applyFont="1"/>
    <xf numFmtId="0" fontId="10" fillId="0" borderId="0" xfId="96" applyFont="1" applyFill="1"/>
    <xf numFmtId="167" fontId="10" fillId="0" borderId="0" xfId="96" applyNumberFormat="1" applyFont="1"/>
    <xf numFmtId="0" fontId="10" fillId="0" borderId="0" xfId="96" applyFont="1" applyAlignment="1">
      <alignment horizontal="right"/>
    </xf>
    <xf numFmtId="0" fontId="74" fillId="0" borderId="0" xfId="96" applyFont="1" applyFill="1"/>
    <xf numFmtId="167" fontId="10" fillId="0" borderId="0" xfId="96" applyNumberFormat="1" applyFont="1" applyFill="1"/>
    <xf numFmtId="0" fontId="10" fillId="0" borderId="0" xfId="96" applyFont="1" applyFill="1" applyAlignment="1">
      <alignment horizontal="right"/>
    </xf>
    <xf numFmtId="167" fontId="10" fillId="0" borderId="0" xfId="96" applyNumberFormat="1" applyFont="1" applyFill="1" applyAlignment="1">
      <alignment horizontal="right"/>
    </xf>
    <xf numFmtId="167" fontId="10" fillId="0" borderId="0" xfId="96" applyNumberFormat="1" applyFont="1" applyAlignment="1">
      <alignment horizontal="right"/>
    </xf>
    <xf numFmtId="0" fontId="10" fillId="0" borderId="0" xfId="42" applyFont="1" applyFill="1" applyAlignment="1">
      <alignment horizontal="right"/>
    </xf>
    <xf numFmtId="0" fontId="10" fillId="0" borderId="0" xfId="42"/>
    <xf numFmtId="168" fontId="10" fillId="0" borderId="0" xfId="42" applyNumberFormat="1"/>
    <xf numFmtId="2" fontId="10" fillId="0" borderId="0" xfId="42" applyNumberFormat="1" applyFont="1"/>
    <xf numFmtId="0" fontId="10" fillId="0" borderId="0" xfId="42" applyFont="1"/>
    <xf numFmtId="0" fontId="10" fillId="0" borderId="0" xfId="42" applyFont="1" applyFill="1"/>
    <xf numFmtId="0" fontId="10" fillId="0" borderId="0" xfId="96" applyFont="1"/>
    <xf numFmtId="167" fontId="10" fillId="0" borderId="0" xfId="42" applyNumberFormat="1" applyFont="1"/>
    <xf numFmtId="167" fontId="10" fillId="0" borderId="0" xfId="42" applyNumberFormat="1" applyFont="1" applyFill="1"/>
    <xf numFmtId="167" fontId="77" fillId="0" borderId="0" xfId="42" applyNumberFormat="1" applyFont="1" applyFill="1"/>
    <xf numFmtId="0" fontId="77" fillId="0" borderId="0" xfId="42" applyFont="1" applyProtection="1">
      <protection locked="0"/>
    </xf>
    <xf numFmtId="0" fontId="77" fillId="0" borderId="0" xfId="42" applyFont="1" applyFill="1" applyAlignment="1">
      <alignment horizontal="right"/>
    </xf>
    <xf numFmtId="167" fontId="77" fillId="0" borderId="0" xfId="42" applyNumberFormat="1" applyFont="1"/>
    <xf numFmtId="2" fontId="77" fillId="0" borderId="0" xfId="42" applyNumberFormat="1" applyFont="1"/>
    <xf numFmtId="169" fontId="10" fillId="0" borderId="0" xfId="42" applyNumberFormat="1" applyFill="1"/>
    <xf numFmtId="0" fontId="12" fillId="0" borderId="0" xfId="42" applyFont="1"/>
    <xf numFmtId="0" fontId="77" fillId="0" borderId="0" xfId="42" applyFont="1"/>
    <xf numFmtId="0" fontId="77" fillId="0" borderId="0" xfId="42" applyFont="1" applyFill="1"/>
    <xf numFmtId="0" fontId="10" fillId="0" borderId="0" xfId="42"/>
    <xf numFmtId="0" fontId="12" fillId="0" borderId="0" xfId="42" applyFont="1" applyAlignment="1">
      <alignment wrapText="1"/>
    </xf>
    <xf numFmtId="0" fontId="5" fillId="0" borderId="0" xfId="131" applyFont="1"/>
    <xf numFmtId="0" fontId="76" fillId="0" borderId="0" xfId="131" applyFont="1"/>
    <xf numFmtId="0" fontId="78" fillId="0" borderId="0" xfId="42" applyFont="1" applyFill="1"/>
    <xf numFmtId="0" fontId="0" fillId="0" borderId="0" xfId="132" applyFont="1"/>
    <xf numFmtId="0" fontId="77" fillId="0" borderId="0" xfId="132" applyFont="1"/>
    <xf numFmtId="167" fontId="77" fillId="0" borderId="0" xfId="132" applyNumberFormat="1" applyFont="1"/>
    <xf numFmtId="0" fontId="78" fillId="0" borderId="0" xfId="132" applyFont="1" applyFill="1"/>
    <xf numFmtId="1" fontId="77" fillId="0" borderId="0" xfId="42" applyNumberFormat="1" applyFont="1"/>
    <xf numFmtId="1" fontId="78" fillId="0" borderId="0" xfId="42" applyNumberFormat="1" applyFont="1" applyFill="1"/>
    <xf numFmtId="0" fontId="77" fillId="0" borderId="0" xfId="132" applyFont="1" applyFill="1"/>
    <xf numFmtId="0" fontId="77" fillId="0" borderId="0" xfId="131" applyFont="1" applyFill="1"/>
    <xf numFmtId="0" fontId="78" fillId="0" borderId="0" xfId="131" applyFont="1" applyFill="1"/>
    <xf numFmtId="167" fontId="77" fillId="0" borderId="0" xfId="132" applyNumberFormat="1" applyFont="1" applyFill="1"/>
    <xf numFmtId="167" fontId="77" fillId="0" borderId="0" xfId="132" applyNumberFormat="1" applyFont="1" applyFill="1" applyAlignment="1">
      <alignment horizontal="right"/>
    </xf>
    <xf numFmtId="0" fontId="77" fillId="0" borderId="0" xfId="132" applyFont="1" applyFill="1" applyAlignment="1">
      <alignment horizontal="right"/>
    </xf>
    <xf numFmtId="0" fontId="78" fillId="0" borderId="0" xfId="132" applyFont="1" applyFill="1" applyAlignment="1">
      <alignment horizontal="right"/>
    </xf>
    <xf numFmtId="0" fontId="78" fillId="0" borderId="0" xfId="132" applyFont="1"/>
    <xf numFmtId="167" fontId="77" fillId="0" borderId="0" xfId="132" applyNumberFormat="1" applyFont="1" applyAlignment="1">
      <alignment horizontal="right"/>
    </xf>
    <xf numFmtId="0" fontId="77" fillId="0" borderId="0" xfId="132" applyFont="1" applyAlignment="1">
      <alignment horizontal="right"/>
    </xf>
    <xf numFmtId="0" fontId="78" fillId="0" borderId="0" xfId="132" applyFont="1" applyAlignment="1">
      <alignment horizontal="right"/>
    </xf>
    <xf numFmtId="0" fontId="5" fillId="0" borderId="0" xfId="131" applyFill="1"/>
    <xf numFmtId="168" fontId="10" fillId="0" borderId="0" xfId="42" applyNumberFormat="1" applyFont="1"/>
    <xf numFmtId="0" fontId="79" fillId="0" borderId="0" xfId="96" applyFont="1"/>
    <xf numFmtId="0" fontId="74" fillId="0" borderId="0" xfId="96" applyFont="1"/>
    <xf numFmtId="0" fontId="51" fillId="0" borderId="0" xfId="0" applyFont="1" applyFill="1"/>
    <xf numFmtId="0" fontId="12" fillId="0" borderId="0" xfId="0" applyFont="1" applyAlignment="1"/>
    <xf numFmtId="0" fontId="5" fillId="0" borderId="0" xfId="131" applyFont="1" applyFill="1"/>
    <xf numFmtId="0" fontId="80" fillId="27" borderId="73" xfId="0" applyFont="1" applyFill="1" applyBorder="1"/>
    <xf numFmtId="0" fontId="77" fillId="27" borderId="74" xfId="0" applyFont="1" applyFill="1" applyBorder="1"/>
    <xf numFmtId="0" fontId="77" fillId="27" borderId="75" xfId="0" applyFont="1" applyFill="1" applyBorder="1"/>
    <xf numFmtId="0" fontId="77" fillId="27" borderId="76" xfId="42" applyFont="1" applyFill="1" applyBorder="1"/>
    <xf numFmtId="0" fontId="77" fillId="27" borderId="0" xfId="42" applyFont="1" applyFill="1" applyBorder="1" applyAlignment="1">
      <alignment horizontal="left"/>
    </xf>
    <xf numFmtId="0" fontId="77" fillId="27" borderId="0" xfId="42" applyFont="1" applyFill="1" applyBorder="1"/>
    <xf numFmtId="0" fontId="77" fillId="27" borderId="77" xfId="42" applyFont="1" applyFill="1" applyBorder="1"/>
    <xf numFmtId="0" fontId="77" fillId="27" borderId="76" xfId="42" applyFont="1" applyFill="1" applyBorder="1" applyAlignment="1">
      <alignment horizontal="center"/>
    </xf>
    <xf numFmtId="0" fontId="77" fillId="27" borderId="0" xfId="42" applyFont="1" applyFill="1" applyBorder="1" applyAlignment="1">
      <alignment horizontal="center"/>
    </xf>
    <xf numFmtId="0" fontId="77" fillId="27" borderId="77" xfId="42" applyFont="1" applyFill="1" applyBorder="1" applyAlignment="1">
      <alignment horizontal="center"/>
    </xf>
    <xf numFmtId="0" fontId="77" fillId="27" borderId="78" xfId="42" applyFont="1" applyFill="1" applyBorder="1" applyAlignment="1">
      <alignment horizontal="center"/>
    </xf>
    <xf numFmtId="0" fontId="77" fillId="27" borderId="13" xfId="42" applyFont="1" applyFill="1" applyBorder="1" applyAlignment="1">
      <alignment horizontal="center"/>
    </xf>
    <xf numFmtId="0" fontId="80" fillId="27" borderId="13" xfId="42" applyFont="1" applyFill="1" applyBorder="1"/>
    <xf numFmtId="0" fontId="77" fillId="27" borderId="13" xfId="42" applyFont="1" applyFill="1" applyBorder="1"/>
    <xf numFmtId="0" fontId="77" fillId="27" borderId="79" xfId="0" applyFont="1" applyFill="1" applyBorder="1"/>
    <xf numFmtId="0" fontId="12" fillId="0" borderId="0" xfId="42" applyFont="1" applyAlignment="1">
      <alignment wrapText="1"/>
    </xf>
    <xf numFmtId="0" fontId="10" fillId="0" borderId="0" xfId="0" applyFont="1" applyBorder="1" applyProtection="1">
      <protection locked="0"/>
    </xf>
    <xf numFmtId="0" fontId="51" fillId="0" borderId="0" xfId="0" applyFont="1"/>
    <xf numFmtId="0" fontId="20" fillId="0" borderId="0" xfId="0" applyFont="1" applyFill="1" applyBorder="1" applyAlignment="1">
      <alignment horizontal="left"/>
    </xf>
    <xf numFmtId="0" fontId="20" fillId="0" borderId="0" xfId="0" applyFont="1" applyAlignment="1">
      <alignment horizontal="left"/>
    </xf>
    <xf numFmtId="0" fontId="20" fillId="0" borderId="0" xfId="0" applyFont="1" applyFill="1" applyBorder="1" applyProtection="1">
      <protection locked="0"/>
    </xf>
    <xf numFmtId="0" fontId="20" fillId="0" borderId="0" xfId="0" applyFont="1" applyFill="1" applyBorder="1" applyAlignment="1">
      <alignment horizontal="center"/>
    </xf>
    <xf numFmtId="0" fontId="20" fillId="0" borderId="0" xfId="0" applyFont="1" applyFill="1" applyBorder="1"/>
    <xf numFmtId="0" fontId="81" fillId="0" borderId="0" xfId="0" applyFont="1" applyFill="1" applyBorder="1"/>
    <xf numFmtId="0" fontId="20" fillId="25" borderId="0" xfId="0" applyFont="1" applyFill="1" applyBorder="1" applyAlignment="1">
      <alignment horizontal="center"/>
    </xf>
    <xf numFmtId="0" fontId="20" fillId="25" borderId="0" xfId="0" applyFont="1" applyFill="1" applyBorder="1" applyAlignment="1">
      <alignment horizontal="right"/>
    </xf>
    <xf numFmtId="15" fontId="20" fillId="0" borderId="0" xfId="0" applyNumberFormat="1" applyFont="1" applyFill="1" applyBorder="1" applyAlignment="1">
      <alignment horizontal="left"/>
    </xf>
    <xf numFmtId="0" fontId="20" fillId="25" borderId="0" xfId="0" applyFont="1" applyFill="1" applyBorder="1"/>
    <xf numFmtId="0" fontId="82" fillId="0" borderId="0" xfId="0" applyFont="1" applyFill="1" applyBorder="1"/>
    <xf numFmtId="1" fontId="20" fillId="0" borderId="0" xfId="0" applyNumberFormat="1" applyFont="1" applyFill="1" applyBorder="1" applyAlignment="1">
      <alignment horizontal="left"/>
    </xf>
    <xf numFmtId="165" fontId="20" fillId="0" borderId="0" xfId="0" applyNumberFormat="1" applyFont="1" applyFill="1" applyBorder="1" applyAlignment="1">
      <alignment horizontal="left"/>
    </xf>
    <xf numFmtId="0" fontId="20" fillId="0" borderId="23" xfId="0" applyFont="1" applyFill="1" applyBorder="1"/>
    <xf numFmtId="0" fontId="23" fillId="0" borderId="23" xfId="0" applyFont="1" applyFill="1" applyBorder="1"/>
    <xf numFmtId="0" fontId="20" fillId="0" borderId="0" xfId="0" quotePrefix="1" applyFont="1" applyFill="1" applyBorder="1"/>
    <xf numFmtId="0" fontId="20" fillId="0" borderId="0" xfId="0" applyFont="1" applyFill="1" applyBorder="1" applyAlignment="1"/>
    <xf numFmtId="0" fontId="20" fillId="25" borderId="23" xfId="0" applyFont="1" applyFill="1" applyBorder="1" applyAlignment="1">
      <alignment horizontal="center"/>
    </xf>
    <xf numFmtId="0" fontId="20" fillId="25" borderId="23" xfId="0" applyFont="1" applyFill="1" applyBorder="1"/>
    <xf numFmtId="0" fontId="20" fillId="25" borderId="0" xfId="0" applyFont="1" applyFill="1" applyBorder="1" applyAlignment="1">
      <alignment horizontal="left" vertical="top"/>
    </xf>
    <xf numFmtId="0" fontId="20" fillId="25" borderId="23" xfId="0" applyFont="1" applyFill="1" applyBorder="1" applyAlignment="1">
      <alignment horizontal="left" vertical="top"/>
    </xf>
    <xf numFmtId="0" fontId="83" fillId="0" borderId="23" xfId="0" applyFont="1" applyFill="1" applyBorder="1"/>
    <xf numFmtId="0" fontId="20" fillId="0" borderId="0" xfId="43" applyFont="1"/>
    <xf numFmtId="49" fontId="20" fillId="0" borderId="0" xfId="0" applyNumberFormat="1" applyFont="1" applyBorder="1" applyAlignment="1">
      <alignment horizontal="left" vertical="top"/>
    </xf>
    <xf numFmtId="49" fontId="20" fillId="0" borderId="0" xfId="0" applyNumberFormat="1" applyFont="1" applyBorder="1" applyAlignment="1">
      <alignment horizontal="left" vertical="top" wrapText="1"/>
    </xf>
    <xf numFmtId="49" fontId="23" fillId="0" borderId="0" xfId="0" applyNumberFormat="1" applyFont="1" applyBorder="1" applyAlignment="1">
      <alignment horizontal="left" vertical="top"/>
    </xf>
    <xf numFmtId="0" fontId="20" fillId="0" borderId="23" xfId="0" applyFont="1" applyFill="1" applyBorder="1" applyAlignment="1">
      <alignment horizontal="left"/>
    </xf>
    <xf numFmtId="0" fontId="23" fillId="25" borderId="11" xfId="0" applyFont="1" applyFill="1" applyBorder="1"/>
    <xf numFmtId="0" fontId="20" fillId="0" borderId="11" xfId="0" applyFont="1" applyFill="1" applyBorder="1"/>
    <xf numFmtId="0" fontId="20" fillId="25" borderId="22" xfId="0" applyFont="1" applyFill="1" applyBorder="1"/>
    <xf numFmtId="0" fontId="20" fillId="0" borderId="0" xfId="0" applyFont="1" applyFill="1" applyBorder="1" applyAlignment="1">
      <alignment horizontal="right"/>
    </xf>
    <xf numFmtId="0" fontId="23" fillId="25" borderId="23" xfId="0" applyFont="1" applyFill="1" applyBorder="1" applyAlignment="1">
      <alignment horizontal="right"/>
    </xf>
    <xf numFmtId="0" fontId="20" fillId="0" borderId="23" xfId="0" applyFont="1" applyFill="1" applyBorder="1" applyAlignment="1">
      <alignment horizontal="right"/>
    </xf>
    <xf numFmtId="0" fontId="83" fillId="0" borderId="0" xfId="0" applyFont="1" applyFill="1" applyBorder="1"/>
    <xf numFmtId="0" fontId="23" fillId="25" borderId="23" xfId="0" applyFont="1" applyFill="1" applyBorder="1"/>
    <xf numFmtId="0" fontId="23" fillId="25" borderId="23" xfId="0" applyFont="1" applyFill="1" applyBorder="1" applyAlignment="1">
      <alignment horizontal="left"/>
    </xf>
    <xf numFmtId="0" fontId="20" fillId="25" borderId="23" xfId="0" applyFont="1" applyFill="1" applyBorder="1" applyAlignment="1">
      <alignment horizontal="right"/>
    </xf>
    <xf numFmtId="0" fontId="23" fillId="0" borderId="0" xfId="0" applyFont="1" applyFill="1" applyBorder="1"/>
    <xf numFmtId="0" fontId="20" fillId="0" borderId="27" xfId="0" applyFont="1" applyFill="1" applyBorder="1"/>
    <xf numFmtId="0" fontId="20" fillId="0" borderId="28" xfId="0" applyFont="1" applyFill="1" applyBorder="1"/>
    <xf numFmtId="0" fontId="20" fillId="0" borderId="29" xfId="0" applyFont="1" applyFill="1" applyBorder="1" applyAlignment="1">
      <alignment horizontal="center"/>
    </xf>
    <xf numFmtId="0" fontId="20" fillId="0" borderId="27" xfId="0" applyFont="1" applyFill="1" applyBorder="1" applyAlignment="1">
      <alignment horizontal="center"/>
    </xf>
    <xf numFmtId="0" fontId="20" fillId="0" borderId="29" xfId="0" applyFont="1" applyFill="1" applyBorder="1"/>
    <xf numFmtId="0" fontId="20" fillId="0" borderId="39" xfId="0" applyFont="1" applyFill="1" applyBorder="1"/>
    <xf numFmtId="0" fontId="20" fillId="0" borderId="39" xfId="0" applyFont="1" applyFill="1" applyBorder="1" applyAlignment="1">
      <alignment horizontal="center"/>
    </xf>
    <xf numFmtId="0" fontId="76" fillId="30" borderId="0" xfId="131" applyFont="1" applyFill="1"/>
    <xf numFmtId="0" fontId="12" fillId="31" borderId="0" xfId="42" applyFont="1" applyFill="1"/>
    <xf numFmtId="0" fontId="10" fillId="0" borderId="0" xfId="42"/>
    <xf numFmtId="0" fontId="10" fillId="0" borderId="0" xfId="42"/>
    <xf numFmtId="15" fontId="12" fillId="0" borderId="0" xfId="42" applyNumberFormat="1" applyFont="1" applyFill="1" applyAlignment="1">
      <alignment horizontal="left"/>
    </xf>
    <xf numFmtId="0" fontId="2" fillId="0" borderId="0" xfId="158" applyFont="1" applyFill="1"/>
    <xf numFmtId="0" fontId="10" fillId="0" borderId="0" xfId="100" applyFont="1" applyFill="1"/>
    <xf numFmtId="0" fontId="10" fillId="0" borderId="0" xfId="100" applyFont="1" applyFill="1" applyBorder="1"/>
    <xf numFmtId="0" fontId="10" fillId="0" borderId="70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2" fillId="32" borderId="0" xfId="42" applyFont="1" applyFill="1"/>
    <xf numFmtId="0" fontId="10" fillId="32" borderId="0" xfId="42" applyFont="1" applyFill="1"/>
    <xf numFmtId="0" fontId="12" fillId="0" borderId="0" xfId="0" applyFont="1" applyFill="1" applyBorder="1" applyAlignment="1" applyProtection="1">
      <alignment horizontal="left"/>
    </xf>
    <xf numFmtId="0" fontId="21" fillId="0" borderId="0" xfId="0" applyFont="1" applyFill="1" applyBorder="1" applyAlignment="1" applyProtection="1">
      <alignment horizontal="left" vertical="center" wrapText="1"/>
    </xf>
    <xf numFmtId="0" fontId="12" fillId="0" borderId="80" xfId="0" applyFont="1" applyFill="1" applyBorder="1" applyProtection="1"/>
    <xf numFmtId="0" fontId="10" fillId="0" borderId="37" xfId="42" applyFont="1" applyFill="1" applyBorder="1" applyProtection="1"/>
    <xf numFmtId="0" fontId="10" fillId="25" borderId="0" xfId="42" applyFont="1" applyFill="1" applyBorder="1"/>
    <xf numFmtId="0" fontId="12" fillId="0" borderId="36" xfId="42" applyFont="1" applyFill="1" applyBorder="1" applyProtection="1"/>
    <xf numFmtId="0" fontId="10" fillId="0" borderId="36" xfId="42" applyFont="1" applyFill="1" applyBorder="1" applyProtection="1"/>
    <xf numFmtId="0" fontId="17" fillId="24" borderId="37" xfId="42" applyFont="1" applyFill="1" applyBorder="1" applyProtection="1"/>
    <xf numFmtId="0" fontId="12" fillId="0" borderId="37" xfId="42" applyFont="1" applyFill="1" applyBorder="1" applyProtection="1"/>
    <xf numFmtId="0" fontId="10" fillId="0" borderId="37" xfId="42" applyFont="1" applyFill="1" applyBorder="1" applyProtection="1"/>
    <xf numFmtId="0" fontId="50" fillId="0" borderId="37" xfId="42" applyFont="1" applyFill="1" applyBorder="1" applyProtection="1"/>
    <xf numFmtId="0" fontId="10" fillId="25" borderId="0" xfId="42" applyFont="1" applyFill="1" applyBorder="1" applyAlignment="1">
      <alignment vertical="top" wrapText="1"/>
    </xf>
    <xf numFmtId="0" fontId="50" fillId="0" borderId="36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2" fillId="0" borderId="0" xfId="42" applyFont="1" applyFill="1" applyBorder="1" applyProtection="1"/>
    <xf numFmtId="0" fontId="10" fillId="0" borderId="81" xfId="42" applyFont="1" applyFill="1" applyBorder="1" applyProtection="1"/>
    <xf numFmtId="0" fontId="10" fillId="25" borderId="0" xfId="42" applyFont="1" applyFill="1" applyBorder="1" applyProtection="1"/>
    <xf numFmtId="0" fontId="17" fillId="24" borderId="0" xfId="42" applyFont="1" applyFill="1" applyBorder="1" applyProtection="1"/>
    <xf numFmtId="0" fontId="10" fillId="25" borderId="0" xfId="42" applyFont="1" applyFill="1" applyBorder="1"/>
    <xf numFmtId="0" fontId="17" fillId="24" borderId="36" xfId="42" applyFont="1" applyFill="1" applyBorder="1" applyProtection="1"/>
    <xf numFmtId="0" fontId="10" fillId="0" borderId="36" xfId="42" applyFont="1" applyFill="1" applyBorder="1" applyProtection="1"/>
    <xf numFmtId="0" fontId="17" fillId="24" borderId="37" xfId="42" applyFont="1" applyFill="1" applyBorder="1" applyProtection="1"/>
    <xf numFmtId="0" fontId="12" fillId="0" borderId="37" xfId="42" applyFont="1" applyFill="1" applyBorder="1" applyProtection="1"/>
    <xf numFmtId="0" fontId="10" fillId="0" borderId="37" xfId="42" applyFont="1" applyFill="1" applyBorder="1" applyProtection="1"/>
    <xf numFmtId="0" fontId="13" fillId="0" borderId="0" xfId="42" applyFont="1" applyFill="1" applyProtection="1"/>
    <xf numFmtId="0" fontId="50" fillId="0" borderId="36" xfId="42" applyFont="1" applyFill="1" applyBorder="1" applyProtection="1"/>
    <xf numFmtId="0" fontId="50" fillId="0" borderId="0" xfId="42" applyFont="1" applyFill="1" applyBorder="1" applyProtection="1"/>
    <xf numFmtId="0" fontId="50" fillId="0" borderId="37" xfId="42" applyFont="1" applyFill="1" applyBorder="1" applyProtection="1"/>
    <xf numFmtId="0" fontId="50" fillId="0" borderId="0" xfId="42" applyFont="1" applyFill="1" applyProtection="1"/>
    <xf numFmtId="0" fontId="68" fillId="0" borderId="0" xfId="42" applyFont="1" applyFill="1" applyProtection="1"/>
    <xf numFmtId="0" fontId="72" fillId="0" borderId="0" xfId="42" applyFont="1"/>
    <xf numFmtId="0" fontId="12" fillId="0" borderId="80" xfId="42" applyFont="1" applyFill="1" applyBorder="1" applyProtection="1"/>
    <xf numFmtId="0" fontId="10" fillId="33" borderId="0" xfId="42" applyFill="1" applyProtection="1">
      <protection locked="0"/>
    </xf>
    <xf numFmtId="0" fontId="10" fillId="33" borderId="0" xfId="42" applyFill="1"/>
    <xf numFmtId="0" fontId="10" fillId="34" borderId="0" xfId="42" applyFill="1" applyProtection="1">
      <protection locked="0"/>
    </xf>
    <xf numFmtId="0" fontId="10" fillId="0" borderId="0" xfId="42" applyAlignment="1">
      <alignment horizontal="left"/>
    </xf>
    <xf numFmtId="0" fontId="63" fillId="35" borderId="0" xfId="42" applyFont="1" applyFill="1"/>
    <xf numFmtId="0" fontId="10" fillId="35" borderId="0" xfId="42" applyFill="1"/>
    <xf numFmtId="0" fontId="17" fillId="35" borderId="0" xfId="42" applyFont="1" applyFill="1"/>
    <xf numFmtId="0" fontId="10" fillId="35" borderId="0" xfId="42" applyFill="1" applyProtection="1"/>
    <xf numFmtId="0" fontId="10" fillId="35" borderId="0" xfId="42" applyFill="1" applyProtection="1">
      <protection locked="0"/>
    </xf>
    <xf numFmtId="15" fontId="10" fillId="35" borderId="0" xfId="42" applyNumberFormat="1" applyFill="1" applyAlignment="1">
      <alignment horizontal="left"/>
    </xf>
    <xf numFmtId="0" fontId="10" fillId="35" borderId="0" xfId="42" applyFill="1" applyAlignment="1">
      <alignment horizontal="right"/>
    </xf>
    <xf numFmtId="0" fontId="10" fillId="35" borderId="0" xfId="42" applyFill="1" applyAlignment="1">
      <alignment horizontal="center"/>
    </xf>
    <xf numFmtId="0" fontId="10" fillId="35" borderId="0" xfId="42" applyFill="1" applyAlignment="1">
      <alignment horizontal="left"/>
    </xf>
    <xf numFmtId="0" fontId="17" fillId="35" borderId="0" xfId="42" applyFont="1" applyFill="1" applyBorder="1"/>
    <xf numFmtId="0" fontId="10" fillId="35" borderId="0" xfId="42" applyFill="1" applyBorder="1" applyAlignment="1" applyProtection="1">
      <alignment vertical="center"/>
      <protection locked="0"/>
    </xf>
    <xf numFmtId="0" fontId="10" fillId="35" borderId="0" xfId="42" applyFill="1" applyBorder="1" applyProtection="1">
      <protection locked="0"/>
    </xf>
    <xf numFmtId="2" fontId="10" fillId="35" borderId="0" xfId="42" applyNumberFormat="1" applyFill="1"/>
    <xf numFmtId="0" fontId="17" fillId="35" borderId="64" xfId="42" applyFont="1" applyFill="1" applyBorder="1"/>
    <xf numFmtId="0" fontId="10" fillId="35" borderId="64" xfId="42" applyFill="1" applyBorder="1"/>
    <xf numFmtId="0" fontId="10" fillId="36" borderId="0" xfId="42" applyFill="1"/>
    <xf numFmtId="0" fontId="17" fillId="36" borderId="0" xfId="42" applyFont="1" applyFill="1"/>
    <xf numFmtId="0" fontId="10" fillId="36" borderId="63" xfId="42" applyFill="1" applyBorder="1"/>
    <xf numFmtId="0" fontId="54" fillId="28" borderId="0" xfId="42" applyFont="1" applyFill="1"/>
    <xf numFmtId="0" fontId="10" fillId="28" borderId="0" xfId="42" applyFill="1"/>
    <xf numFmtId="0" fontId="17" fillId="28" borderId="0" xfId="42" applyFont="1" applyFill="1"/>
    <xf numFmtId="0" fontId="20" fillId="28" borderId="0" xfId="42" applyFont="1" applyFill="1"/>
    <xf numFmtId="0" fontId="17" fillId="28" borderId="63" xfId="42" applyFont="1" applyFill="1" applyBorder="1"/>
    <xf numFmtId="0" fontId="20" fillId="28" borderId="63" xfId="42" applyFont="1" applyFill="1" applyBorder="1"/>
    <xf numFmtId="0" fontId="10" fillId="28" borderId="63" xfId="42" applyFill="1" applyBorder="1"/>
    <xf numFmtId="0" fontId="62" fillId="0" borderId="0" xfId="42" applyFont="1" applyFill="1" applyAlignment="1">
      <alignment horizontal="left"/>
    </xf>
    <xf numFmtId="0" fontId="20" fillId="0" borderId="0" xfId="42" applyFont="1" applyFill="1"/>
    <xf numFmtId="0" fontId="10" fillId="0" borderId="63" xfId="42" applyFill="1" applyBorder="1"/>
    <xf numFmtId="0" fontId="10" fillId="0" borderId="0" xfId="42" applyFill="1" applyBorder="1" applyProtection="1">
      <protection locked="0"/>
    </xf>
    <xf numFmtId="0" fontId="20" fillId="0" borderId="0" xfId="42" applyFont="1" applyFill="1" applyBorder="1"/>
    <xf numFmtId="0" fontId="10" fillId="0" borderId="0" xfId="42" applyFill="1" applyAlignment="1">
      <alignment horizontal="center"/>
    </xf>
    <xf numFmtId="0" fontId="17" fillId="0" borderId="64" xfId="42" applyFont="1" applyFill="1" applyBorder="1"/>
    <xf numFmtId="0" fontId="10" fillId="0" borderId="64" xfId="42" applyFill="1" applyBorder="1"/>
    <xf numFmtId="0" fontId="64" fillId="0" borderId="0" xfId="42" applyFont="1" applyFill="1"/>
    <xf numFmtId="0" fontId="12" fillId="0" borderId="0" xfId="42" applyFont="1" applyFill="1" applyAlignment="1">
      <alignment horizontal="left"/>
    </xf>
    <xf numFmtId="0" fontId="65" fillId="0" borderId="65" xfId="42" applyFont="1" applyFill="1" applyBorder="1" applyAlignment="1">
      <alignment horizontal="left"/>
    </xf>
    <xf numFmtId="0" fontId="65" fillId="0" borderId="0" xfId="42" applyFont="1" applyFill="1" applyBorder="1" applyAlignment="1">
      <alignment horizontal="left"/>
    </xf>
    <xf numFmtId="0" fontId="31" fillId="0" borderId="0" xfId="42" applyFont="1" applyFill="1"/>
    <xf numFmtId="0" fontId="31" fillId="0" borderId="0" xfId="42" applyFont="1" applyFill="1" applyAlignment="1">
      <alignment horizontal="right"/>
    </xf>
    <xf numFmtId="0" fontId="73" fillId="0" borderId="0" xfId="42" applyFont="1" applyFill="1"/>
    <xf numFmtId="0" fontId="31" fillId="0" borderId="23" xfId="42" applyFont="1" applyFill="1" applyBorder="1"/>
    <xf numFmtId="0" fontId="64" fillId="0" borderId="0" xfId="42" applyFont="1" applyFill="1" applyAlignment="1">
      <alignment horizontal="center"/>
    </xf>
    <xf numFmtId="0" fontId="65" fillId="0" borderId="0" xfId="42" applyFont="1" applyFill="1"/>
    <xf numFmtId="0" fontId="10" fillId="0" borderId="0" xfId="42" applyFill="1" applyBorder="1" applyAlignment="1">
      <alignment horizontal="left"/>
    </xf>
    <xf numFmtId="0" fontId="66" fillId="0" borderId="0" xfId="42" applyFont="1" applyFill="1" applyBorder="1"/>
    <xf numFmtId="0" fontId="10" fillId="0" borderId="67" xfId="42" applyFill="1" applyBorder="1"/>
    <xf numFmtId="0" fontId="10" fillId="0" borderId="67" xfId="42" applyFill="1" applyBorder="1" applyAlignment="1">
      <alignment horizontal="right"/>
    </xf>
    <xf numFmtId="0" fontId="10" fillId="0" borderId="67" xfId="42" applyFill="1" applyBorder="1" applyAlignment="1">
      <alignment horizontal="left"/>
    </xf>
    <xf numFmtId="49" fontId="30" fillId="0" borderId="65" xfId="42" applyNumberFormat="1" applyFont="1" applyFill="1" applyBorder="1"/>
    <xf numFmtId="0" fontId="10" fillId="0" borderId="65" xfId="42" applyFill="1" applyBorder="1" applyAlignment="1">
      <alignment horizontal="left"/>
    </xf>
    <xf numFmtId="0" fontId="10" fillId="0" borderId="68" xfId="42" applyFill="1" applyBorder="1"/>
    <xf numFmtId="0" fontId="10" fillId="0" borderId="68" xfId="42" applyFill="1" applyBorder="1" applyAlignment="1">
      <alignment horizontal="right"/>
    </xf>
    <xf numFmtId="0" fontId="10" fillId="0" borderId="68" xfId="42" applyFill="1" applyBorder="1" applyAlignment="1">
      <alignment horizontal="left"/>
    </xf>
    <xf numFmtId="0" fontId="10" fillId="0" borderId="66" xfId="42" applyFill="1" applyBorder="1"/>
    <xf numFmtId="0" fontId="65" fillId="0" borderId="66" xfId="42" applyFont="1" applyFill="1" applyBorder="1" applyAlignment="1">
      <alignment horizontal="left"/>
    </xf>
    <xf numFmtId="49" fontId="30" fillId="0" borderId="66" xfId="42" applyNumberFormat="1" applyFont="1" applyFill="1" applyBorder="1"/>
    <xf numFmtId="0" fontId="10" fillId="0" borderId="66" xfId="42" applyFill="1" applyBorder="1" applyAlignment="1">
      <alignment horizontal="left"/>
    </xf>
    <xf numFmtId="0" fontId="10" fillId="0" borderId="39" xfId="42" applyFill="1" applyBorder="1"/>
    <xf numFmtId="0" fontId="10" fillId="0" borderId="39" xfId="42" applyFill="1" applyBorder="1" applyAlignment="1">
      <alignment horizontal="right"/>
    </xf>
    <xf numFmtId="0" fontId="65" fillId="0" borderId="69" xfId="42" applyFont="1" applyFill="1" applyBorder="1" applyAlignment="1">
      <alignment horizontal="left"/>
    </xf>
    <xf numFmtId="49" fontId="30" fillId="0" borderId="69" xfId="42" applyNumberFormat="1" applyFont="1" applyFill="1" applyBorder="1"/>
    <xf numFmtId="0" fontId="10" fillId="0" borderId="69" xfId="42" applyFill="1" applyBorder="1" applyAlignment="1">
      <alignment horizontal="left"/>
    </xf>
    <xf numFmtId="0" fontId="17" fillId="0" borderId="67" xfId="42" applyFont="1" applyFill="1" applyBorder="1" applyAlignment="1">
      <alignment horizontal="left"/>
    </xf>
    <xf numFmtId="49" fontId="30" fillId="0" borderId="0" xfId="42" applyNumberFormat="1" applyFont="1" applyFill="1" applyBorder="1"/>
    <xf numFmtId="0" fontId="64" fillId="0" borderId="0" xfId="42" applyFont="1" applyFill="1" applyBorder="1"/>
    <xf numFmtId="0" fontId="10" fillId="0" borderId="64" xfId="42" applyFill="1" applyBorder="1" applyAlignment="1">
      <alignment horizontal="right"/>
    </xf>
    <xf numFmtId="0" fontId="10" fillId="0" borderId="64" xfId="42" applyFill="1" applyBorder="1" applyAlignment="1">
      <alignment horizontal="left"/>
    </xf>
    <xf numFmtId="0" fontId="15" fillId="0" borderId="0" xfId="42" applyFont="1" applyFill="1"/>
    <xf numFmtId="0" fontId="17" fillId="0" borderId="65" xfId="42" applyFont="1" applyFill="1" applyBorder="1"/>
    <xf numFmtId="0" fontId="17" fillId="0" borderId="66" xfId="42" applyFont="1" applyFill="1" applyBorder="1"/>
    <xf numFmtId="0" fontId="10" fillId="0" borderId="66" xfId="42" applyFill="1" applyBorder="1" applyAlignment="1">
      <alignment horizontal="right"/>
    </xf>
    <xf numFmtId="0" fontId="10" fillId="0" borderId="66" xfId="42" applyFill="1" applyBorder="1" applyAlignment="1">
      <alignment horizontal="center"/>
    </xf>
    <xf numFmtId="0" fontId="14" fillId="0" borderId="71" xfId="0" applyFont="1" applyFill="1" applyBorder="1"/>
    <xf numFmtId="0" fontId="24" fillId="0" borderId="23" xfId="0" applyFont="1" applyFill="1" applyBorder="1"/>
    <xf numFmtId="0" fontId="14" fillId="0" borderId="23" xfId="0" applyFont="1" applyFill="1" applyBorder="1"/>
    <xf numFmtId="0" fontId="14" fillId="0" borderId="0" xfId="0" applyFont="1" applyFill="1" applyBorder="1"/>
    <xf numFmtId="0" fontId="14" fillId="0" borderId="0" xfId="0" applyFont="1" applyFill="1" applyBorder="1" applyAlignment="1">
      <alignment vertical="center"/>
    </xf>
    <xf numFmtId="0" fontId="10" fillId="0" borderId="0" xfId="42" applyFill="1" applyAlignment="1">
      <alignment vertical="center"/>
    </xf>
    <xf numFmtId="0" fontId="14" fillId="0" borderId="23" xfId="0" applyFont="1" applyFill="1" applyBorder="1" applyAlignment="1">
      <alignment horizontal="left" vertical="top"/>
    </xf>
    <xf numFmtId="0" fontId="10" fillId="36" borderId="0" xfId="42" applyFill="1" applyProtection="1">
      <protection locked="0"/>
    </xf>
    <xf numFmtId="0" fontId="62" fillId="36" borderId="0" xfId="42" applyFont="1" applyFill="1" applyAlignment="1">
      <alignment horizontal="left"/>
    </xf>
    <xf numFmtId="0" fontId="10" fillId="36" borderId="0" xfId="42" applyFill="1" applyBorder="1" applyProtection="1">
      <protection locked="0"/>
    </xf>
    <xf numFmtId="0" fontId="17" fillId="36" borderId="0" xfId="42" applyFont="1" applyFill="1" applyBorder="1"/>
    <xf numFmtId="0" fontId="20" fillId="36" borderId="0" xfId="42" applyFont="1" applyFill="1" applyBorder="1"/>
    <xf numFmtId="0" fontId="10" fillId="36" borderId="0" xfId="42" applyFill="1" applyBorder="1"/>
    <xf numFmtId="0" fontId="10" fillId="36" borderId="0" xfId="42" applyFill="1" applyAlignment="1">
      <alignment horizontal="right"/>
    </xf>
    <xf numFmtId="0" fontId="10" fillId="36" borderId="0" xfId="42" applyFill="1" applyAlignment="1">
      <alignment horizontal="center"/>
    </xf>
    <xf numFmtId="0" fontId="10" fillId="36" borderId="0" xfId="42" applyFill="1" applyAlignment="1">
      <alignment horizontal="left"/>
    </xf>
    <xf numFmtId="0" fontId="17" fillId="36" borderId="64" xfId="42" applyFont="1" applyFill="1" applyBorder="1"/>
    <xf numFmtId="0" fontId="10" fillId="36" borderId="64" xfId="42" applyFill="1" applyBorder="1"/>
    <xf numFmtId="0" fontId="64" fillId="36" borderId="0" xfId="42" applyFont="1" applyFill="1"/>
    <xf numFmtId="0" fontId="12" fillId="36" borderId="0" xfId="42" applyFont="1" applyFill="1" applyAlignment="1">
      <alignment horizontal="left"/>
    </xf>
    <xf numFmtId="0" fontId="12" fillId="36" borderId="0" xfId="42" applyFont="1" applyFill="1"/>
    <xf numFmtId="0" fontId="65" fillId="36" borderId="65" xfId="42" applyFont="1" applyFill="1" applyBorder="1" applyAlignment="1">
      <alignment horizontal="left"/>
    </xf>
    <xf numFmtId="0" fontId="10" fillId="36" borderId="65" xfId="42" applyFill="1" applyBorder="1"/>
    <xf numFmtId="0" fontId="65" fillId="36" borderId="0" xfId="42" applyFont="1" applyFill="1" applyBorder="1" applyAlignment="1">
      <alignment horizontal="left"/>
    </xf>
    <xf numFmtId="0" fontId="31" fillId="36" borderId="0" xfId="42" applyFont="1" applyFill="1"/>
    <xf numFmtId="0" fontId="31" fillId="36" borderId="0" xfId="42" applyFont="1" applyFill="1" applyAlignment="1">
      <alignment horizontal="right"/>
    </xf>
    <xf numFmtId="0" fontId="73" fillId="36" borderId="0" xfId="42" applyFont="1" applyFill="1"/>
    <xf numFmtId="0" fontId="10" fillId="36" borderId="23" xfId="42" applyFill="1" applyBorder="1"/>
    <xf numFmtId="0" fontId="31" fillId="36" borderId="23" xfId="42" applyFont="1" applyFill="1" applyBorder="1"/>
    <xf numFmtId="0" fontId="64" fillId="36" borderId="0" xfId="42" applyFont="1" applyFill="1" applyAlignment="1">
      <alignment horizontal="center"/>
    </xf>
    <xf numFmtId="0" fontId="65" fillId="36" borderId="0" xfId="42" applyFont="1" applyFill="1"/>
    <xf numFmtId="0" fontId="10" fillId="36" borderId="0" xfId="42" applyFill="1" applyBorder="1" applyAlignment="1">
      <alignment horizontal="left"/>
    </xf>
    <xf numFmtId="0" fontId="66" fillId="36" borderId="0" xfId="42" applyFont="1" applyFill="1" applyBorder="1"/>
    <xf numFmtId="0" fontId="10" fillId="36" borderId="67" xfId="42" applyFill="1" applyBorder="1"/>
    <xf numFmtId="0" fontId="10" fillId="36" borderId="67" xfId="42" applyFill="1" applyBorder="1" applyAlignment="1">
      <alignment horizontal="right"/>
    </xf>
    <xf numFmtId="0" fontId="10" fillId="36" borderId="67" xfId="42" applyFill="1" applyBorder="1" applyAlignment="1">
      <alignment horizontal="left"/>
    </xf>
    <xf numFmtId="49" fontId="30" fillId="36" borderId="65" xfId="42" applyNumberFormat="1" applyFont="1" applyFill="1" applyBorder="1"/>
    <xf numFmtId="0" fontId="10" fillId="36" borderId="65" xfId="42" applyFill="1" applyBorder="1" applyAlignment="1">
      <alignment horizontal="left"/>
    </xf>
    <xf numFmtId="0" fontId="10" fillId="36" borderId="68" xfId="42" applyFill="1" applyBorder="1"/>
    <xf numFmtId="0" fontId="10" fillId="36" borderId="68" xfId="42" applyFill="1" applyBorder="1" applyAlignment="1">
      <alignment horizontal="right"/>
    </xf>
    <xf numFmtId="0" fontId="10" fillId="36" borderId="68" xfId="42" applyFill="1" applyBorder="1" applyAlignment="1">
      <alignment horizontal="left"/>
    </xf>
    <xf numFmtId="0" fontId="10" fillId="36" borderId="66" xfId="42" applyFill="1" applyBorder="1"/>
    <xf numFmtId="0" fontId="65" fillId="36" borderId="66" xfId="42" applyFont="1" applyFill="1" applyBorder="1" applyAlignment="1">
      <alignment horizontal="left"/>
    </xf>
    <xf numFmtId="49" fontId="30" fillId="36" borderId="66" xfId="42" applyNumberFormat="1" applyFont="1" applyFill="1" applyBorder="1"/>
    <xf numFmtId="0" fontId="10" fillId="36" borderId="66" xfId="42" applyFill="1" applyBorder="1" applyAlignment="1">
      <alignment horizontal="left"/>
    </xf>
    <xf numFmtId="0" fontId="10" fillId="36" borderId="39" xfId="42" applyFill="1" applyBorder="1"/>
    <xf numFmtId="0" fontId="10" fillId="36" borderId="39" xfId="42" applyFill="1" applyBorder="1" applyAlignment="1">
      <alignment horizontal="right"/>
    </xf>
    <xf numFmtId="0" fontId="65" fillId="36" borderId="69" xfId="42" applyFont="1" applyFill="1" applyBorder="1" applyAlignment="1">
      <alignment horizontal="left"/>
    </xf>
    <xf numFmtId="49" fontId="30" fillId="36" borderId="69" xfId="42" applyNumberFormat="1" applyFont="1" applyFill="1" applyBorder="1"/>
    <xf numFmtId="0" fontId="10" fillId="36" borderId="69" xfId="42" applyFill="1" applyBorder="1" applyAlignment="1">
      <alignment horizontal="left"/>
    </xf>
    <xf numFmtId="0" fontId="17" fillId="36" borderId="67" xfId="42" applyFont="1" applyFill="1" applyBorder="1" applyAlignment="1">
      <alignment horizontal="left"/>
    </xf>
    <xf numFmtId="0" fontId="10" fillId="36" borderId="0" xfId="42" applyFill="1" applyBorder="1" applyAlignment="1">
      <alignment horizontal="right"/>
    </xf>
    <xf numFmtId="49" fontId="30" fillId="36" borderId="0" xfId="42" applyNumberFormat="1" applyFont="1" applyFill="1" applyBorder="1"/>
    <xf numFmtId="0" fontId="64" fillId="36" borderId="0" xfId="42" applyFont="1" applyFill="1" applyBorder="1"/>
    <xf numFmtId="0" fontId="10" fillId="36" borderId="64" xfId="42" applyFill="1" applyBorder="1" applyAlignment="1">
      <alignment horizontal="right"/>
    </xf>
    <xf numFmtId="0" fontId="10" fillId="36" borderId="64" xfId="42" applyFill="1" applyBorder="1" applyAlignment="1">
      <alignment horizontal="left"/>
    </xf>
    <xf numFmtId="0" fontId="15" fillId="36" borderId="0" xfId="42" applyFont="1" applyFill="1"/>
    <xf numFmtId="0" fontId="17" fillId="36" borderId="65" xfId="42" applyFont="1" applyFill="1" applyBorder="1"/>
    <xf numFmtId="0" fontId="17" fillId="36" borderId="66" xfId="42" applyFont="1" applyFill="1" applyBorder="1"/>
    <xf numFmtId="0" fontId="10" fillId="36" borderId="66" xfId="42" applyFill="1" applyBorder="1" applyAlignment="1">
      <alignment horizontal="right"/>
    </xf>
    <xf numFmtId="0" fontId="10" fillId="36" borderId="66" xfId="42" applyFill="1" applyBorder="1" applyAlignment="1">
      <alignment horizontal="center"/>
    </xf>
    <xf numFmtId="0" fontId="10" fillId="0" borderId="0" xfId="0" applyFont="1" applyAlignment="1"/>
    <xf numFmtId="0" fontId="0" fillId="33" borderId="0" xfId="0" applyFill="1"/>
    <xf numFmtId="0" fontId="10" fillId="33" borderId="0" xfId="0" applyFont="1" applyFill="1"/>
    <xf numFmtId="49" fontId="10" fillId="0" borderId="0" xfId="0" applyNumberFormat="1" applyFont="1"/>
    <xf numFmtId="0" fontId="10" fillId="0" borderId="0" xfId="0" applyNumberFormat="1" applyFont="1"/>
    <xf numFmtId="0" fontId="93" fillId="38" borderId="0" xfId="0" applyFont="1" applyFill="1"/>
    <xf numFmtId="0" fontId="94" fillId="39" borderId="0" xfId="0" applyFont="1" applyFill="1"/>
    <xf numFmtId="0" fontId="94" fillId="40" borderId="0" xfId="0" applyFont="1" applyFill="1"/>
    <xf numFmtId="0" fontId="94" fillId="41" borderId="0" xfId="0" applyFont="1" applyFill="1"/>
    <xf numFmtId="0" fontId="94" fillId="42" borderId="0" xfId="0" applyFont="1" applyFill="1"/>
    <xf numFmtId="0" fontId="95" fillId="43" borderId="0" xfId="0" applyFont="1" applyFill="1"/>
    <xf numFmtId="0" fontId="94" fillId="44" borderId="0" xfId="0" applyFont="1" applyFill="1"/>
    <xf numFmtId="0" fontId="74" fillId="0" borderId="0" xfId="0" applyFont="1" applyFill="1"/>
    <xf numFmtId="0" fontId="51" fillId="45" borderId="87" xfId="0" applyFont="1" applyFill="1" applyBorder="1"/>
    <xf numFmtId="0" fontId="51" fillId="45" borderId="88" xfId="0" applyFont="1" applyFill="1" applyBorder="1"/>
    <xf numFmtId="0" fontId="51" fillId="45" borderId="89" xfId="0" applyFont="1" applyFill="1" applyBorder="1"/>
    <xf numFmtId="0" fontId="93" fillId="38" borderId="0" xfId="0" applyFont="1" applyFill="1" applyProtection="1"/>
    <xf numFmtId="0" fontId="51" fillId="45" borderId="90" xfId="0" applyFont="1" applyFill="1" applyBorder="1" applyAlignment="1" applyProtection="1">
      <alignment horizontal="center"/>
    </xf>
    <xf numFmtId="0" fontId="51" fillId="45" borderId="91" xfId="0" applyFont="1" applyFill="1" applyBorder="1" applyAlignment="1" applyProtection="1">
      <alignment horizontal="left"/>
    </xf>
    <xf numFmtId="0" fontId="51" fillId="45" borderId="91" xfId="0" applyFont="1" applyFill="1" applyBorder="1" applyProtection="1"/>
    <xf numFmtId="0" fontId="51" fillId="45" borderId="92" xfId="0" applyFont="1" applyFill="1" applyBorder="1" applyProtection="1"/>
    <xf numFmtId="0" fontId="51" fillId="45" borderId="93" xfId="0" applyFont="1" applyFill="1" applyBorder="1" applyAlignment="1" applyProtection="1">
      <alignment horizontal="center"/>
    </xf>
    <xf numFmtId="0" fontId="51" fillId="45" borderId="94" xfId="0" applyFont="1" applyFill="1" applyBorder="1" applyAlignment="1" applyProtection="1">
      <alignment horizontal="left"/>
    </xf>
    <xf numFmtId="0" fontId="51" fillId="45" borderId="94" xfId="0" applyFont="1" applyFill="1" applyBorder="1" applyProtection="1"/>
    <xf numFmtId="0" fontId="51" fillId="45" borderId="95" xfId="0" applyFont="1" applyFill="1" applyBorder="1" applyProtection="1"/>
    <xf numFmtId="0" fontId="51" fillId="45" borderId="96" xfId="0" applyFont="1" applyFill="1" applyBorder="1" applyAlignment="1" applyProtection="1">
      <alignment horizontal="center"/>
    </xf>
    <xf numFmtId="0" fontId="51" fillId="45" borderId="97" xfId="0" applyFont="1" applyFill="1" applyBorder="1" applyAlignment="1" applyProtection="1">
      <alignment horizontal="left"/>
    </xf>
    <xf numFmtId="0" fontId="51" fillId="45" borderId="97" xfId="0" applyFont="1" applyFill="1" applyBorder="1" applyProtection="1"/>
    <xf numFmtId="0" fontId="51" fillId="45" borderId="98" xfId="0" applyFont="1" applyFill="1" applyBorder="1" applyProtection="1"/>
    <xf numFmtId="0" fontId="51" fillId="45" borderId="90" xfId="0" applyFont="1" applyFill="1" applyBorder="1" applyAlignment="1" applyProtection="1">
      <alignment horizontal="center"/>
      <protection locked="0"/>
    </xf>
    <xf numFmtId="0" fontId="51" fillId="45" borderId="91" xfId="0" applyFont="1" applyFill="1" applyBorder="1" applyAlignment="1" applyProtection="1">
      <alignment horizontal="center"/>
      <protection locked="0"/>
    </xf>
    <xf numFmtId="0" fontId="51" fillId="45" borderId="93" xfId="0" applyFont="1" applyFill="1" applyBorder="1" applyAlignment="1" applyProtection="1">
      <alignment horizontal="center"/>
      <protection locked="0"/>
    </xf>
    <xf numFmtId="0" fontId="51" fillId="45" borderId="94" xfId="0" applyFont="1" applyFill="1" applyBorder="1" applyAlignment="1" applyProtection="1">
      <alignment horizontal="center"/>
      <protection locked="0"/>
    </xf>
    <xf numFmtId="0" fontId="51" fillId="45" borderId="96" xfId="0" applyFont="1" applyFill="1" applyBorder="1" applyAlignment="1" applyProtection="1">
      <alignment horizontal="center"/>
      <protection locked="0"/>
    </xf>
    <xf numFmtId="0" fontId="51" fillId="45" borderId="97" xfId="0" applyFont="1" applyFill="1" applyBorder="1" applyAlignment="1" applyProtection="1">
      <alignment horizontal="center"/>
      <protection locked="0"/>
    </xf>
    <xf numFmtId="0" fontId="94" fillId="39" borderId="0" xfId="0" applyFont="1" applyFill="1" applyBorder="1" applyProtection="1"/>
    <xf numFmtId="0" fontId="94" fillId="39" borderId="0" xfId="0" applyFont="1" applyFill="1" applyBorder="1"/>
    <xf numFmtId="0" fontId="94" fillId="39" borderId="0" xfId="0" applyFont="1" applyFill="1" applyProtection="1"/>
    <xf numFmtId="0" fontId="94" fillId="39" borderId="0" xfId="0" applyFont="1" applyFill="1" applyBorder="1" applyAlignment="1">
      <alignment horizontal="center"/>
    </xf>
    <xf numFmtId="0" fontId="94" fillId="40" borderId="0" xfId="0" applyFont="1" applyFill="1" applyBorder="1" applyAlignment="1">
      <alignment horizontal="left"/>
    </xf>
    <xf numFmtId="15" fontId="94" fillId="40" borderId="0" xfId="0" applyNumberFormat="1" applyFont="1" applyFill="1" applyBorder="1" applyAlignment="1">
      <alignment horizontal="left"/>
    </xf>
    <xf numFmtId="0" fontId="94" fillId="40" borderId="0" xfId="0" applyFont="1" applyFill="1" applyBorder="1" applyAlignment="1"/>
    <xf numFmtId="14" fontId="94" fillId="40" borderId="0" xfId="0" applyNumberFormat="1" applyFont="1" applyFill="1" applyProtection="1"/>
    <xf numFmtId="15" fontId="94" fillId="40" borderId="0" xfId="0" applyNumberFormat="1" applyFont="1" applyFill="1" applyBorder="1" applyAlignment="1" applyProtection="1">
      <alignment horizontal="left"/>
      <protection locked="0"/>
    </xf>
    <xf numFmtId="0" fontId="94" fillId="40" borderId="0" xfId="0" applyFont="1" applyFill="1" applyBorder="1" applyAlignment="1" applyProtection="1">
      <alignment horizontal="left"/>
      <protection locked="0"/>
    </xf>
    <xf numFmtId="0" fontId="96" fillId="40" borderId="0" xfId="0" applyFont="1" applyFill="1" applyBorder="1" applyAlignment="1">
      <alignment horizontal="left"/>
    </xf>
    <xf numFmtId="49" fontId="94" fillId="40" borderId="0" xfId="0" applyNumberFormat="1" applyFont="1" applyFill="1" applyBorder="1" applyAlignment="1">
      <alignment horizontal="left"/>
    </xf>
    <xf numFmtId="0" fontId="94" fillId="40" borderId="0" xfId="0" applyFont="1" applyFill="1" applyBorder="1" applyProtection="1"/>
    <xf numFmtId="1" fontId="94" fillId="40" borderId="0" xfId="0" applyNumberFormat="1" applyFont="1" applyFill="1" applyBorder="1" applyAlignment="1">
      <alignment horizontal="left"/>
    </xf>
    <xf numFmtId="0" fontId="94" fillId="42" borderId="0" xfId="0" applyFont="1" applyFill="1" applyProtection="1"/>
    <xf numFmtId="0" fontId="94" fillId="42" borderId="0" xfId="0" applyFont="1" applyFill="1" applyBorder="1" applyProtection="1"/>
    <xf numFmtId="0" fontId="75" fillId="38" borderId="0" xfId="0" applyFont="1" applyFill="1" applyProtection="1"/>
    <xf numFmtId="0" fontId="10" fillId="38" borderId="0" xfId="0" applyFont="1" applyFill="1" applyBorder="1" applyProtection="1"/>
    <xf numFmtId="0" fontId="12" fillId="38" borderId="0" xfId="0" applyFont="1" applyFill="1" applyBorder="1" applyProtection="1"/>
    <xf numFmtId="0" fontId="75" fillId="38" borderId="0" xfId="0" applyFont="1" applyFill="1" applyBorder="1" applyProtection="1"/>
    <xf numFmtId="0" fontId="11" fillId="38" borderId="0" xfId="0" applyFont="1" applyFill="1" applyProtection="1"/>
    <xf numFmtId="0" fontId="21" fillId="38" borderId="0" xfId="0" applyFont="1" applyFill="1" applyBorder="1" applyProtection="1">
      <protection locked="0"/>
    </xf>
    <xf numFmtId="0" fontId="21" fillId="38" borderId="0" xfId="0" applyFont="1" applyFill="1" applyBorder="1" applyProtection="1"/>
    <xf numFmtId="0" fontId="21" fillId="38" borderId="0" xfId="0" applyFont="1" applyFill="1" applyBorder="1" applyAlignment="1">
      <alignment horizontal="left"/>
    </xf>
    <xf numFmtId="0" fontId="12" fillId="38" borderId="0" xfId="0" applyFont="1" applyFill="1" applyBorder="1" applyAlignment="1">
      <alignment horizontal="left"/>
    </xf>
    <xf numFmtId="0" fontId="21" fillId="38" borderId="0" xfId="0" applyFont="1" applyFill="1" applyBorder="1" applyAlignment="1"/>
    <xf numFmtId="1" fontId="12" fillId="38" borderId="0" xfId="0" applyNumberFormat="1" applyFont="1" applyFill="1" applyBorder="1" applyAlignment="1">
      <alignment horizontal="left"/>
    </xf>
    <xf numFmtId="0" fontId="16" fillId="38" borderId="0" xfId="0" applyFont="1" applyFill="1" applyProtection="1"/>
    <xf numFmtId="0" fontId="16" fillId="38" borderId="0" xfId="0" applyFont="1" applyFill="1" applyBorder="1" applyProtection="1"/>
    <xf numFmtId="0" fontId="53" fillId="38" borderId="0" xfId="0" applyFont="1" applyFill="1" applyBorder="1" applyProtection="1"/>
    <xf numFmtId="0" fontId="21" fillId="38" borderId="0" xfId="0" applyFont="1" applyFill="1" applyProtection="1"/>
    <xf numFmtId="0" fontId="86" fillId="38" borderId="0" xfId="0" applyFont="1" applyFill="1" applyBorder="1" applyAlignment="1" applyProtection="1">
      <alignment horizontal="center"/>
    </xf>
    <xf numFmtId="0" fontId="85" fillId="38" borderId="0" xfId="0" applyFont="1" applyFill="1" applyBorder="1" applyProtection="1"/>
    <xf numFmtId="0" fontId="12" fillId="38" borderId="0" xfId="0" applyFont="1" applyFill="1" applyBorder="1" applyAlignment="1" applyProtection="1">
      <alignment horizontal="center"/>
    </xf>
    <xf numFmtId="0" fontId="30" fillId="38" borderId="0" xfId="0" applyFont="1" applyFill="1" applyBorder="1" applyProtection="1"/>
    <xf numFmtId="0" fontId="15" fillId="38" borderId="0" xfId="0" applyFont="1" applyFill="1" applyProtection="1"/>
    <xf numFmtId="0" fontId="15" fillId="38" borderId="0" xfId="0" applyFont="1" applyFill="1" applyBorder="1" applyProtection="1"/>
    <xf numFmtId="0" fontId="21" fillId="38" borderId="0" xfId="0" applyFont="1" applyFill="1" applyBorder="1" applyAlignment="1">
      <alignment horizontal="center"/>
    </xf>
    <xf numFmtId="0" fontId="21" fillId="38" borderId="0" xfId="0" applyFont="1" applyFill="1" applyAlignment="1"/>
    <xf numFmtId="0" fontId="94" fillId="40" borderId="0" xfId="0" applyFont="1" applyFill="1" applyBorder="1"/>
    <xf numFmtId="0" fontId="94" fillId="41" borderId="0" xfId="0" applyFont="1" applyFill="1" applyBorder="1"/>
    <xf numFmtId="0" fontId="94" fillId="42" borderId="0" xfId="0" applyFont="1" applyFill="1" applyBorder="1"/>
    <xf numFmtId="0" fontId="95" fillId="43" borderId="0" xfId="0" applyFont="1" applyFill="1" applyBorder="1"/>
    <xf numFmtId="0" fontId="94" fillId="44" borderId="0" xfId="0" applyFont="1" applyFill="1" applyBorder="1"/>
    <xf numFmtId="0" fontId="94" fillId="41" borderId="0" xfId="0" applyFont="1" applyFill="1" applyBorder="1" applyAlignment="1" applyProtection="1">
      <alignment horizontal="left"/>
    </xf>
    <xf numFmtId="0" fontId="96" fillId="41" borderId="0" xfId="0" applyFont="1" applyFill="1" applyBorder="1" applyProtection="1"/>
    <xf numFmtId="0" fontId="94" fillId="41" borderId="0" xfId="0" applyFont="1" applyFill="1" applyBorder="1" applyProtection="1"/>
    <xf numFmtId="0" fontId="94" fillId="41" borderId="0" xfId="0" applyFont="1" applyFill="1" applyProtection="1"/>
    <xf numFmtId="0" fontId="51" fillId="45" borderId="0" xfId="0" applyFont="1" applyFill="1"/>
    <xf numFmtId="0" fontId="94" fillId="40" borderId="0" xfId="0" applyFont="1" applyFill="1" applyProtection="1"/>
    <xf numFmtId="0" fontId="75" fillId="38" borderId="0" xfId="0" applyFont="1" applyFill="1"/>
    <xf numFmtId="0" fontId="53" fillId="38" borderId="0" xfId="0" applyFont="1" applyFill="1" applyBorder="1" applyAlignment="1">
      <alignment horizontal="left"/>
    </xf>
    <xf numFmtId="0" fontId="53" fillId="38" borderId="0" xfId="0" applyFont="1" applyFill="1" applyBorder="1" applyAlignment="1"/>
    <xf numFmtId="0" fontId="53" fillId="38" borderId="0" xfId="0" applyFont="1" applyFill="1" applyBorder="1"/>
    <xf numFmtId="0" fontId="75" fillId="38" borderId="0" xfId="0" applyFont="1" applyFill="1" applyBorder="1"/>
    <xf numFmtId="0" fontId="13" fillId="38" borderId="0" xfId="0" applyFont="1" applyFill="1"/>
    <xf numFmtId="0" fontId="87" fillId="38" borderId="0" xfId="0" applyFont="1" applyFill="1" applyBorder="1" applyProtection="1"/>
    <xf numFmtId="0" fontId="85" fillId="38" borderId="0" xfId="0" applyFont="1" applyFill="1" applyBorder="1" applyAlignment="1" applyProtection="1">
      <alignment horizontal="left"/>
    </xf>
    <xf numFmtId="0" fontId="11" fillId="38" borderId="0" xfId="0" applyFont="1" applyFill="1"/>
    <xf numFmtId="0" fontId="91" fillId="38" borderId="0" xfId="0" applyFont="1" applyFill="1" applyBorder="1" applyAlignment="1" applyProtection="1">
      <alignment horizontal="center"/>
      <protection locked="0"/>
    </xf>
    <xf numFmtId="0" fontId="75" fillId="38" borderId="0" xfId="0" applyFont="1" applyFill="1" applyBorder="1" applyAlignment="1">
      <alignment horizontal="left"/>
    </xf>
    <xf numFmtId="0" fontId="11" fillId="38" borderId="0" xfId="0" applyFont="1" applyFill="1" applyAlignment="1">
      <alignment wrapText="1"/>
    </xf>
    <xf numFmtId="0" fontId="11" fillId="38" borderId="0" xfId="0" applyFont="1" applyFill="1" applyBorder="1"/>
    <xf numFmtId="1" fontId="53" fillId="38" borderId="0" xfId="0" applyNumberFormat="1" applyFont="1" applyFill="1" applyBorder="1" applyAlignment="1">
      <alignment horizontal="left"/>
    </xf>
    <xf numFmtId="0" fontId="21" fillId="38" borderId="0" xfId="0" applyFont="1" applyFill="1"/>
    <xf numFmtId="0" fontId="68" fillId="38" borderId="0" xfId="0" applyFont="1" applyFill="1"/>
    <xf numFmtId="0" fontId="12" fillId="38" borderId="0" xfId="0" applyFont="1" applyFill="1"/>
    <xf numFmtId="0" fontId="68" fillId="38" borderId="0" xfId="0" applyFont="1" applyFill="1" applyBorder="1"/>
    <xf numFmtId="0" fontId="87" fillId="38" borderId="0" xfId="0" applyFont="1" applyFill="1"/>
    <xf numFmtId="0" fontId="21" fillId="38" borderId="0" xfId="0" applyFont="1" applyFill="1" applyAlignment="1">
      <alignment horizontal="right"/>
    </xf>
    <xf numFmtId="0" fontId="21" fillId="38" borderId="0" xfId="0" applyFont="1" applyFill="1" applyBorder="1"/>
    <xf numFmtId="0" fontId="21" fillId="38" borderId="38" xfId="0" applyFont="1" applyFill="1" applyBorder="1"/>
    <xf numFmtId="0" fontId="21" fillId="38" borderId="0" xfId="0" applyNumberFormat="1" applyFont="1" applyFill="1" applyBorder="1" applyAlignment="1"/>
    <xf numFmtId="49" fontId="21" fillId="38" borderId="0" xfId="0" applyNumberFormat="1" applyFont="1" applyFill="1" applyBorder="1" applyAlignment="1">
      <alignment horizontal="left" vertical="top" wrapText="1"/>
    </xf>
    <xf numFmtId="0" fontId="21" fillId="38" borderId="0" xfId="0" applyFont="1" applyFill="1" applyBorder="1" applyAlignment="1">
      <alignment shrinkToFit="1"/>
    </xf>
    <xf numFmtId="0" fontId="75" fillId="38" borderId="0" xfId="0" applyFont="1" applyFill="1" applyBorder="1" applyAlignment="1">
      <alignment shrinkToFit="1"/>
    </xf>
    <xf numFmtId="0" fontId="85" fillId="38" borderId="0" xfId="0" applyFont="1" applyFill="1"/>
    <xf numFmtId="0" fontId="12" fillId="38" borderId="0" xfId="0" applyFont="1" applyFill="1" applyAlignment="1">
      <alignment horizontal="center"/>
    </xf>
    <xf numFmtId="0" fontId="88" fillId="38" borderId="0" xfId="0" applyFont="1" applyFill="1"/>
    <xf numFmtId="0" fontId="12" fillId="38" borderId="86" xfId="0" applyFont="1" applyFill="1" applyBorder="1" applyAlignment="1">
      <alignment horizontal="center"/>
    </xf>
    <xf numFmtId="0" fontId="53" fillId="38" borderId="0" xfId="0" applyFont="1" applyFill="1" applyBorder="1" applyAlignment="1">
      <alignment horizontal="right"/>
    </xf>
    <xf numFmtId="0" fontId="85" fillId="38" borderId="0" xfId="0" applyFont="1" applyFill="1" applyBorder="1"/>
    <xf numFmtId="0" fontId="85" fillId="38" borderId="0" xfId="0" applyFont="1" applyFill="1" applyBorder="1" applyAlignment="1">
      <alignment horizontal="left"/>
    </xf>
    <xf numFmtId="0" fontId="87" fillId="38" borderId="0" xfId="0" applyFont="1" applyFill="1" applyBorder="1"/>
    <xf numFmtId="0" fontId="12" fillId="38" borderId="0" xfId="0" applyFont="1" applyFill="1" applyBorder="1"/>
    <xf numFmtId="0" fontId="17" fillId="38" borderId="0" xfId="0" applyFont="1" applyFill="1" applyBorder="1"/>
    <xf numFmtId="0" fontId="85" fillId="38" borderId="0" xfId="0" applyFont="1" applyFill="1" applyBorder="1" applyProtection="1">
      <protection locked="0" hidden="1"/>
    </xf>
    <xf numFmtId="0" fontId="85" fillId="38" borderId="0" xfId="0" applyFont="1" applyFill="1" applyBorder="1" applyAlignment="1">
      <alignment horizontal="right"/>
    </xf>
    <xf numFmtId="0" fontId="21" fillId="38" borderId="0" xfId="0" applyFont="1" applyFill="1" applyBorder="1" applyProtection="1">
      <protection locked="0" hidden="1"/>
    </xf>
    <xf numFmtId="0" fontId="21" fillId="38" borderId="82" xfId="0" applyFont="1" applyFill="1" applyBorder="1"/>
    <xf numFmtId="0" fontId="21" fillId="38" borderId="83" xfId="0" applyFont="1" applyFill="1" applyBorder="1"/>
    <xf numFmtId="0" fontId="21" fillId="38" borderId="84" xfId="0" applyFont="1" applyFill="1" applyBorder="1"/>
    <xf numFmtId="0" fontId="21" fillId="38" borderId="85" xfId="0" applyFont="1" applyFill="1" applyBorder="1"/>
    <xf numFmtId="0" fontId="88" fillId="38" borderId="0" xfId="0" applyFont="1" applyFill="1" applyBorder="1" applyAlignment="1">
      <alignment horizontal="right"/>
    </xf>
    <xf numFmtId="0" fontId="85" fillId="38" borderId="0" xfId="0" applyFont="1" applyFill="1" applyBorder="1" applyAlignment="1" applyProtection="1">
      <alignment horizontal="right"/>
      <protection locked="0" hidden="1"/>
    </xf>
    <xf numFmtId="0" fontId="89" fillId="38" borderId="0" xfId="0" applyFont="1" applyFill="1" applyBorder="1"/>
    <xf numFmtId="0" fontId="75" fillId="38" borderId="0" xfId="0" applyFont="1" applyFill="1" applyBorder="1" applyProtection="1">
      <protection locked="0" hidden="1"/>
    </xf>
    <xf numFmtId="0" fontId="12" fillId="38" borderId="86" xfId="0" applyFont="1" applyFill="1" applyBorder="1"/>
    <xf numFmtId="0" fontId="85" fillId="38" borderId="0" xfId="0" applyFont="1" applyFill="1" applyBorder="1" applyAlignment="1">
      <alignment horizontal="center"/>
    </xf>
    <xf numFmtId="0" fontId="21" fillId="38" borderId="0" xfId="0" applyFont="1" applyFill="1" applyProtection="1">
      <protection locked="0"/>
    </xf>
    <xf numFmtId="0" fontId="10" fillId="38" borderId="0" xfId="42" applyFont="1" applyFill="1" applyBorder="1" applyProtection="1">
      <protection locked="0"/>
    </xf>
    <xf numFmtId="0" fontId="10" fillId="38" borderId="0" xfId="42" applyFont="1" applyFill="1"/>
    <xf numFmtId="0" fontId="10" fillId="38" borderId="0" xfId="42" applyFont="1" applyFill="1" applyBorder="1"/>
    <xf numFmtId="0" fontId="17" fillId="38" borderId="0" xfId="42" applyFont="1" applyFill="1"/>
    <xf numFmtId="0" fontId="70" fillId="38" borderId="0" xfId="42" applyFont="1" applyFill="1" applyBorder="1"/>
    <xf numFmtId="0" fontId="10" fillId="38" borderId="0" xfId="42" applyFill="1"/>
    <xf numFmtId="0" fontId="10" fillId="38" borderId="0" xfId="42" applyFont="1" applyFill="1" applyProtection="1">
      <protection locked="0"/>
    </xf>
    <xf numFmtId="0" fontId="13" fillId="38" borderId="0" xfId="0" applyFont="1" applyFill="1" applyProtection="1"/>
    <xf numFmtId="0" fontId="68" fillId="38" borderId="0" xfId="0" applyFont="1" applyFill="1" applyProtection="1"/>
    <xf numFmtId="0" fontId="17" fillId="38" borderId="0" xfId="0" applyFont="1" applyFill="1" applyBorder="1" applyAlignment="1" applyProtection="1">
      <alignment horizontal="center"/>
    </xf>
    <xf numFmtId="0" fontId="19" fillId="38" borderId="0" xfId="0" applyFont="1" applyFill="1" applyProtection="1"/>
    <xf numFmtId="0" fontId="17" fillId="38" borderId="0" xfId="0" applyFont="1" applyFill="1" applyBorder="1" applyProtection="1"/>
    <xf numFmtId="0" fontId="50" fillId="38" borderId="0" xfId="0" applyFont="1" applyFill="1" applyBorder="1" applyProtection="1"/>
    <xf numFmtId="0" fontId="21" fillId="38" borderId="0" xfId="0" applyFont="1" applyFill="1" applyBorder="1" applyAlignment="1" applyProtection="1">
      <alignment horizontal="left" vertical="center" wrapText="1"/>
    </xf>
    <xf numFmtId="0" fontId="21" fillId="38" borderId="0" xfId="0" applyFont="1" applyFill="1" applyBorder="1" applyAlignment="1" applyProtection="1">
      <alignment horizontal="center" vertical="center"/>
    </xf>
    <xf numFmtId="0" fontId="13" fillId="38" borderId="0" xfId="0" applyFont="1" applyFill="1" applyAlignment="1" applyProtection="1">
      <alignment horizontal="center" vertical="center"/>
    </xf>
    <xf numFmtId="0" fontId="50" fillId="38" borderId="0" xfId="0" applyFont="1" applyFill="1" applyProtection="1"/>
    <xf numFmtId="0" fontId="20" fillId="38" borderId="0" xfId="0" applyFont="1" applyFill="1" applyBorder="1" applyProtection="1"/>
    <xf numFmtId="0" fontId="10" fillId="38" borderId="0" xfId="43" applyFont="1" applyFill="1" applyProtection="1">
      <protection locked="0"/>
    </xf>
    <xf numFmtId="0" fontId="10" fillId="38" borderId="0" xfId="43" applyFont="1" applyFill="1"/>
    <xf numFmtId="0" fontId="10" fillId="38" borderId="0" xfId="43" applyFont="1" applyFill="1" applyBorder="1"/>
    <xf numFmtId="0" fontId="10" fillId="38" borderId="0" xfId="43" applyFill="1" applyProtection="1">
      <protection locked="0"/>
    </xf>
    <xf numFmtId="0" fontId="10" fillId="38" borderId="0" xfId="43" applyFill="1"/>
    <xf numFmtId="0" fontId="0" fillId="38" borderId="0" xfId="0" applyFill="1"/>
    <xf numFmtId="0" fontId="10" fillId="38" borderId="0" xfId="43" applyFill="1" applyBorder="1" applyAlignment="1">
      <alignment vertical="top"/>
    </xf>
    <xf numFmtId="0" fontId="10" fillId="38" borderId="0" xfId="43" applyFill="1" applyBorder="1"/>
    <xf numFmtId="0" fontId="10" fillId="38" borderId="0" xfId="43" applyFill="1" applyAlignment="1">
      <alignment vertical="center"/>
    </xf>
    <xf numFmtId="0" fontId="10" fillId="38" borderId="0" xfId="43" applyFont="1" applyFill="1" applyAlignment="1">
      <alignment vertical="top" wrapText="1"/>
    </xf>
    <xf numFmtId="0" fontId="10" fillId="38" borderId="0" xfId="43" applyFont="1" applyFill="1" applyAlignment="1">
      <alignment horizontal="left" vertical="top"/>
    </xf>
    <xf numFmtId="0" fontId="10" fillId="38" borderId="0" xfId="0" applyFont="1" applyFill="1"/>
    <xf numFmtId="0" fontId="68" fillId="38" borderId="0" xfId="43" applyFont="1" applyFill="1"/>
    <xf numFmtId="0" fontId="51" fillId="45" borderId="91" xfId="0" applyFont="1" applyFill="1" applyBorder="1" applyAlignment="1">
      <alignment horizontal="left"/>
    </xf>
    <xf numFmtId="0" fontId="51" fillId="45" borderId="91" xfId="0" applyNumberFormat="1" applyFont="1" applyFill="1" applyBorder="1"/>
    <xf numFmtId="0" fontId="51" fillId="45" borderId="91" xfId="0" applyFont="1" applyFill="1" applyBorder="1" applyAlignment="1">
      <alignment horizontal="center"/>
    </xf>
    <xf numFmtId="0" fontId="51" fillId="45" borderId="91" xfId="0" applyFont="1" applyFill="1" applyBorder="1"/>
    <xf numFmtId="0" fontId="51" fillId="45" borderId="92" xfId="0" applyFont="1" applyFill="1" applyBorder="1"/>
    <xf numFmtId="0" fontId="51" fillId="45" borderId="94" xfId="0" applyFont="1" applyFill="1" applyBorder="1" applyAlignment="1">
      <alignment horizontal="left"/>
    </xf>
    <xf numFmtId="0" fontId="51" fillId="45" borderId="94" xfId="0" applyNumberFormat="1" applyFont="1" applyFill="1" applyBorder="1"/>
    <xf numFmtId="0" fontId="51" fillId="45" borderId="94" xfId="0" applyFont="1" applyFill="1" applyBorder="1" applyAlignment="1">
      <alignment horizontal="center"/>
    </xf>
    <xf numFmtId="0" fontId="51" fillId="45" borderId="94" xfId="0" applyFont="1" applyFill="1" applyBorder="1"/>
    <xf numFmtId="0" fontId="51" fillId="45" borderId="95" xfId="0" applyFont="1" applyFill="1" applyBorder="1"/>
    <xf numFmtId="0" fontId="51" fillId="45" borderId="97" xfId="0" applyFont="1" applyFill="1" applyBorder="1" applyAlignment="1">
      <alignment horizontal="left"/>
    </xf>
    <xf numFmtId="0" fontId="51" fillId="45" borderId="97" xfId="0" applyNumberFormat="1" applyFont="1" applyFill="1" applyBorder="1"/>
    <xf numFmtId="0" fontId="51" fillId="45" borderId="97" xfId="0" applyFont="1" applyFill="1" applyBorder="1" applyAlignment="1">
      <alignment horizontal="center"/>
    </xf>
    <xf numFmtId="0" fontId="51" fillId="45" borderId="97" xfId="0" applyFont="1" applyFill="1" applyBorder="1"/>
    <xf numFmtId="0" fontId="51" fillId="45" borderId="98" xfId="0" applyFont="1" applyFill="1" applyBorder="1"/>
    <xf numFmtId="0" fontId="51" fillId="45" borderId="86" xfId="0" applyFont="1" applyFill="1" applyBorder="1" applyAlignment="1">
      <alignment horizontal="center"/>
    </xf>
    <xf numFmtId="0" fontId="51" fillId="45" borderId="0" xfId="0" applyFont="1" applyFill="1" applyBorder="1" applyAlignment="1">
      <alignment horizontal="center"/>
    </xf>
    <xf numFmtId="0" fontId="51" fillId="45" borderId="99" xfId="0" applyFont="1" applyFill="1" applyBorder="1" applyAlignment="1">
      <alignment horizontal="center"/>
    </xf>
    <xf numFmtId="0" fontId="51" fillId="45" borderId="100" xfId="0" applyFont="1" applyFill="1" applyBorder="1" applyAlignment="1">
      <alignment horizontal="center"/>
    </xf>
    <xf numFmtId="0" fontId="51" fillId="45" borderId="101" xfId="0" applyFont="1" applyFill="1" applyBorder="1" applyAlignment="1">
      <alignment horizontal="center"/>
    </xf>
    <xf numFmtId="0" fontId="51" fillId="45" borderId="0" xfId="0" applyFont="1" applyFill="1" applyBorder="1" applyAlignment="1">
      <alignment horizontal="left"/>
    </xf>
    <xf numFmtId="0" fontId="51" fillId="45" borderId="86" xfId="0" applyFont="1" applyFill="1" applyBorder="1"/>
    <xf numFmtId="0" fontId="51" fillId="45" borderId="0" xfId="0" applyFont="1" applyFill="1" applyBorder="1"/>
    <xf numFmtId="0" fontId="51" fillId="45" borderId="99" xfId="0" applyFont="1" applyFill="1" applyBorder="1"/>
    <xf numFmtId="0" fontId="51" fillId="45" borderId="102" xfId="0" applyFont="1" applyFill="1" applyBorder="1"/>
    <xf numFmtId="0" fontId="51" fillId="45" borderId="100" xfId="0" applyFont="1" applyFill="1" applyBorder="1"/>
    <xf numFmtId="0" fontId="51" fillId="45" borderId="101" xfId="0" applyFont="1" applyFill="1" applyBorder="1"/>
    <xf numFmtId="0" fontId="51" fillId="45" borderId="87" xfId="0" applyFont="1" applyFill="1" applyBorder="1" applyAlignment="1">
      <alignment horizontal="left"/>
    </xf>
    <xf numFmtId="0" fontId="51" fillId="45" borderId="89" xfId="0" applyFont="1" applyFill="1" applyBorder="1" applyAlignment="1">
      <alignment horizontal="left"/>
    </xf>
    <xf numFmtId="0" fontId="51" fillId="45" borderId="103" xfId="0" applyFont="1" applyFill="1" applyBorder="1" applyAlignment="1">
      <alignment horizontal="left"/>
    </xf>
    <xf numFmtId="0" fontId="51" fillId="45" borderId="104" xfId="0" applyFont="1" applyFill="1" applyBorder="1" applyAlignment="1">
      <alignment horizontal="left"/>
    </xf>
    <xf numFmtId="0" fontId="51" fillId="45" borderId="105" xfId="0" applyFont="1" applyFill="1" applyBorder="1" applyAlignment="1">
      <alignment horizontal="left"/>
    </xf>
    <xf numFmtId="0" fontId="51" fillId="45" borderId="106" xfId="0" applyFont="1" applyFill="1" applyBorder="1" applyAlignment="1">
      <alignment horizontal="left"/>
    </xf>
    <xf numFmtId="0" fontId="51" fillId="45" borderId="107" xfId="0" applyFont="1" applyFill="1" applyBorder="1" applyAlignment="1">
      <alignment horizontal="left"/>
    </xf>
    <xf numFmtId="0" fontId="51" fillId="45" borderId="108" xfId="0" applyFont="1" applyFill="1" applyBorder="1" applyAlignment="1">
      <alignment horizontal="left"/>
    </xf>
    <xf numFmtId="0" fontId="51" fillId="45" borderId="81" xfId="0" applyFont="1" applyFill="1" applyBorder="1" applyProtection="1"/>
    <xf numFmtId="0" fontId="51" fillId="45" borderId="110" xfId="0" applyFont="1" applyFill="1" applyBorder="1" applyProtection="1"/>
    <xf numFmtId="0" fontId="51" fillId="45" borderId="111" xfId="0" applyFont="1" applyFill="1" applyBorder="1" applyProtection="1"/>
    <xf numFmtId="0" fontId="97" fillId="45" borderId="112" xfId="0" applyFont="1" applyFill="1" applyBorder="1" applyProtection="1"/>
    <xf numFmtId="0" fontId="51" fillId="45" borderId="93" xfId="0" applyFont="1" applyFill="1" applyBorder="1" applyProtection="1"/>
    <xf numFmtId="0" fontId="97" fillId="45" borderId="95" xfId="0" applyFont="1" applyFill="1" applyBorder="1" applyProtection="1"/>
    <xf numFmtId="0" fontId="51" fillId="45" borderId="113" xfId="0" applyFont="1" applyFill="1" applyBorder="1" applyProtection="1"/>
    <xf numFmtId="0" fontId="51" fillId="45" borderId="114" xfId="0" applyFont="1" applyFill="1" applyBorder="1" applyProtection="1"/>
    <xf numFmtId="0" fontId="97" fillId="45" borderId="115" xfId="0" applyFont="1" applyFill="1" applyBorder="1" applyProtection="1"/>
    <xf numFmtId="0" fontId="97" fillId="45" borderId="95" xfId="0" applyFont="1" applyFill="1" applyBorder="1" applyAlignment="1"/>
    <xf numFmtId="0" fontId="97" fillId="45" borderId="115" xfId="0" applyFont="1" applyFill="1" applyBorder="1" applyAlignment="1"/>
    <xf numFmtId="0" fontId="51" fillId="45" borderId="112" xfId="0" applyFont="1" applyFill="1" applyBorder="1" applyProtection="1"/>
    <xf numFmtId="0" fontId="51" fillId="45" borderId="115" xfId="0" applyFont="1" applyFill="1" applyBorder="1" applyProtection="1"/>
    <xf numFmtId="0" fontId="51" fillId="45" borderId="0" xfId="43" applyFont="1" applyFill="1" applyBorder="1" applyAlignment="1">
      <alignment horizontal="left" vertical="center"/>
    </xf>
    <xf numFmtId="0" fontId="51" fillId="45" borderId="116" xfId="43" applyFont="1" applyFill="1" applyBorder="1" applyAlignment="1">
      <alignment horizontal="left"/>
    </xf>
    <xf numFmtId="0" fontId="51" fillId="45" borderId="109" xfId="43" applyFont="1" applyFill="1" applyBorder="1" applyAlignment="1">
      <alignment horizontal="left"/>
    </xf>
    <xf numFmtId="0" fontId="51" fillId="45" borderId="117" xfId="43" applyFont="1" applyFill="1" applyBorder="1"/>
    <xf numFmtId="0" fontId="51" fillId="45" borderId="116" xfId="43" applyFont="1" applyFill="1" applyBorder="1"/>
    <xf numFmtId="0" fontId="51" fillId="45" borderId="116" xfId="0" applyFont="1" applyFill="1" applyBorder="1"/>
    <xf numFmtId="0" fontId="51" fillId="45" borderId="117" xfId="0" applyFont="1" applyFill="1" applyBorder="1"/>
    <xf numFmtId="0" fontId="94" fillId="39" borderId="0" xfId="0" applyFont="1" applyFill="1" applyBorder="1" applyAlignment="1">
      <alignment horizontal="left"/>
    </xf>
    <xf numFmtId="0" fontId="96" fillId="39" borderId="0" xfId="0" applyFont="1" applyFill="1" applyBorder="1"/>
    <xf numFmtId="0" fontId="94" fillId="39" borderId="0" xfId="0" applyFont="1" applyFill="1" applyBorder="1" applyAlignment="1">
      <alignment horizontal="right"/>
    </xf>
    <xf numFmtId="0" fontId="94" fillId="39" borderId="0" xfId="0" applyFont="1" applyFill="1" applyBorder="1" applyAlignment="1" applyProtection="1">
      <alignment horizontal="right"/>
      <protection locked="0" hidden="1"/>
    </xf>
    <xf numFmtId="0" fontId="94" fillId="39" borderId="0" xfId="42" applyFont="1" applyFill="1" applyBorder="1"/>
    <xf numFmtId="0" fontId="94" fillId="39" borderId="0" xfId="42" applyFont="1" applyFill="1"/>
    <xf numFmtId="0" fontId="94" fillId="39" borderId="36" xfId="0" applyFont="1" applyFill="1" applyBorder="1" applyProtection="1"/>
    <xf numFmtId="0" fontId="94" fillId="39" borderId="37" xfId="0" applyFont="1" applyFill="1" applyBorder="1" applyProtection="1"/>
    <xf numFmtId="0" fontId="94" fillId="39" borderId="36" xfId="0" applyFont="1" applyFill="1" applyBorder="1" applyAlignment="1" applyProtection="1">
      <alignment horizontal="right"/>
    </xf>
    <xf numFmtId="0" fontId="94" fillId="39" borderId="0" xfId="0" applyFont="1" applyFill="1" applyAlignment="1">
      <alignment horizontal="left" vertical="center"/>
    </xf>
    <xf numFmtId="0" fontId="94" fillId="39" borderId="0" xfId="43" applyFont="1" applyFill="1" applyBorder="1"/>
    <xf numFmtId="0" fontId="94" fillId="39" borderId="0" xfId="43" applyFont="1" applyFill="1"/>
    <xf numFmtId="0" fontId="94" fillId="40" borderId="0" xfId="0" applyFont="1" applyFill="1" applyProtection="1">
      <protection locked="0"/>
    </xf>
    <xf numFmtId="14" fontId="94" fillId="40" borderId="0" xfId="0" applyNumberFormat="1" applyFont="1" applyFill="1"/>
    <xf numFmtId="0" fontId="94" fillId="40" borderId="0" xfId="0" applyFont="1" applyFill="1" applyAlignment="1">
      <alignment horizontal="left"/>
    </xf>
    <xf numFmtId="14" fontId="94" fillId="40" borderId="0" xfId="0" applyNumberFormat="1" applyFont="1" applyFill="1" applyAlignment="1">
      <alignment horizontal="left"/>
    </xf>
    <xf numFmtId="0" fontId="94" fillId="40" borderId="0" xfId="0" applyFont="1" applyFill="1" applyAlignment="1">
      <alignment horizontal="right"/>
    </xf>
    <xf numFmtId="0" fontId="94" fillId="40" borderId="0" xfId="0" applyFont="1" applyFill="1" applyBorder="1" applyProtection="1">
      <protection locked="0"/>
    </xf>
    <xf numFmtId="0" fontId="96" fillId="40" borderId="0" xfId="0" applyFont="1" applyFill="1" applyBorder="1"/>
    <xf numFmtId="0" fontId="94" fillId="40" borderId="0" xfId="0" applyFont="1" applyFill="1" applyAlignment="1" applyProtection="1">
      <alignment horizontal="left"/>
    </xf>
    <xf numFmtId="0" fontId="94" fillId="40" borderId="0" xfId="0" applyFont="1" applyFill="1" applyBorder="1" applyAlignment="1" applyProtection="1">
      <alignment horizontal="left"/>
    </xf>
    <xf numFmtId="165" fontId="94" fillId="40" borderId="0" xfId="0" applyNumberFormat="1" applyFont="1" applyFill="1" applyBorder="1" applyAlignment="1" applyProtection="1">
      <alignment horizontal="left"/>
    </xf>
    <xf numFmtId="166" fontId="94" fillId="40" borderId="0" xfId="0" applyNumberFormat="1" applyFont="1" applyFill="1" applyBorder="1" applyAlignment="1" applyProtection="1">
      <alignment horizontal="left"/>
    </xf>
    <xf numFmtId="0" fontId="94" fillId="40" borderId="0" xfId="0" applyFont="1" applyFill="1" applyBorder="1" applyAlignment="1" applyProtection="1">
      <alignment horizontal="center"/>
    </xf>
    <xf numFmtId="0" fontId="94" fillId="40" borderId="0" xfId="43" applyFont="1" applyFill="1"/>
    <xf numFmtId="0" fontId="94" fillId="40" borderId="0" xfId="43" applyFont="1" applyFill="1" applyBorder="1" applyAlignment="1">
      <alignment horizontal="left"/>
    </xf>
    <xf numFmtId="15" fontId="94" fillId="40" borderId="0" xfId="43" applyNumberFormat="1" applyFont="1" applyFill="1" applyBorder="1" applyAlignment="1">
      <alignment horizontal="left"/>
    </xf>
    <xf numFmtId="15" fontId="94" fillId="40" borderId="0" xfId="43" applyNumberFormat="1" applyFont="1" applyFill="1" applyBorder="1" applyAlignment="1" applyProtection="1">
      <alignment horizontal="left"/>
      <protection locked="0"/>
    </xf>
    <xf numFmtId="0" fontId="94" fillId="40" borderId="0" xfId="43" applyFont="1" applyFill="1" applyAlignment="1">
      <alignment horizontal="left"/>
    </xf>
    <xf numFmtId="0" fontId="94" fillId="40" borderId="0" xfId="43" applyFont="1" applyFill="1" applyBorder="1" applyAlignment="1" applyProtection="1">
      <alignment horizontal="left"/>
      <protection locked="0"/>
    </xf>
    <xf numFmtId="1" fontId="94" fillId="40" borderId="0" xfId="43" applyNumberFormat="1" applyFont="1" applyFill="1" applyBorder="1" applyAlignment="1">
      <alignment horizontal="left"/>
    </xf>
    <xf numFmtId="0" fontId="94" fillId="41" borderId="0" xfId="0" applyFont="1" applyFill="1" applyBorder="1" applyAlignment="1" applyProtection="1">
      <alignment horizontal="center"/>
    </xf>
    <xf numFmtId="0" fontId="94" fillId="41" borderId="0" xfId="0" applyFont="1" applyFill="1" applyProtection="1">
      <protection locked="0"/>
    </xf>
    <xf numFmtId="0" fontId="96" fillId="41" borderId="0" xfId="0" applyFont="1" applyFill="1"/>
    <xf numFmtId="0" fontId="98" fillId="41" borderId="0" xfId="0" applyFont="1" applyFill="1" applyBorder="1"/>
    <xf numFmtId="49" fontId="94" fillId="41" borderId="0" xfId="0" applyNumberFormat="1" applyFont="1" applyFill="1" applyBorder="1" applyAlignment="1">
      <alignment horizontal="left" vertical="top" wrapText="1"/>
    </xf>
    <xf numFmtId="0" fontId="94" fillId="41" borderId="0" xfId="0" applyFont="1" applyFill="1" applyBorder="1" applyAlignment="1">
      <alignment horizontal="left"/>
    </xf>
    <xf numFmtId="0" fontId="94" fillId="41" borderId="0" xfId="0" applyFont="1" applyFill="1" applyBorder="1" applyAlignment="1"/>
    <xf numFmtId="1" fontId="94" fillId="41" borderId="0" xfId="0" applyNumberFormat="1" applyFont="1" applyFill="1" applyBorder="1" applyAlignment="1">
      <alignment horizontal="left"/>
    </xf>
    <xf numFmtId="0" fontId="94" fillId="41" borderId="0" xfId="0" applyFont="1" applyFill="1" applyBorder="1" applyProtection="1">
      <protection locked="0" hidden="1"/>
    </xf>
    <xf numFmtId="0" fontId="94" fillId="41" borderId="0" xfId="42" applyFont="1" applyFill="1" applyBorder="1"/>
    <xf numFmtId="172" fontId="94" fillId="41" borderId="0" xfId="42" applyNumberFormat="1" applyFont="1" applyFill="1" applyBorder="1" applyAlignment="1">
      <alignment horizontal="left"/>
    </xf>
    <xf numFmtId="0" fontId="94" fillId="41" borderId="0" xfId="42" applyFont="1" applyFill="1" applyBorder="1" applyAlignment="1">
      <alignment horizontal="left"/>
    </xf>
    <xf numFmtId="0" fontId="94" fillId="41" borderId="0" xfId="42" applyFont="1" applyFill="1"/>
    <xf numFmtId="0" fontId="94" fillId="41" borderId="0" xfId="43" applyFont="1" applyFill="1"/>
    <xf numFmtId="0" fontId="94" fillId="41" borderId="0" xfId="43" applyFont="1" applyFill="1" applyBorder="1"/>
    <xf numFmtId="0" fontId="94" fillId="41" borderId="0" xfId="43" applyFont="1" applyFill="1" applyAlignment="1">
      <alignment vertical="top" wrapText="1"/>
    </xf>
    <xf numFmtId="0" fontId="94" fillId="41" borderId="0" xfId="43" applyFont="1" applyFill="1" applyAlignment="1">
      <alignment horizontal="left" vertical="top"/>
    </xf>
    <xf numFmtId="0" fontId="94" fillId="42" borderId="0" xfId="43" applyFont="1" applyFill="1"/>
    <xf numFmtId="0" fontId="95" fillId="43" borderId="0" xfId="42" applyFont="1" applyFill="1" applyBorder="1"/>
    <xf numFmtId="0" fontId="95" fillId="43" borderId="0" xfId="42" applyFont="1" applyFill="1"/>
    <xf numFmtId="20" fontId="10" fillId="0" borderId="0" xfId="0" quotePrefix="1" applyNumberFormat="1" applyFont="1"/>
    <xf numFmtId="0" fontId="51" fillId="45" borderId="93" xfId="0" applyFont="1" applyFill="1" applyBorder="1" applyAlignment="1"/>
    <xf numFmtId="0" fontId="51" fillId="45" borderId="94" xfId="0" applyFont="1" applyFill="1" applyBorder="1" applyAlignment="1"/>
    <xf numFmtId="0" fontId="51" fillId="45" borderId="96" xfId="0" applyFont="1" applyFill="1" applyBorder="1" applyAlignment="1"/>
    <xf numFmtId="0" fontId="51" fillId="45" borderId="97" xfId="0" applyFont="1" applyFill="1" applyBorder="1" applyAlignment="1"/>
    <xf numFmtId="0" fontId="51" fillId="45" borderId="90" xfId="0" applyFont="1" applyFill="1" applyBorder="1" applyAlignment="1"/>
    <xf numFmtId="0" fontId="51" fillId="45" borderId="91" xfId="0" applyFont="1" applyFill="1" applyBorder="1" applyAlignment="1"/>
    <xf numFmtId="0" fontId="51" fillId="45" borderId="0" xfId="0" applyFont="1" applyFill="1" applyBorder="1" applyAlignment="1">
      <alignment horizontal="left" vertical="top" wrapText="1"/>
    </xf>
    <xf numFmtId="0" fontId="21" fillId="38" borderId="0" xfId="0" applyFont="1" applyFill="1" applyBorder="1" applyAlignment="1">
      <alignment horizontal="left" vertical="top" wrapText="1"/>
    </xf>
    <xf numFmtId="0" fontId="94" fillId="40" borderId="0" xfId="0" applyFont="1" applyFill="1" applyProtection="1"/>
    <xf numFmtId="0" fontId="51" fillId="45" borderId="0" xfId="0" applyFont="1" applyFill="1" applyBorder="1" applyAlignment="1" applyProtection="1">
      <alignment horizontal="left"/>
      <protection locked="0"/>
    </xf>
    <xf numFmtId="0" fontId="21" fillId="38" borderId="0" xfId="0" applyFont="1" applyFill="1" applyBorder="1" applyAlignment="1" applyProtection="1">
      <alignment horizontal="left"/>
      <protection locked="0"/>
    </xf>
    <xf numFmtId="0" fontId="90" fillId="38" borderId="0" xfId="0" applyFont="1" applyFill="1" applyBorder="1" applyAlignment="1">
      <alignment horizontal="center" vertical="top"/>
    </xf>
    <xf numFmtId="0" fontId="51" fillId="45" borderId="0" xfId="0" applyFont="1" applyFill="1" applyBorder="1" applyAlignment="1">
      <alignment horizontal="left"/>
    </xf>
    <xf numFmtId="0" fontId="21" fillId="38" borderId="0" xfId="0" applyFont="1" applyFill="1" applyBorder="1" applyAlignment="1">
      <alignment horizontal="left"/>
    </xf>
    <xf numFmtId="0" fontId="94" fillId="40" borderId="0" xfId="0" applyFont="1" applyFill="1" applyBorder="1" applyAlignment="1">
      <alignment horizontal="left" vertical="top" wrapText="1"/>
    </xf>
    <xf numFmtId="0" fontId="51" fillId="45" borderId="0" xfId="42" applyFont="1" applyFill="1" applyBorder="1" applyAlignment="1">
      <alignment horizontal="left" vertical="top"/>
    </xf>
    <xf numFmtId="0" fontId="10" fillId="38" borderId="0" xfId="42" applyFont="1" applyFill="1" applyAlignment="1">
      <alignment horizontal="left" vertical="top"/>
    </xf>
    <xf numFmtId="0" fontId="51" fillId="45" borderId="0" xfId="43" applyFont="1" applyFill="1" applyBorder="1" applyAlignment="1">
      <alignment horizontal="left" vertical="top"/>
    </xf>
    <xf numFmtId="0" fontId="10" fillId="38" borderId="0" xfId="43" applyFill="1" applyBorder="1" applyAlignment="1">
      <alignment horizontal="left" vertical="top"/>
    </xf>
    <xf numFmtId="0" fontId="94" fillId="41" borderId="0" xfId="0" applyFont="1" applyFill="1" applyBorder="1" applyAlignment="1">
      <alignment vertical="top" wrapText="1"/>
    </xf>
    <xf numFmtId="0" fontId="94" fillId="41" borderId="0" xfId="0" applyFont="1" applyFill="1" applyBorder="1" applyAlignment="1">
      <alignment horizontal="left" vertical="top" wrapText="1"/>
    </xf>
    <xf numFmtId="0" fontId="21" fillId="38" borderId="0" xfId="0" applyFont="1" applyFill="1" applyBorder="1" applyAlignment="1">
      <alignment wrapText="1"/>
    </xf>
    <xf numFmtId="0" fontId="51" fillId="45" borderId="94" xfId="0" applyFont="1" applyFill="1" applyBorder="1" applyAlignment="1" applyProtection="1">
      <alignment horizontal="left" vertical="center" wrapText="1"/>
    </xf>
    <xf numFmtId="0" fontId="51" fillId="45" borderId="114" xfId="0" applyFont="1" applyFill="1" applyBorder="1" applyAlignment="1" applyProtection="1">
      <alignment horizontal="left" vertical="center" wrapText="1"/>
    </xf>
    <xf numFmtId="0" fontId="20" fillId="0" borderId="28" xfId="0" applyFont="1" applyFill="1" applyBorder="1" applyAlignment="1">
      <alignment horizontal="left" wrapText="1"/>
    </xf>
    <xf numFmtId="0" fontId="20" fillId="0" borderId="29" xfId="0" applyFont="1" applyFill="1" applyBorder="1" applyAlignment="1">
      <alignment horizontal="left" wrapText="1"/>
    </xf>
    <xf numFmtId="0" fontId="20" fillId="0" borderId="0" xfId="0" applyFont="1" applyFill="1" applyBorder="1" applyAlignment="1">
      <alignment horizontal="left"/>
    </xf>
    <xf numFmtId="0" fontId="20" fillId="0" borderId="23" xfId="0" applyFont="1" applyFill="1" applyBorder="1" applyAlignment="1" applyProtection="1">
      <alignment horizontal="left" shrinkToFit="1"/>
      <protection locked="0"/>
    </xf>
    <xf numFmtId="0" fontId="20" fillId="0" borderId="23" xfId="0" applyFont="1" applyBorder="1" applyAlignment="1">
      <alignment shrinkToFit="1"/>
    </xf>
    <xf numFmtId="0" fontId="20" fillId="0" borderId="0" xfId="0" applyFont="1" applyFill="1" applyBorder="1" applyAlignment="1">
      <alignment horizontal="left" vertical="top" wrapText="1"/>
    </xf>
    <xf numFmtId="0" fontId="20" fillId="0" borderId="0" xfId="0" applyFont="1" applyBorder="1" applyAlignment="1">
      <alignment horizontal="left" vertical="top" wrapText="1"/>
    </xf>
    <xf numFmtId="0" fontId="20" fillId="0" borderId="23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20" fillId="0" borderId="0" xfId="0" applyFont="1" applyFill="1" applyBorder="1" applyAlignment="1">
      <alignment horizontal="left" vertical="top" shrinkToFit="1"/>
    </xf>
    <xf numFmtId="0" fontId="20" fillId="0" borderId="0" xfId="0" applyFont="1" applyBorder="1" applyAlignment="1">
      <alignment shrinkToFit="1"/>
    </xf>
    <xf numFmtId="0" fontId="20" fillId="0" borderId="22" xfId="0" applyFont="1" applyFill="1" applyBorder="1" applyAlignment="1">
      <alignment horizontal="left" vertical="top" shrinkToFit="1"/>
    </xf>
    <xf numFmtId="0" fontId="20" fillId="0" borderId="22" xfId="0" applyFont="1" applyBorder="1" applyAlignment="1">
      <alignment shrinkToFit="1"/>
    </xf>
    <xf numFmtId="0" fontId="20" fillId="0" borderId="0" xfId="0" applyFont="1" applyAlignment="1">
      <alignment shrinkToFit="1"/>
    </xf>
    <xf numFmtId="0" fontId="20" fillId="0" borderId="0" xfId="0" applyFont="1" applyBorder="1" applyAlignment="1">
      <alignment horizontal="left" vertical="top" shrinkToFit="1"/>
    </xf>
    <xf numFmtId="0" fontId="21" fillId="0" borderId="13" xfId="0" applyFont="1" applyBorder="1" applyAlignment="1"/>
    <xf numFmtId="15" fontId="0" fillId="0" borderId="40" xfId="0" applyNumberFormat="1" applyBorder="1" applyAlignment="1"/>
    <xf numFmtId="15" fontId="0" fillId="0" borderId="40" xfId="0" applyNumberFormat="1" applyBorder="1" applyAlignment="1">
      <alignment horizontal="left"/>
    </xf>
    <xf numFmtId="0" fontId="21" fillId="0" borderId="42" xfId="0" applyFont="1" applyBorder="1" applyAlignment="1">
      <alignment horizontal="center" vertical="top" wrapText="1"/>
    </xf>
    <xf numFmtId="0" fontId="21" fillId="0" borderId="43" xfId="0" applyFont="1" applyBorder="1" applyAlignment="1">
      <alignment horizontal="center" vertical="top" wrapText="1"/>
    </xf>
    <xf numFmtId="0" fontId="21" fillId="0" borderId="20" xfId="0" applyFont="1" applyBorder="1" applyAlignment="1">
      <alignment horizontal="center" vertical="top" wrapText="1"/>
    </xf>
    <xf numFmtId="0" fontId="21" fillId="0" borderId="25" xfId="0" applyFont="1" applyBorder="1" applyAlignment="1">
      <alignment vertical="top" wrapText="1"/>
    </xf>
    <xf numFmtId="0" fontId="21" fillId="0" borderId="16" xfId="0" applyFont="1" applyBorder="1" applyAlignment="1">
      <alignment vertical="top" wrapText="1"/>
    </xf>
    <xf numFmtId="0" fontId="21" fillId="0" borderId="22" xfId="0" applyFont="1" applyBorder="1" applyAlignment="1">
      <alignment vertical="top" wrapText="1"/>
    </xf>
    <xf numFmtId="0" fontId="21" fillId="0" borderId="23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26" fillId="0" borderId="10" xfId="0" applyFont="1" applyBorder="1" applyAlignment="1">
      <alignment vertical="top" wrapText="1"/>
    </xf>
    <xf numFmtId="0" fontId="26" fillId="0" borderId="11" xfId="0" applyFont="1" applyBorder="1" applyAlignment="1">
      <alignment vertical="top" wrapText="1"/>
    </xf>
    <xf numFmtId="0" fontId="26" fillId="0" borderId="12" xfId="0" applyFont="1" applyBorder="1" applyAlignment="1">
      <alignment vertical="top" wrapText="1"/>
    </xf>
    <xf numFmtId="0" fontId="21" fillId="0" borderId="30" xfId="0" applyFont="1" applyBorder="1" applyAlignment="1">
      <alignment horizontal="center" vertical="top" wrapText="1"/>
    </xf>
    <xf numFmtId="0" fontId="21" fillId="0" borderId="31" xfId="0" applyFont="1" applyBorder="1" applyAlignment="1">
      <alignment horizontal="center" vertical="top" wrapText="1"/>
    </xf>
    <xf numFmtId="0" fontId="21" fillId="0" borderId="30" xfId="0" applyFont="1" applyBorder="1" applyAlignment="1">
      <alignment vertical="top" wrapText="1"/>
    </xf>
    <xf numFmtId="0" fontId="21" fillId="0" borderId="31" xfId="0" applyFont="1" applyBorder="1" applyAlignment="1">
      <alignment vertical="top" wrapText="1"/>
    </xf>
    <xf numFmtId="0" fontId="26" fillId="0" borderId="41" xfId="0" applyFont="1" applyBorder="1" applyAlignment="1">
      <alignment horizontal="center" vertical="top" wrapText="1"/>
    </xf>
    <xf numFmtId="0" fontId="26" fillId="0" borderId="26" xfId="0" applyFont="1" applyBorder="1" applyAlignment="1">
      <alignment horizontal="center" vertical="top" wrapText="1"/>
    </xf>
    <xf numFmtId="0" fontId="21" fillId="0" borderId="22" xfId="0" applyFont="1" applyBorder="1" applyAlignment="1">
      <alignment horizontal="right" vertical="top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26" fillId="0" borderId="22" xfId="0" applyFont="1" applyBorder="1" applyAlignment="1">
      <alignment horizontal="right" vertical="top" wrapText="1"/>
    </xf>
    <xf numFmtId="0" fontId="26" fillId="0" borderId="42" xfId="0" applyFont="1" applyBorder="1" applyAlignment="1">
      <alignment vertical="top" wrapText="1"/>
    </xf>
    <xf numFmtId="0" fontId="26" fillId="0" borderId="43" xfId="0" applyFont="1" applyBorder="1" applyAlignment="1">
      <alignment vertical="top" wrapText="1"/>
    </xf>
    <xf numFmtId="0" fontId="26" fillId="0" borderId="20" xfId="0" applyFont="1" applyBorder="1" applyAlignment="1">
      <alignment vertical="top" wrapText="1"/>
    </xf>
    <xf numFmtId="0" fontId="22" fillId="0" borderId="42" xfId="0" applyFont="1" applyBorder="1" applyAlignment="1">
      <alignment vertical="top" wrapText="1"/>
    </xf>
    <xf numFmtId="0" fontId="22" fillId="0" borderId="43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6" fillId="0" borderId="10" xfId="0" applyFont="1" applyBorder="1" applyAlignment="1">
      <alignment vertical="center"/>
    </xf>
    <xf numFmtId="0" fontId="26" fillId="0" borderId="11" xfId="0" applyFont="1" applyBorder="1" applyAlignment="1">
      <alignment vertical="center"/>
    </xf>
    <xf numFmtId="0" fontId="21" fillId="0" borderId="41" xfId="0" applyFont="1" applyBorder="1" applyAlignment="1">
      <alignment horizontal="center" vertical="top" wrapText="1"/>
    </xf>
    <xf numFmtId="0" fontId="21" fillId="0" borderId="26" xfId="0" applyFont="1" applyBorder="1" applyAlignment="1">
      <alignment horizontal="center" vertical="top" wrapText="1"/>
    </xf>
    <xf numFmtId="0" fontId="26" fillId="0" borderId="11" xfId="0" applyFont="1" applyBorder="1" applyAlignment="1">
      <alignment vertical="center" wrapText="1"/>
    </xf>
    <xf numFmtId="0" fontId="26" fillId="0" borderId="12" xfId="0" applyFont="1" applyBorder="1" applyAlignment="1">
      <alignment vertical="center" wrapText="1"/>
    </xf>
    <xf numFmtId="0" fontId="92" fillId="37" borderId="0" xfId="42" applyFont="1" applyFill="1" applyAlignment="1">
      <alignment horizontal="center" vertical="center"/>
    </xf>
    <xf numFmtId="0" fontId="14" fillId="0" borderId="0" xfId="0" applyFont="1" applyFill="1" applyBorder="1" applyAlignment="1">
      <alignment horizontal="left" vertical="top" wrapText="1"/>
    </xf>
    <xf numFmtId="0" fontId="14" fillId="0" borderId="23" xfId="0" applyFont="1" applyFill="1" applyBorder="1" applyAlignment="1">
      <alignment horizontal="left" vertical="top" wrapText="1"/>
    </xf>
    <xf numFmtId="15" fontId="12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57" xfId="42" applyFill="1" applyBorder="1" applyAlignment="1">
      <alignment horizontal="left" wrapText="1"/>
    </xf>
    <xf numFmtId="0" fontId="10" fillId="0" borderId="58" xfId="42" applyFill="1" applyBorder="1" applyAlignment="1">
      <alignment horizontal="left" wrapText="1"/>
    </xf>
    <xf numFmtId="0" fontId="84" fillId="36" borderId="0" xfId="42" applyFont="1" applyFill="1" applyAlignment="1">
      <alignment horizontal="center" vertical="center"/>
    </xf>
    <xf numFmtId="0" fontId="10" fillId="0" borderId="0" xfId="42" applyAlignment="1">
      <alignment wrapText="1"/>
    </xf>
    <xf numFmtId="0" fontId="12" fillId="0" borderId="0" xfId="42" applyFont="1" applyAlignment="1">
      <alignment wrapText="1"/>
    </xf>
    <xf numFmtId="0" fontId="12" fillId="31" borderId="0" xfId="42" applyFont="1" applyFill="1" applyAlignment="1">
      <alignment horizontal="center"/>
    </xf>
    <xf numFmtId="0" fontId="12" fillId="28" borderId="0" xfId="42" applyFont="1" applyFill="1" applyAlignment="1">
      <alignment horizontal="center"/>
    </xf>
    <xf numFmtId="0" fontId="12" fillId="29" borderId="0" xfId="42" applyFont="1" applyFill="1" applyAlignment="1">
      <alignment horizontal="center"/>
    </xf>
    <xf numFmtId="0" fontId="10" fillId="0" borderId="0" xfId="0" applyFont="1" applyFill="1" applyAlignment="1">
      <alignment horizontal="left" vertical="top" wrapText="1"/>
    </xf>
    <xf numFmtId="0" fontId="21" fillId="0" borderId="0" xfId="0" applyFont="1" applyFill="1" applyBorder="1" applyAlignment="1" applyProtection="1">
      <alignment horizontal="left" vertical="center" wrapText="1"/>
    </xf>
    <xf numFmtId="0" fontId="21" fillId="0" borderId="37" xfId="0" applyFont="1" applyFill="1" applyBorder="1" applyAlignment="1" applyProtection="1">
      <alignment horizontal="left" vertical="center" wrapText="1"/>
    </xf>
    <xf numFmtId="0" fontId="12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2" fillId="0" borderId="0" xfId="42" applyFont="1" applyAlignment="1">
      <alignment horizontal="left"/>
    </xf>
    <xf numFmtId="166" fontId="12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14" fontId="20" fillId="0" borderId="0" xfId="42" applyNumberFormat="1" applyFont="1" applyAlignment="1">
      <alignment horizontal="left"/>
    </xf>
    <xf numFmtId="0" fontId="10" fillId="0" borderId="0" xfId="42" applyAlignment="1">
      <alignment horizontal="left"/>
    </xf>
    <xf numFmtId="15" fontId="12" fillId="0" borderId="0" xfId="42" applyNumberFormat="1" applyFont="1" applyAlignment="1">
      <alignment horizontal="center"/>
    </xf>
    <xf numFmtId="21" fontId="10" fillId="0" borderId="0" xfId="42" applyNumberFormat="1" applyAlignment="1">
      <alignment horizontal="left"/>
    </xf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23">
    <dxf>
      <font>
        <b/>
        <i val="0"/>
        <condense val="0"/>
        <extend val="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FFFFCD"/>
        </patternFill>
      </fill>
    </dxf>
    <dxf>
      <fill>
        <patternFill patternType="solid">
          <bgColor rgb="FFFFFFCD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A40000"/>
        </patternFill>
      </fill>
    </dxf>
    <dxf>
      <font>
        <b/>
        <i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974706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D"/>
      <color rgb="FFA40000"/>
      <color rgb="FF5F5F5F"/>
      <color rgb="FF777777"/>
      <color rgb="FFFFFFEB"/>
      <color rgb="FFCCFFCC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theme" Target="theme/theme1.xml"/><Relationship Id="rId69" Type="http://schemas.microsoft.com/office/2006/relationships/attachedToolbars" Target="attachedToolbars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ctrlProps/ctrlProp1.xml><?xml version="1.0" encoding="utf-8"?>
<formControlPr xmlns="http://schemas.microsoft.com/office/spreadsheetml/2009/9/main" objectType="Spin" dx="15" fmlaLink="GlobBerMedDisc!$I$2" max="13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O$2" fmlaRange="tblMedDiscOplVl" sel="1" val="0"/>
</file>

<file path=xl/ctrlProps/ctrlProp4.xml><?xml version="1.0" encoding="utf-8"?>
<formControlPr xmlns="http://schemas.microsoft.com/office/spreadsheetml/2009/9/main" objectType="Spin" dx="15" fmlaLink="GlobBerMedDisc!$N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O$3" fmlaRange="tblMedDiscOplVl" sel="1" val="0"/>
</file>

<file path=xl/ctrlProps/ctrlProp7.xml><?xml version="1.0" encoding="utf-8"?>
<formControlPr xmlns="http://schemas.microsoft.com/office/spreadsheetml/2009/9/main" objectType="Spin" dx="15" fmlaLink="GlobBerMedDisc!$N$3" max="30000" page="10" val="0"/>
</file>

<file path=xl/ctrlProps/ctrlProp8.xml><?xml version="1.0" encoding="utf-8"?>
<formControlPr xmlns="http://schemas.microsoft.com/office/spreadsheetml/2009/9/main" objectType="Spin" dx="15" fmlaLink="GlobBerMedDisc!$I$4" max="13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O$4" fmlaRange="GlobBerMedDisc!$B$27:$B$30" sel="1" val="0"/>
</file>

<file path=xl/ctrlProps/ctrlProp11.xml><?xml version="1.0" encoding="utf-8"?>
<formControlPr xmlns="http://schemas.microsoft.com/office/spreadsheetml/2009/9/main" objectType="Spin" dx="15" fmlaLink="GlobBerMedDisc!$N$4" max="30000" page="10" val="0"/>
</file>

<file path=xl/ctrlProps/ctrlProp12.xml><?xml version="1.0" encoding="utf-8"?>
<formControlPr xmlns="http://schemas.microsoft.com/office/spreadsheetml/2009/9/main" objectType="Spin" dx="15" fmlaLink="GlobBerMedDisc!$I$5" max="13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O$5" fmlaRange="tblMedDiscOplVl" sel="1" val="0"/>
</file>

<file path=xl/ctrlProps/ctrlProp15.xml><?xml version="1.0" encoding="utf-8"?>
<formControlPr xmlns="http://schemas.microsoft.com/office/spreadsheetml/2009/9/main" objectType="Spin" dx="15" fmlaLink="GlobBerMedDisc!$N$5" max="30000" page="10" val="0"/>
</file>

<file path=xl/ctrlProps/ctrlProp16.xml><?xml version="1.0" encoding="utf-8"?>
<formControlPr xmlns="http://schemas.microsoft.com/office/spreadsheetml/2009/9/main" objectType="Spin" dx="15" fmlaLink="GlobBerMedDisc!$I$6" max="13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O$6" fmlaRange="tblMedDiscOplVl" sel="1" val="0"/>
</file>

<file path=xl/ctrlProps/ctrlProp19.xml><?xml version="1.0" encoding="utf-8"?>
<formControlPr xmlns="http://schemas.microsoft.com/office/spreadsheetml/2009/9/main" objectType="Spin" dx="15" fmlaLink="GlobBerMedDisc!$N$6" max="30000" page="10" val="0"/>
</file>

<file path=xl/ctrlProps/ctrlProp20.xml><?xml version="1.0" encoding="utf-8"?>
<formControlPr xmlns="http://schemas.microsoft.com/office/spreadsheetml/2009/9/main" objectType="Spin" dx="15" fmlaLink="GlobBerMedDisc!$I$7" max="13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O$7" fmlaRange="tblMedDiscOplVl" sel="1" val="0"/>
</file>

<file path=xl/ctrlProps/ctrlProp23.xml><?xml version="1.0" encoding="utf-8"?>
<formControlPr xmlns="http://schemas.microsoft.com/office/spreadsheetml/2009/9/main" objectType="Spin" dx="15" fmlaLink="GlobBerMedDisc!$N$7" max="30000" page="10" val="0"/>
</file>

<file path=xl/ctrlProps/ctrlProp24.xml><?xml version="1.0" encoding="utf-8"?>
<formControlPr xmlns="http://schemas.microsoft.com/office/spreadsheetml/2009/9/main" objectType="Spin" dx="15" fmlaLink="GlobBerMedDisc!$I$8" max="13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O$8" fmlaRange="tblMedDiscOplVl" sel="1" val="0"/>
</file>

<file path=xl/ctrlProps/ctrlProp27.xml><?xml version="1.0" encoding="utf-8"?>
<formControlPr xmlns="http://schemas.microsoft.com/office/spreadsheetml/2009/9/main" objectType="Spin" dx="15" fmlaLink="GlobBerMedDisc!$N$8" max="30000" page="10" val="0"/>
</file>

<file path=xl/ctrlProps/ctrlProp28.xml><?xml version="1.0" encoding="utf-8"?>
<formControlPr xmlns="http://schemas.microsoft.com/office/spreadsheetml/2009/9/main" objectType="Spin" dx="15" fmlaLink="GlobBerMedDisc!$I$9" max="13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O$9" fmlaRange="tblMedDiscOplVl" sel="1" val="0"/>
</file>

<file path=xl/ctrlProps/ctrlProp31.xml><?xml version="1.0" encoding="utf-8"?>
<formControlPr xmlns="http://schemas.microsoft.com/office/spreadsheetml/2009/9/main" objectType="Spin" dx="15" fmlaLink="GlobBerMedDisc!$N$9" max="30000" page="10" val="0"/>
</file>

<file path=xl/ctrlProps/ctrlProp32.xml><?xml version="1.0" encoding="utf-8"?>
<formControlPr xmlns="http://schemas.microsoft.com/office/spreadsheetml/2009/9/main" objectType="Spin" dx="15" fmlaLink="GlobBerMedDisc!$I$10" max="13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O$10" fmlaRange="tblMedDiscOplVl" sel="1" val="0"/>
</file>

<file path=xl/ctrlProps/ctrlProp35.xml><?xml version="1.0" encoding="utf-8"?>
<formControlPr xmlns="http://schemas.microsoft.com/office/spreadsheetml/2009/9/main" objectType="Spin" dx="15" fmlaLink="GlobBerMedDisc!$N$10" max="30000" page="10" val="0"/>
</file>

<file path=xl/ctrlProps/ctrlProp36.xml><?xml version="1.0" encoding="utf-8"?>
<formControlPr xmlns="http://schemas.microsoft.com/office/spreadsheetml/2009/9/main" objectType="Spin" dx="15" fmlaLink="GlobBerMedDisc!$I$11" max="13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O$11" fmlaRange="tblMedDiscOplVl" sel="1" val="0"/>
</file>

<file path=xl/ctrlProps/ctrlProp39.xml><?xml version="1.0" encoding="utf-8"?>
<formControlPr xmlns="http://schemas.microsoft.com/office/spreadsheetml/2009/9/main" objectType="Spin" dx="15" fmlaLink="GlobBerMedDisc!$N$11" max="30000" page="10" val="0"/>
</file>

<file path=xl/ctrlProps/ctrlProp40.xml><?xml version="1.0" encoding="utf-8"?>
<formControlPr xmlns="http://schemas.microsoft.com/office/spreadsheetml/2009/9/main" objectType="Spin" dx="15" fmlaLink="GlobBerMedDisc!$I$12" max="13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O$12" fmlaRange="tblMedDiscOplVl" sel="1" val="0"/>
</file>

<file path=xl/ctrlProps/ctrlProp43.xml><?xml version="1.0" encoding="utf-8"?>
<formControlPr xmlns="http://schemas.microsoft.com/office/spreadsheetml/2009/9/main" objectType="Spin" dx="15" fmlaLink="GlobBerMedDisc!$N$12" max="30000" page="10" val="0"/>
</file>

<file path=xl/ctrlProps/ctrlProp44.xml><?xml version="1.0" encoding="utf-8"?>
<formControlPr xmlns="http://schemas.microsoft.com/office/spreadsheetml/2009/9/main" objectType="Spin" dx="15" fmlaLink="GlobBerMedDisc!$I$13" max="13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O$13" fmlaRange="tblMedDiscOplVl" sel="1" val="0"/>
</file>

<file path=xl/ctrlProps/ctrlProp47.xml><?xml version="1.0" encoding="utf-8"?>
<formControlPr xmlns="http://schemas.microsoft.com/office/spreadsheetml/2009/9/main" objectType="Spin" dx="15" fmlaLink="GlobBerMedDisc!$N$13" max="30000" page="10" val="0"/>
</file>

<file path=xl/ctrlProps/ctrlProp48.xml><?xml version="1.0" encoding="utf-8"?>
<formControlPr xmlns="http://schemas.microsoft.com/office/spreadsheetml/2009/9/main" objectType="Spin" dx="15" fmlaLink="GlobBerMedDisc!$I$14" max="13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O$14" fmlaRange="tblMedDiscOplVl" sel="1" val="0"/>
</file>

<file path=xl/ctrlProps/ctrlProp51.xml><?xml version="1.0" encoding="utf-8"?>
<formControlPr xmlns="http://schemas.microsoft.com/office/spreadsheetml/2009/9/main" objectType="Spin" dx="15" fmlaLink="GlobBerMedDisc!$N$14" max="30000" page="10" val="0"/>
</file>

<file path=xl/ctrlProps/ctrlProp52.xml><?xml version="1.0" encoding="utf-8"?>
<formControlPr xmlns="http://schemas.microsoft.com/office/spreadsheetml/2009/9/main" objectType="Spin" dx="15" fmlaLink="GlobBerMedDisc!$I$15" max="13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O$15" fmlaRange="tblMedDiscOplVl" sel="1" val="0"/>
</file>

<file path=xl/ctrlProps/ctrlProp55.xml><?xml version="1.0" encoding="utf-8"?>
<formControlPr xmlns="http://schemas.microsoft.com/office/spreadsheetml/2009/9/main" objectType="Spin" dx="15" fmlaLink="GlobBerMedDisc!$N$15" max="30000" page="10" val="0"/>
</file>

<file path=xl/ctrlProps/ctrlProp56.xml><?xml version="1.0" encoding="utf-8"?>
<formControlPr xmlns="http://schemas.microsoft.com/office/spreadsheetml/2009/9/main" objectType="Spin" dx="15" fmlaLink="GlobBerMedDisc!$I$16" max="13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O$16" fmlaRange="tblMedDiscOplVl" sel="1" val="0"/>
</file>

<file path=xl/ctrlProps/ctrlProp59.xml><?xml version="1.0" encoding="utf-8"?>
<formControlPr xmlns="http://schemas.microsoft.com/office/spreadsheetml/2009/9/main" objectType="Spin" dx="15" fmlaLink="GlobBerMedDisc!$N$16" max="30000" page="10" val="0"/>
</file>

<file path=xl/ctrlProps/ctrlProp60.xml><?xml version="1.0" encoding="utf-8"?>
<formControlPr xmlns="http://schemas.microsoft.com/office/spreadsheetml/2009/9/main" objectType="Spin" dx="15" fmlaLink="GlobBerMedDisc!$I$17" max="13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O$17" fmlaRange="tblMedDiscOplVl" sel="1" val="0"/>
</file>

<file path=xl/ctrlProps/ctrlProp63.xml><?xml version="1.0" encoding="utf-8"?>
<formControlPr xmlns="http://schemas.microsoft.com/office/spreadsheetml/2009/9/main" objectType="Spin" dx="15" fmlaLink="GlobBerMedDisc!$N$17" max="30000" page="10" val="0"/>
</file>

<file path=xl/ctrlProps/ctrlProp64.xml><?xml version="1.0" encoding="utf-8"?>
<formControlPr xmlns="http://schemas.microsoft.com/office/spreadsheetml/2009/9/main" objectType="Spin" dx="15" fmlaLink="GlobBerMedDisc!$I$18" max="13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O$18" fmlaRange="tblMedDiscOplVl" sel="1" val="0"/>
</file>

<file path=xl/ctrlProps/ctrlProp67.xml><?xml version="1.0" encoding="utf-8"?>
<formControlPr xmlns="http://schemas.microsoft.com/office/spreadsheetml/2009/9/main" objectType="Spin" dx="15" fmlaLink="GlobBerMedDisc!$N$18" max="30000" page="10" val="0"/>
</file>

<file path=xl/ctrlProps/ctrlProp68.xml><?xml version="1.0" encoding="utf-8"?>
<formControlPr xmlns="http://schemas.microsoft.com/office/spreadsheetml/2009/9/main" objectType="Spin" dx="15" fmlaLink="GlobBerMedDisc!$I$19" max="13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O$19" fmlaRange="tblMedDiscOplVl" sel="1" val="0"/>
</file>

<file path=xl/ctrlProps/ctrlProp71.xml><?xml version="1.0" encoding="utf-8"?>
<formControlPr xmlns="http://schemas.microsoft.com/office/spreadsheetml/2009/9/main" objectType="Spin" dx="15" fmlaLink="GlobBerMedDisc!$N$19" max="30000" page="10" val="0"/>
</file>

<file path=xl/ctrlProps/ctrlProp72.xml><?xml version="1.0" encoding="utf-8"?>
<formControlPr xmlns="http://schemas.microsoft.com/office/spreadsheetml/2009/9/main" objectType="Spin" dx="15" fmlaLink="GlobBerMedDisc!$I$20" max="13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O$20" fmlaRange="tblMedDiscOplVl" sel="1" val="0"/>
</file>

<file path=xl/ctrlProps/ctrlProp75.xml><?xml version="1.0" encoding="utf-8"?>
<formControlPr xmlns="http://schemas.microsoft.com/office/spreadsheetml/2009/9/main" objectType="Spin" dx="15" fmlaLink="GlobBerMedDisc!$N$20" max="30000" page="10" val="0"/>
</file>

<file path=xl/ctrlProps/ctrlProp76.xml><?xml version="1.0" encoding="utf-8"?>
<formControlPr xmlns="http://schemas.microsoft.com/office/spreadsheetml/2009/9/main" objectType="Spin" dx="15" fmlaLink="GlobBerMedDisc!$I$21" max="13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79.xml><?xml version="1.0" encoding="utf-8"?>
<formControlPr xmlns="http://schemas.microsoft.com/office/spreadsheetml/2009/9/main" objectType="Spin" dx="15" fmlaLink="GlobBerMedDisc!$N$21" max="30000" page="10" val="0"/>
</file>

<file path=xl/ctrlProps/ctrlProp80.xml><?xml version="1.0" encoding="utf-8"?>
<formControlPr xmlns="http://schemas.microsoft.com/office/spreadsheetml/2009/9/main" objectType="Spin" dx="15" fmlaLink="GlobBerMedDisc!$I$3" max="13" min="1" page="10"/>
</file>

<file path=xl/ctrlProps/ctrlProp81.xml><?xml version="1.0" encoding="utf-8"?>
<formControlPr xmlns="http://schemas.microsoft.com/office/spreadsheetml/2009/9/main" objectType="Spin" dx="15" fmlaLink="GlobBerMedDisc!$Q$2" inc="5" max="1440" page="10" val="0"/>
</file>

<file path=xl/ctrlProps/ctrlProp82.xml><?xml version="1.0" encoding="utf-8"?>
<formControlPr xmlns="http://schemas.microsoft.com/office/spreadsheetml/2009/9/main" objectType="Spin" dx="15" fmlaLink="GlobBerMedDisc!$Q$3" inc="5" max="1440" page="10" val="0"/>
</file>

<file path=xl/ctrlProps/ctrlProp83.xml><?xml version="1.0" encoding="utf-8"?>
<formControlPr xmlns="http://schemas.microsoft.com/office/spreadsheetml/2009/9/main" objectType="Spin" dx="15" fmlaLink="GlobBerMedDisc!$Q$4" inc="5" max="1440" page="10" val="0"/>
</file>

<file path=xl/ctrlProps/ctrlProp84.xml><?xml version="1.0" encoding="utf-8"?>
<formControlPr xmlns="http://schemas.microsoft.com/office/spreadsheetml/2009/9/main" objectType="Spin" dx="15" fmlaLink="GlobBerMedDisc!$Q$5" inc="5" max="1440" page="10" val="0"/>
</file>

<file path=xl/ctrlProps/ctrlProp85.xml><?xml version="1.0" encoding="utf-8"?>
<formControlPr xmlns="http://schemas.microsoft.com/office/spreadsheetml/2009/9/main" objectType="Spin" dx="15" fmlaLink="GlobBerMedDisc!$Q$6" inc="5" max="1440" page="10" val="0"/>
</file>

<file path=xl/ctrlProps/ctrlProp86.xml><?xml version="1.0" encoding="utf-8"?>
<formControlPr xmlns="http://schemas.microsoft.com/office/spreadsheetml/2009/9/main" objectType="Spin" dx="15" fmlaLink="GlobBerMedDisc!$Q$7" inc="5" max="1440" page="10" val="0"/>
</file>

<file path=xl/ctrlProps/ctrlProp87.xml><?xml version="1.0" encoding="utf-8"?>
<formControlPr xmlns="http://schemas.microsoft.com/office/spreadsheetml/2009/9/main" objectType="Spin" dx="15" fmlaLink="GlobBerMedDisc!$Q$8" inc="5" max="1440" page="10" val="0"/>
</file>

<file path=xl/ctrlProps/ctrlProp88.xml><?xml version="1.0" encoding="utf-8"?>
<formControlPr xmlns="http://schemas.microsoft.com/office/spreadsheetml/2009/9/main" objectType="Spin" dx="15" fmlaLink="GlobBerMedDisc!$Q$9" inc="5" max="1440" page="10" val="0"/>
</file>

<file path=xl/ctrlProps/ctrlProp89.xml><?xml version="1.0" encoding="utf-8"?>
<formControlPr xmlns="http://schemas.microsoft.com/office/spreadsheetml/2009/9/main" objectType="Spin" dx="15" fmlaLink="GlobBerMedDisc!$Q$10" inc="5" max="1440" page="10" val="0"/>
</file>

<file path=xl/ctrlProps/ctrlProp90.xml><?xml version="1.0" encoding="utf-8"?>
<formControlPr xmlns="http://schemas.microsoft.com/office/spreadsheetml/2009/9/main" objectType="Spin" dx="15" fmlaLink="GlobBerMedDisc!$Q$11" inc="5" max="1440" page="10" val="0"/>
</file>

<file path=xl/ctrlProps/ctrlProp91.xml><?xml version="1.0" encoding="utf-8"?>
<formControlPr xmlns="http://schemas.microsoft.com/office/spreadsheetml/2009/9/main" objectType="Spin" dx="15" fmlaLink="GlobBerMedDisc!$Q$12" inc="5" max="1440" page="10" val="0"/>
</file>

<file path=xl/ctrlProps/ctrlProp92.xml><?xml version="1.0" encoding="utf-8"?>
<formControlPr xmlns="http://schemas.microsoft.com/office/spreadsheetml/2009/9/main" objectType="Spin" dx="15" fmlaLink="GlobBerMedDisc!$Q$13" inc="5" max="1440" page="10" val="0"/>
</file>

<file path=xl/ctrlProps/ctrlProp93.xml><?xml version="1.0" encoding="utf-8"?>
<formControlPr xmlns="http://schemas.microsoft.com/office/spreadsheetml/2009/9/main" objectType="Spin" dx="15" fmlaLink="GlobBerMedDisc!$Q$14" inc="5" max="1440" page="10" val="0"/>
</file>

<file path=xl/ctrlProps/ctrlProp94.xml><?xml version="1.0" encoding="utf-8"?>
<formControlPr xmlns="http://schemas.microsoft.com/office/spreadsheetml/2009/9/main" objectType="Spin" dx="15" fmlaLink="GlobBerMedDisc!$Q$15" inc="5" max="1440" page="10" val="0"/>
</file>

<file path=xl/ctrlProps/ctrlProp95.xml><?xml version="1.0" encoding="utf-8"?>
<formControlPr xmlns="http://schemas.microsoft.com/office/spreadsheetml/2009/9/main" objectType="Spin" dx="15" fmlaLink="GlobBerMedDisc!$Q$16" inc="5" max="1440" page="10" val="0"/>
</file>

<file path=xl/ctrlProps/ctrlProp96.xml><?xml version="1.0" encoding="utf-8"?>
<formControlPr xmlns="http://schemas.microsoft.com/office/spreadsheetml/2009/9/main" objectType="Spin" dx="15" fmlaLink="GlobBerMedDisc!$Q$17" inc="5" max="1440" page="10" val="0"/>
</file>

<file path=xl/ctrlProps/ctrlProp97.xml><?xml version="1.0" encoding="utf-8"?>
<formControlPr xmlns="http://schemas.microsoft.com/office/spreadsheetml/2009/9/main" objectType="Spin" dx="15" fmlaLink="GlobBerMedDisc!$Q$18" inc="5" max="1440" page="10" val="0"/>
</file>

<file path=xl/ctrlProps/ctrlProp98.xml><?xml version="1.0" encoding="utf-8"?>
<formControlPr xmlns="http://schemas.microsoft.com/office/spreadsheetml/2009/9/main" objectType="Spin" dx="15" fmlaLink="GlobBerMedDisc!$Q$19" inc="5" max="1440" page="10" val="0"/>
</file>

<file path=xl/ctrlProps/ctrlProp99.xml><?xml version="1.0" encoding="utf-8"?>
<formControlPr xmlns="http://schemas.microsoft.com/office/spreadsheetml/2009/9/main" objectType="Spin" dx="15" fmlaLink="GlobBerMedDisc!$Q$20" inc="5" max="1440" page="10" val="0"/>
</file>

<file path=xl/ctrlProps/ctrlProp100.xml><?xml version="1.0" encoding="utf-8"?>
<formControlPr xmlns="http://schemas.microsoft.com/office/spreadsheetml/2009/9/main" objectType="Spin" dx="15" fmlaLink="GlobBerMedDisc!$Q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O$4" fmlaRange="tblMedDiscOplVl" sel="1" val="0"/>
</file>

<file path=xl/ctrlProps/ctrlProp10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03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0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05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0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07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0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09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1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11.xml><?xml version="1.0" encoding="utf-8"?>
<formControlPr xmlns="http://schemas.microsoft.com/office/spreadsheetml/2009/9/main" objectType="Drop" dropStyle="combo" dx="16" fmlaLink="GlobBerMedDisc!$O$22" fmlaRange="tblMedDiscOplVl" sel="1" val="0"/>
</file>

<file path=xl/ctrlProps/ctrlProp112.xml><?xml version="1.0" encoding="utf-8"?>
<formControlPr xmlns="http://schemas.microsoft.com/office/spreadsheetml/2009/9/main" objectType="Spin" dx="15" fmlaLink="GlobBerMedDisc!$I$22" max="13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N$22" max="30000" page="10" val="0"/>
</file>

<file path=xl/ctrlProps/ctrlProp115.xml><?xml version="1.0" encoding="utf-8"?>
<formControlPr xmlns="http://schemas.microsoft.com/office/spreadsheetml/2009/9/main" objectType="Spin" dx="15" fmlaLink="GlobBerMedDisc!$Q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17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1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19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2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21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2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23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2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25.xml><?xml version="1.0" encoding="utf-8"?>
<formControlPr xmlns="http://schemas.microsoft.com/office/spreadsheetml/2009/9/main" objectType="Drop" dropStyle="combo" dx="16" fmlaLink="GlobBerMedDisc!$O$23" fmlaRange="tblMedDiscOplVl" sel="1" val="0"/>
</file>

<file path=xl/ctrlProps/ctrlProp126.xml><?xml version="1.0" encoding="utf-8"?>
<formControlPr xmlns="http://schemas.microsoft.com/office/spreadsheetml/2009/9/main" objectType="Spin" dx="15" fmlaLink="GlobBerMedDisc!$I$23" max="13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N$23" max="30000" page="10" val="0"/>
</file>

<file path=xl/ctrlProps/ctrlProp129.xml><?xml version="1.0" encoding="utf-8"?>
<formControlPr xmlns="http://schemas.microsoft.com/office/spreadsheetml/2009/9/main" objectType="Spin" dx="15" fmlaLink="GlobBerMedDisc!$Q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31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3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33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3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35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3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37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3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39.xml><?xml version="1.0" encoding="utf-8"?>
<formControlPr xmlns="http://schemas.microsoft.com/office/spreadsheetml/2009/9/main" objectType="Drop" dropStyle="combo" dx="16" fmlaLink="GlobBerMedDisc!$O$24" fmlaRange="tblMedDiscOplVl" sel="1" val="0"/>
</file>

<file path=xl/ctrlProps/ctrlProp140.xml><?xml version="1.0" encoding="utf-8"?>
<formControlPr xmlns="http://schemas.microsoft.com/office/spreadsheetml/2009/9/main" objectType="Spin" dx="15" fmlaLink="GlobBerMedDisc!$I$24" max="13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N$24" max="30000" page="10" val="0"/>
</file>

<file path=xl/ctrlProps/ctrlProp143.xml><?xml version="1.0" encoding="utf-8"?>
<formControlPr xmlns="http://schemas.microsoft.com/office/spreadsheetml/2009/9/main" objectType="Spin" dx="15" fmlaLink="GlobBerMedDisc!$Q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45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4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47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4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49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5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51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5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53.xml><?xml version="1.0" encoding="utf-8"?>
<formControlPr xmlns="http://schemas.microsoft.com/office/spreadsheetml/2009/9/main" objectType="Drop" dropStyle="combo" dx="16" fmlaLink="GlobBerMedDisc!$O$25" fmlaRange="tblMedDiscOplVl" sel="1" val="0"/>
</file>

<file path=xl/ctrlProps/ctrlProp154.xml><?xml version="1.0" encoding="utf-8"?>
<formControlPr xmlns="http://schemas.microsoft.com/office/spreadsheetml/2009/9/main" objectType="Spin" dx="15" fmlaLink="GlobBerMedDisc!$I$25" max="13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N$25" max="30000" page="10" val="0"/>
</file>

<file path=xl/ctrlProps/ctrlProp157.xml><?xml version="1.0" encoding="utf-8"?>
<formControlPr xmlns="http://schemas.microsoft.com/office/spreadsheetml/2009/9/main" objectType="Spin" dx="15" fmlaLink="GlobBerMedDisc!$Q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59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6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61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6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63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6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65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6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67.xml><?xml version="1.0" encoding="utf-8"?>
<formControlPr xmlns="http://schemas.microsoft.com/office/spreadsheetml/2009/9/main" objectType="Drop" dropStyle="combo" dx="16" fmlaLink="GlobBerMedDisc!$O$26" fmlaRange="tblMedDiscOplVl" sel="1" val="0"/>
</file>

<file path=xl/ctrlProps/ctrlProp168.xml><?xml version="1.0" encoding="utf-8"?>
<formControlPr xmlns="http://schemas.microsoft.com/office/spreadsheetml/2009/9/main" objectType="Spin" dx="15" fmlaLink="GlobBerMedDisc!$I$26" max="13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N$26" max="30000" page="10" val="0"/>
</file>

<file path=xl/ctrlProps/ctrlProp171.xml><?xml version="1.0" encoding="utf-8"?>
<formControlPr xmlns="http://schemas.microsoft.com/office/spreadsheetml/2009/9/main" objectType="Spin" dx="15" fmlaLink="GlobBerMedDisc!$Q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73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7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75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7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77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7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79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8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81.xml><?xml version="1.0" encoding="utf-8"?>
<formControlPr xmlns="http://schemas.microsoft.com/office/spreadsheetml/2009/9/main" objectType="Drop" dropStyle="combo" dx="16" fmlaLink="GlobBerMedDisc!$O$27" fmlaRange="tblMedDiscOplVl" sel="1" val="0"/>
</file>

<file path=xl/ctrlProps/ctrlProp182.xml><?xml version="1.0" encoding="utf-8"?>
<formControlPr xmlns="http://schemas.microsoft.com/office/spreadsheetml/2009/9/main" objectType="Spin" dx="15" fmlaLink="GlobBerMedDisc!$I$27" max="13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N$27" max="30000" page="10" val="0"/>
</file>

<file path=xl/ctrlProps/ctrlProp185.xml><?xml version="1.0" encoding="utf-8"?>
<formControlPr xmlns="http://schemas.microsoft.com/office/spreadsheetml/2009/9/main" objectType="Spin" dx="15" fmlaLink="GlobBerMedDisc!$Q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87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8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89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9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91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9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93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9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195.xml><?xml version="1.0" encoding="utf-8"?>
<formControlPr xmlns="http://schemas.microsoft.com/office/spreadsheetml/2009/9/main" objectType="Drop" dropStyle="combo" dx="16" fmlaLink="GlobBerMedDisc!$O$28" fmlaRange="tblMedDiscOplVl" sel="1" val="0"/>
</file>

<file path=xl/ctrlProps/ctrlProp196.xml><?xml version="1.0" encoding="utf-8"?>
<formControlPr xmlns="http://schemas.microsoft.com/office/spreadsheetml/2009/9/main" objectType="Spin" dx="15" fmlaLink="GlobBerMedDisc!$I$28" max="13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N$28" max="30000" page="10" val="0"/>
</file>

<file path=xl/ctrlProps/ctrlProp199.xml><?xml version="1.0" encoding="utf-8"?>
<formControlPr xmlns="http://schemas.microsoft.com/office/spreadsheetml/2009/9/main" objectType="Spin" dx="15" fmlaLink="GlobBerMedDisc!$Q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01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0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03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0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05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0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07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0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09.xml><?xml version="1.0" encoding="utf-8"?>
<formControlPr xmlns="http://schemas.microsoft.com/office/spreadsheetml/2009/9/main" objectType="Drop" dropStyle="combo" dx="16" fmlaLink="GlobBerMedDisc!$O$29" fmlaRange="tblMedDiscOplVl" sel="1" val="0"/>
</file>

<file path=xl/ctrlProps/ctrlProp210.xml><?xml version="1.0" encoding="utf-8"?>
<formControlPr xmlns="http://schemas.microsoft.com/office/spreadsheetml/2009/9/main" objectType="Spin" dx="15" fmlaLink="GlobBerMedDisc!$I$29" max="13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N$29" max="30000" page="10" val="0"/>
</file>

<file path=xl/ctrlProps/ctrlProp213.xml><?xml version="1.0" encoding="utf-8"?>
<formControlPr xmlns="http://schemas.microsoft.com/office/spreadsheetml/2009/9/main" objectType="Spin" dx="15" fmlaLink="GlobBerMedDisc!$Q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15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1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17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1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19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2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21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2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23.xml><?xml version="1.0" encoding="utf-8"?>
<formControlPr xmlns="http://schemas.microsoft.com/office/spreadsheetml/2009/9/main" objectType="Drop" dropStyle="combo" dx="16" fmlaLink="GlobBerMedDisc!$O$30" fmlaRange="tblMedDiscOplVl" sel="1" val="0"/>
</file>

<file path=xl/ctrlProps/ctrlProp224.xml><?xml version="1.0" encoding="utf-8"?>
<formControlPr xmlns="http://schemas.microsoft.com/office/spreadsheetml/2009/9/main" objectType="Spin" dx="15" fmlaLink="GlobBerMedDisc!$I$30" max="13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N$30" max="30000" page="10" val="0"/>
</file>

<file path=xl/ctrlProps/ctrlProp227.xml><?xml version="1.0" encoding="utf-8"?>
<formControlPr xmlns="http://schemas.microsoft.com/office/spreadsheetml/2009/9/main" objectType="Spin" dx="15" fmlaLink="GlobBerMedDisc!$Q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29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30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31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32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33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34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35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36.xml><?xml version="1.0" encoding="utf-8"?>
<formControlPr xmlns="http://schemas.microsoft.com/office/spreadsheetml/2009/9/main" objectType="Drop" dropStyle="combo" dx="16" fmlaLink="GlobBerMedDisc!$O$21" fmlaRange="tblMedDiscOplVl" sel="1" val="0"/>
</file>

<file path=xl/ctrlProps/ctrlProp237.xml><?xml version="1.0" encoding="utf-8"?>
<formControlPr xmlns="http://schemas.microsoft.com/office/spreadsheetml/2009/9/main" objectType="Drop" dropStyle="combo" dx="16" fmlaLink="GlobBerMedDisc!$O$31" fmlaRange="tblMedDiscOplVl" sel="1" val="0"/>
</file>

<file path=xl/ctrlProps/ctrlProp238.xml><?xml version="1.0" encoding="utf-8"?>
<formControlPr xmlns="http://schemas.microsoft.com/office/spreadsheetml/2009/9/main" objectType="Spin" dx="15" fmlaLink="GlobBerMedDisc!$I$31" max="13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N$31" max="30000" page="10" val="0"/>
</file>

<file path=xl/ctrlProps/ctrlProp241.xml><?xml version="1.0" encoding="utf-8"?>
<formControlPr xmlns="http://schemas.microsoft.com/office/spreadsheetml/2009/9/main" objectType="Spin" dx="15" fmlaLink="GlobBerMedDisc!$Q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B$3" fmlaRange="tblMedicationContIV" sel="1" val="0"/>
</file>

<file path=xl/ctrlProps/ctrlProp243.xml><?xml version="1.0" encoding="utf-8"?>
<formControlPr xmlns="http://schemas.microsoft.com/office/spreadsheetml/2009/9/main" objectType="Drop" dropStyle="combo" dx="16" fmlaLink="PedBerMedIV!$B$4" fmlaRange="tblMedicationContIV" sel="1" val="0"/>
</file>

<file path=xl/ctrlProps/ctrlProp244.xml><?xml version="1.0" encoding="utf-8"?>
<formControlPr xmlns="http://schemas.microsoft.com/office/spreadsheetml/2009/9/main" objectType="Drop" dropStyle="combo" dx="16" fmlaLink="PedBerMedIV!$B$5" fmlaRange="tblMedicationContIV" sel="1" val="0"/>
</file>

<file path=xl/ctrlProps/ctrlProp245.xml><?xml version="1.0" encoding="utf-8"?>
<formControlPr xmlns="http://schemas.microsoft.com/office/spreadsheetml/2009/9/main" objectType="Drop" dropStyle="combo" dx="16" fmlaLink="PedBerMedIV!$B$6" fmlaRange="tblMedicationContIV" sel="1" val="17"/>
</file>

<file path=xl/ctrlProps/ctrlProp246.xml><?xml version="1.0" encoding="utf-8"?>
<formControlPr xmlns="http://schemas.microsoft.com/office/spreadsheetml/2009/9/main" objectType="Drop" dropStyle="combo" dx="16" fmlaLink="PedBerMedIV!$B$7" fmlaRange="tblMedicationContIV" sel="1" val="11"/>
</file>

<file path=xl/ctrlProps/ctrlProp247.xml><?xml version="1.0" encoding="utf-8"?>
<formControlPr xmlns="http://schemas.microsoft.com/office/spreadsheetml/2009/9/main" objectType="Drop" dropStyle="combo" dx="16" fmlaLink="PedBerMedIV!$B$8" fmlaRange="tblMedicationContIV" sel="1" val="0"/>
</file>

<file path=xl/ctrlProps/ctrlProp248.xml><?xml version="1.0" encoding="utf-8"?>
<formControlPr xmlns="http://schemas.microsoft.com/office/spreadsheetml/2009/9/main" objectType="Drop" dropStyle="combo" dx="16" fmlaLink="PedBerMedIV!$B$9" fmlaRange="tblMedicationContIV" sel="1" val="6"/>
</file>

<file path=xl/ctrlProps/ctrlProp249.xml><?xml version="1.0" encoding="utf-8"?>
<formControlPr xmlns="http://schemas.microsoft.com/office/spreadsheetml/2009/9/main" objectType="Drop" dropStyle="combo" dx="16" fmlaLink="PedBerMedIV!$B$10" fmlaRange="tblMedicationContIV" sel="1" val="11"/>
</file>

<file path=xl/ctrlProps/ctrlProp250.xml><?xml version="1.0" encoding="utf-8"?>
<formControlPr xmlns="http://schemas.microsoft.com/office/spreadsheetml/2009/9/main" objectType="Drop" dropStyle="combo" dx="16" fmlaLink="PedBerMedIV!$B$11" fmlaRange="tblMedicationContIV" sel="1" val="20"/>
</file>

<file path=xl/ctrlProps/ctrlProp251.xml><?xml version="1.0" encoding="utf-8"?>
<formControlPr xmlns="http://schemas.microsoft.com/office/spreadsheetml/2009/9/main" objectType="Drop" dropStyle="combo" dx="16" fmlaLink="PedBerMedIV!$I$3" fmlaRange="tblOplossing" sel="1" val="0"/>
</file>

<file path=xl/ctrlProps/ctrlProp252.xml><?xml version="1.0" encoding="utf-8"?>
<formControlPr xmlns="http://schemas.microsoft.com/office/spreadsheetml/2009/9/main" objectType="Drop" dropStyle="combo" dx="16" fmlaLink="PedBerMedIV!$I$4" fmlaRange="tblOplossing" sel="1" val="0"/>
</file>

<file path=xl/ctrlProps/ctrlProp253.xml><?xml version="1.0" encoding="utf-8"?>
<formControlPr xmlns="http://schemas.microsoft.com/office/spreadsheetml/2009/9/main" objectType="Drop" dropStyle="combo" dx="16" fmlaLink="PedBerMedIV!$I$5" fmlaRange="tblOplossing" sel="1" val="0"/>
</file>

<file path=xl/ctrlProps/ctrlProp254.xml><?xml version="1.0" encoding="utf-8"?>
<formControlPr xmlns="http://schemas.microsoft.com/office/spreadsheetml/2009/9/main" objectType="Drop" dropStyle="combo" dx="16" fmlaLink="PedBerMedIV!$I$6" fmlaRange="tblOplossing" sel="1" val="0"/>
</file>

<file path=xl/ctrlProps/ctrlProp255.xml><?xml version="1.0" encoding="utf-8"?>
<formControlPr xmlns="http://schemas.microsoft.com/office/spreadsheetml/2009/9/main" objectType="Drop" dropStyle="combo" dx="16" fmlaLink="PedBerMedIV!$I$7" fmlaRange="tblOplossing" sel="1" val="0"/>
</file>

<file path=xl/ctrlProps/ctrlProp256.xml><?xml version="1.0" encoding="utf-8"?>
<formControlPr xmlns="http://schemas.microsoft.com/office/spreadsheetml/2009/9/main" objectType="Drop" dropStyle="combo" dx="16" fmlaLink="PedBerMedIV!$I$8" fmlaRange="tblOplossing" sel="1" val="0"/>
</file>

<file path=xl/ctrlProps/ctrlProp257.xml><?xml version="1.0" encoding="utf-8"?>
<formControlPr xmlns="http://schemas.microsoft.com/office/spreadsheetml/2009/9/main" objectType="Drop" dropStyle="combo" dx="16" fmlaLink="PedBerMedIV!$I$9" fmlaRange="tblOplossing" sel="1" val="0"/>
</file>

<file path=xl/ctrlProps/ctrlProp258.xml><?xml version="1.0" encoding="utf-8"?>
<formControlPr xmlns="http://schemas.microsoft.com/office/spreadsheetml/2009/9/main" objectType="Drop" dropStyle="combo" dx="16" fmlaLink="PedBerMedIV!$I$10" fmlaRange="tblOplossing" sel="1" val="0"/>
</file>

<file path=xl/ctrlProps/ctrlProp259.xml><?xml version="1.0" encoding="utf-8"?>
<formControlPr xmlns="http://schemas.microsoft.com/office/spreadsheetml/2009/9/main" objectType="Drop" dropStyle="combo" dx="16" fmlaLink="PedBerMedIV!$I$11" fmlaRange="tblOplossing" sel="1" val="0"/>
</file>

<file path=xl/ctrlProps/ctrlProp260.xml><?xml version="1.0" encoding="utf-8"?>
<formControlPr xmlns="http://schemas.microsoft.com/office/spreadsheetml/2009/9/main" objectType="Drop" dropStyle="combo" dx="16" fmlaLink="PedBerMedIV!$I$20" fmlaRange="tblOplossing" sel="1" val="0"/>
</file>

<file path=xl/ctrlProps/ctrlProp261.xml><?xml version="1.0" encoding="utf-8"?>
<formControlPr xmlns="http://schemas.microsoft.com/office/spreadsheetml/2009/9/main" objectType="Spin" dx="15" fmlaLink="PedBerMedIV!$E$20" max="100" min="1" page="10"/>
</file>

<file path=xl/ctrlProps/ctrlProp262.xml><?xml version="1.0" encoding="utf-8"?>
<formControlPr xmlns="http://schemas.microsoft.com/office/spreadsheetml/2009/9/main" objectType="Drop" dropStyle="combo" dx="16" fmlaLink="PedBerMedIV!$I$21" fmlaRange="tblOplossing" sel="1" val="0"/>
</file>

<file path=xl/ctrlProps/ctrlProp263.xml><?xml version="1.0" encoding="utf-8"?>
<formControlPr xmlns="http://schemas.microsoft.com/office/spreadsheetml/2009/9/main" objectType="Spin" dx="15" fmlaLink="PedBerMedIV!$E$21" max="100" min="1" page="10"/>
</file>

<file path=xl/ctrlProps/ctrlProp264.xml><?xml version="1.0" encoding="utf-8"?>
<formControlPr xmlns="http://schemas.microsoft.com/office/spreadsheetml/2009/9/main" objectType="Drop" dropStyle="combo" dx="16" fmlaLink="PedBerMedIV!$I$22" fmlaRange="tblOplossing" sel="1" val="0"/>
</file>

<file path=xl/ctrlProps/ctrlProp265.xml><?xml version="1.0" encoding="utf-8"?>
<formControlPr xmlns="http://schemas.microsoft.com/office/spreadsheetml/2009/9/main" objectType="Spin" dx="15" fmlaLink="PedBerMedIV!$E$22" max="100" min="1" page="10"/>
</file>

<file path=xl/ctrlProps/ctrlProp266.xml><?xml version="1.0" encoding="utf-8"?>
<formControlPr xmlns="http://schemas.microsoft.com/office/spreadsheetml/2009/9/main" objectType="Spin" dx="15" fmlaLink="PedBerMedIV!$J$20" max="500" page="10" val="0"/>
</file>

<file path=xl/ctrlProps/ctrlProp267.xml><?xml version="1.0" encoding="utf-8"?>
<formControlPr xmlns="http://schemas.microsoft.com/office/spreadsheetml/2009/9/main" objectType="Spin" dx="15" fmlaLink="PedBerMedIV!$J$21" max="500" page="10" val="0"/>
</file>

<file path=xl/ctrlProps/ctrlProp268.xml><?xml version="1.0" encoding="utf-8"?>
<formControlPr xmlns="http://schemas.microsoft.com/office/spreadsheetml/2009/9/main" objectType="Spin" dx="15" fmlaLink="PedBerMedIV!$J$22" max="500" page="10" val="0"/>
</file>

<file path=xl/ctrlProps/ctrlProp269.xml><?xml version="1.0" encoding="utf-8"?>
<formControlPr xmlns="http://schemas.microsoft.com/office/spreadsheetml/2009/9/main" objectType="Drop" dropStyle="combo" dx="16" fmlaLink="PedBerMedIV!$I$18" fmlaRange="tblOplossing" sel="1" val="0"/>
</file>

<file path=xl/ctrlProps/ctrlProp270.xml><?xml version="1.0" encoding="utf-8"?>
<formControlPr xmlns="http://schemas.microsoft.com/office/spreadsheetml/2009/9/main" objectType="Spin" dx="15" fmlaLink="PedBerMedIV!$E$18" max="100" min="1" page="10"/>
</file>

<file path=xl/ctrlProps/ctrlProp271.xml><?xml version="1.0" encoding="utf-8"?>
<formControlPr xmlns="http://schemas.microsoft.com/office/spreadsheetml/2009/9/main" objectType="Spin" dx="15" fmlaLink="PedBerMedIV!$J$18" max="500" page="10" val="0"/>
</file>

<file path=xl/ctrlProps/ctrlProp272.xml><?xml version="1.0" encoding="utf-8"?>
<formControlPr xmlns="http://schemas.microsoft.com/office/spreadsheetml/2009/9/main" objectType="Drop" dropStyle="combo" dx="16" fmlaLink="PedBerMedIV!$I$19" fmlaRange="tblOplossing" sel="1" val="0"/>
</file>

<file path=xl/ctrlProps/ctrlProp273.xml><?xml version="1.0" encoding="utf-8"?>
<formControlPr xmlns="http://schemas.microsoft.com/office/spreadsheetml/2009/9/main" objectType="Spin" dx="15" fmlaLink="PedBerMedIV!$E$19" max="100" min="1" page="10"/>
</file>

<file path=xl/ctrlProps/ctrlProp274.xml><?xml version="1.0" encoding="utf-8"?>
<formControlPr xmlns="http://schemas.microsoft.com/office/spreadsheetml/2009/9/main" objectType="Spin" dx="15" fmlaLink="PedBerMedIV!$J$19" max="500" page="10" val="0"/>
</file>

<file path=xl/ctrlProps/ctrlProp275.xml><?xml version="1.0" encoding="utf-8"?>
<formControlPr xmlns="http://schemas.microsoft.com/office/spreadsheetml/2009/9/main" objectType="Drop" dropStyle="combo" dx="16" fmlaLink="PedBerMedIV!$B$12" fmlaRange="tblMedicationContIV" sel="1" val="0"/>
</file>

<file path=xl/ctrlProps/ctrlProp276.xml><?xml version="1.0" encoding="utf-8"?>
<formControlPr xmlns="http://schemas.microsoft.com/office/spreadsheetml/2009/9/main" objectType="Drop" dropStyle="combo" dx="16" fmlaLink="PedBerMedIV!$I$12" fmlaRange="tblOplossing" sel="1" val="0"/>
</file>

<file path=xl/ctrlProps/ctrlProp277.xml><?xml version="1.0" encoding="utf-8"?>
<formControlPr xmlns="http://schemas.microsoft.com/office/spreadsheetml/2009/9/main" objectType="Spin" dx="15" fmlaLink="PedBerMedIV!$J$4" max="1000" page="10" val="0"/>
</file>

<file path=xl/ctrlProps/ctrlProp278.xml><?xml version="1.0" encoding="utf-8"?>
<formControlPr xmlns="http://schemas.microsoft.com/office/spreadsheetml/2009/9/main" objectType="Spin" dx="15" fmlaLink="PedBerMedIV!$J$5" max="1000" page="10" val="0"/>
</file>

<file path=xl/ctrlProps/ctrlProp279.xml><?xml version="1.0" encoding="utf-8"?>
<formControlPr xmlns="http://schemas.microsoft.com/office/spreadsheetml/2009/9/main" objectType="Spin" dx="15" fmlaLink="PedBerMedIV!$J$6" max="1000" page="10" val="0"/>
</file>

<file path=xl/ctrlProps/ctrlProp280.xml><?xml version="1.0" encoding="utf-8"?>
<formControlPr xmlns="http://schemas.microsoft.com/office/spreadsheetml/2009/9/main" objectType="Spin" dx="15" fmlaLink="PedBerMedIV!$J$7" max="1000" page="10" val="0"/>
</file>

<file path=xl/ctrlProps/ctrlProp281.xml><?xml version="1.0" encoding="utf-8"?>
<formControlPr xmlns="http://schemas.microsoft.com/office/spreadsheetml/2009/9/main" objectType="Spin" dx="15" fmlaLink="PedBerMedIV!$J$8" max="1000" page="10" val="0"/>
</file>

<file path=xl/ctrlProps/ctrlProp282.xml><?xml version="1.0" encoding="utf-8"?>
<formControlPr xmlns="http://schemas.microsoft.com/office/spreadsheetml/2009/9/main" objectType="Spin" dx="15" fmlaLink="PedBerMedIV!$J$9" max="1000" page="10" val="0"/>
</file>

<file path=xl/ctrlProps/ctrlProp283.xml><?xml version="1.0" encoding="utf-8"?>
<formControlPr xmlns="http://schemas.microsoft.com/office/spreadsheetml/2009/9/main" objectType="Spin" dx="15" fmlaLink="PedBerMedIV!$J$10" max="1000" page="10" val="0"/>
</file>

<file path=xl/ctrlProps/ctrlProp284.xml><?xml version="1.0" encoding="utf-8"?>
<formControlPr xmlns="http://schemas.microsoft.com/office/spreadsheetml/2009/9/main" objectType="Spin" dx="15" fmlaLink="PedBerMedIV!$J$11" max="1000" page="10" val="0"/>
</file>

<file path=xl/ctrlProps/ctrlProp285.xml><?xml version="1.0" encoding="utf-8"?>
<formControlPr xmlns="http://schemas.microsoft.com/office/spreadsheetml/2009/9/main" objectType="Spin" dx="15" fmlaLink="PedBerMedIV!$J$12" max="1000" page="10" val="0"/>
</file>

<file path=xl/ctrlProps/ctrlProp286.xml><?xml version="1.0" encoding="utf-8"?>
<formControlPr xmlns="http://schemas.microsoft.com/office/spreadsheetml/2009/9/main" objectType="Spin" dx="15" fmlaLink="PedBerMedIV!$E$4" max="1000" page="10" val="0"/>
</file>

<file path=xl/ctrlProps/ctrlProp287.xml><?xml version="1.0" encoding="utf-8"?>
<formControlPr xmlns="http://schemas.microsoft.com/office/spreadsheetml/2009/9/main" objectType="Spin" dx="15" fmlaLink="PedBerMedIV!$E$5" max="1000" page="10" val="0"/>
</file>

<file path=xl/ctrlProps/ctrlProp288.xml><?xml version="1.0" encoding="utf-8"?>
<formControlPr xmlns="http://schemas.microsoft.com/office/spreadsheetml/2009/9/main" objectType="Spin" dx="15" fmlaLink="PedBerMedIV!$E$6" max="1000" page="10" val="0"/>
</file>

<file path=xl/ctrlProps/ctrlProp289.xml><?xml version="1.0" encoding="utf-8"?>
<formControlPr xmlns="http://schemas.microsoft.com/office/spreadsheetml/2009/9/main" objectType="Spin" dx="15" fmlaLink="PedBerMedIV!$E$7" max="1000" page="10" val="0"/>
</file>

<file path=xl/ctrlProps/ctrlProp290.xml><?xml version="1.0" encoding="utf-8"?>
<formControlPr xmlns="http://schemas.microsoft.com/office/spreadsheetml/2009/9/main" objectType="Spin" dx="15" fmlaLink="PedBerMedIV!$E$8" max="1000" page="10" val="0"/>
</file>

<file path=xl/ctrlProps/ctrlProp291.xml><?xml version="1.0" encoding="utf-8"?>
<formControlPr xmlns="http://schemas.microsoft.com/office/spreadsheetml/2009/9/main" objectType="Spin" dx="15" fmlaLink="PedBerMedIV!$E$9" max="1000" page="10" val="0"/>
</file>

<file path=xl/ctrlProps/ctrlProp292.xml><?xml version="1.0" encoding="utf-8"?>
<formControlPr xmlns="http://schemas.microsoft.com/office/spreadsheetml/2009/9/main" objectType="Spin" dx="15" fmlaLink="PedBerMedIV!$E$10" max="1000" page="10" val="0"/>
</file>

<file path=xl/ctrlProps/ctrlProp293.xml><?xml version="1.0" encoding="utf-8"?>
<formControlPr xmlns="http://schemas.microsoft.com/office/spreadsheetml/2009/9/main" objectType="Spin" dx="15" fmlaLink="PedBerMedIV!$E$11" max="1000" page="10" val="0"/>
</file>

<file path=xl/ctrlProps/ctrlProp294.xml><?xml version="1.0" encoding="utf-8"?>
<formControlPr xmlns="http://schemas.microsoft.com/office/spreadsheetml/2009/9/main" objectType="Spin" dx="15" fmlaLink="PedBerMedIV!$E$12" max="1000" page="10" val="0"/>
</file>

<file path=xl/ctrlProps/ctrlProp295.xml><?xml version="1.0" encoding="utf-8"?>
<formControlPr xmlns="http://schemas.microsoft.com/office/spreadsheetml/2009/9/main" objectType="Spin" dx="15" fmlaLink="PedBerMedIV!$D$6" max="1000" page="10" val="0"/>
</file>

<file path=xl/ctrlProps/ctrlProp296.xml><?xml version="1.0" encoding="utf-8"?>
<formControlPr xmlns="http://schemas.microsoft.com/office/spreadsheetml/2009/9/main" objectType="Spin" dx="15" fmlaLink="PedBerMedIV!$D$7" max="1000" page="10" val="0"/>
</file>

<file path=xl/ctrlProps/ctrlProp297.xml><?xml version="1.0" encoding="utf-8"?>
<formControlPr xmlns="http://schemas.microsoft.com/office/spreadsheetml/2009/9/main" objectType="Spin" dx="15" fmlaLink="PedBerMedIV!$D$8" max="1000" page="10" val="0"/>
</file>

<file path=xl/ctrlProps/ctrlProp298.xml><?xml version="1.0" encoding="utf-8"?>
<formControlPr xmlns="http://schemas.microsoft.com/office/spreadsheetml/2009/9/main" objectType="Spin" dx="15" fmlaLink="PedBerMedIV!$D$9" max="1000" page="10" val="0"/>
</file>

<file path=xl/ctrlProps/ctrlProp299.xml><?xml version="1.0" encoding="utf-8"?>
<formControlPr xmlns="http://schemas.microsoft.com/office/spreadsheetml/2009/9/main" objectType="Spin" dx="15" fmlaLink="PedBerMedIV!$D$10" max="1000" page="10" val="0"/>
</file>

<file path=xl/ctrlProps/ctrlProp300.xml><?xml version="1.0" encoding="utf-8"?>
<formControlPr xmlns="http://schemas.microsoft.com/office/spreadsheetml/2009/9/main" objectType="Spin" dx="15" fmlaLink="PedBerMedIV!$D$11" max="1000" page="10" val="0"/>
</file>

<file path=xl/ctrlProps/ctrlProp301.xml><?xml version="1.0" encoding="utf-8"?>
<formControlPr xmlns="http://schemas.microsoft.com/office/spreadsheetml/2009/9/main" objectType="Spin" dx="15" fmlaLink="PedBerMedIV!$D$12" max="1000" page="10" val="0"/>
</file>

<file path=xl/ctrlProps/ctrlProp302.xml><?xml version="1.0" encoding="utf-8"?>
<formControlPr xmlns="http://schemas.microsoft.com/office/spreadsheetml/2009/9/main" objectType="Spin" dx="15" fmlaLink="PedBerMedIV!$E$3" max="1000" page="10" val="0"/>
</file>

<file path=xl/ctrlProps/ctrlProp303.xml><?xml version="1.0" encoding="utf-8"?>
<formControlPr xmlns="http://schemas.microsoft.com/office/spreadsheetml/2009/9/main" objectType="Spin" dx="15" fmlaLink="PedBerMedIV!$D$3" max="1000" page="10" val="0"/>
</file>

<file path=xl/ctrlProps/ctrlProp304.xml><?xml version="1.0" encoding="utf-8"?>
<formControlPr xmlns="http://schemas.microsoft.com/office/spreadsheetml/2009/9/main" objectType="Spin" dx="15" fmlaLink="PedBerMedIV!$J$3" max="1000" page="10" val="0"/>
</file>

<file path=xl/ctrlProps/ctrlProp305.xml><?xml version="1.0" encoding="utf-8"?>
<formControlPr xmlns="http://schemas.microsoft.com/office/spreadsheetml/2009/9/main" objectType="Spin" dx="15" fmlaLink="PedBerMedIV!$D$4" max="1000" page="10" val="0"/>
</file>

<file path=xl/ctrlProps/ctrlProp306.xml><?xml version="1.0" encoding="utf-8"?>
<formControlPr xmlns="http://schemas.microsoft.com/office/spreadsheetml/2009/9/main" objectType="Spin" dx="15" fmlaLink="PedBerMedIV!$D$5" max="1000" page="10" val="0"/>
</file>

<file path=xl/ctrlProps/ctrlProp307.xml><?xml version="1.0" encoding="utf-8"?>
<formControlPr xmlns="http://schemas.microsoft.com/office/spreadsheetml/2009/9/main" objectType="Drop" dropStyle="combo" dx="16" fmlaLink="PedBerMedIV!$B$13" fmlaRange="tblMedicationContIV" sel="1" val="20"/>
</file>

<file path=xl/ctrlProps/ctrlProp308.xml><?xml version="1.0" encoding="utf-8"?>
<formControlPr xmlns="http://schemas.microsoft.com/office/spreadsheetml/2009/9/main" objectType="Drop" dropStyle="combo" dx="16" fmlaLink="PedBerMedIV!$I$13" fmlaRange="tblOplossing" sel="1" val="0"/>
</file>

<file path=xl/ctrlProps/ctrlProp309.xml><?xml version="1.0" encoding="utf-8"?>
<formControlPr xmlns="http://schemas.microsoft.com/office/spreadsheetml/2009/9/main" objectType="Drop" dropStyle="combo" dx="16" fmlaLink="PedBerMedIV!$B$14" fmlaRange="tblMedicationContIV" sel="1" val="0"/>
</file>

<file path=xl/ctrlProps/ctrlProp310.xml><?xml version="1.0" encoding="utf-8"?>
<formControlPr xmlns="http://schemas.microsoft.com/office/spreadsheetml/2009/9/main" objectType="Drop" dropStyle="combo" dx="16" fmlaLink="PedBerMedIV!$I$14" fmlaRange="tblOplossing" sel="1" val="0"/>
</file>

<file path=xl/ctrlProps/ctrlProp311.xml><?xml version="1.0" encoding="utf-8"?>
<formControlPr xmlns="http://schemas.microsoft.com/office/spreadsheetml/2009/9/main" objectType="Spin" dx="15" fmlaLink="PedBerMedIV!$J$13" max="1000" page="10" val="0"/>
</file>

<file path=xl/ctrlProps/ctrlProp312.xml><?xml version="1.0" encoding="utf-8"?>
<formControlPr xmlns="http://schemas.microsoft.com/office/spreadsheetml/2009/9/main" objectType="Spin" dx="15" fmlaLink="PedBerMedIV!$J$14" max="1000" page="10" val="0"/>
</file>

<file path=xl/ctrlProps/ctrlProp313.xml><?xml version="1.0" encoding="utf-8"?>
<formControlPr xmlns="http://schemas.microsoft.com/office/spreadsheetml/2009/9/main" objectType="Spin" dx="15" fmlaLink="PedBerMedIV!$E$13" max="1000" page="10" val="0"/>
</file>

<file path=xl/ctrlProps/ctrlProp314.xml><?xml version="1.0" encoding="utf-8"?>
<formControlPr xmlns="http://schemas.microsoft.com/office/spreadsheetml/2009/9/main" objectType="Spin" dx="15" fmlaLink="PedBerMedIV!$E$14" max="1000" page="10" val="0"/>
</file>

<file path=xl/ctrlProps/ctrlProp315.xml><?xml version="1.0" encoding="utf-8"?>
<formControlPr xmlns="http://schemas.microsoft.com/office/spreadsheetml/2009/9/main" objectType="Spin" dx="15" fmlaLink="PedBerMedIV!$D$13" max="1000" page="10" val="0"/>
</file>

<file path=xl/ctrlProps/ctrlProp316.xml><?xml version="1.0" encoding="utf-8"?>
<formControlPr xmlns="http://schemas.microsoft.com/office/spreadsheetml/2009/9/main" objectType="Spin" dx="15" fmlaLink="PedBerMedIV!$D$14" max="1000" page="10" val="0"/>
</file>

<file path=xl/ctrlProps/ctrlProp317.xml><?xml version="1.0" encoding="utf-8"?>
<formControlPr xmlns="http://schemas.microsoft.com/office/spreadsheetml/2009/9/main" objectType="Drop" dropStyle="combo" dx="16" fmlaLink="PedBerMedIV!$B$15" fmlaRange="tblMedicationContIV" sel="1" val="21"/>
</file>

<file path=xl/ctrlProps/ctrlProp318.xml><?xml version="1.0" encoding="utf-8"?>
<formControlPr xmlns="http://schemas.microsoft.com/office/spreadsheetml/2009/9/main" objectType="Drop" dropStyle="combo" dx="16" fmlaLink="PedBerMedIV!$I$15" fmlaRange="tblOplossing" sel="1" val="0"/>
</file>

<file path=xl/ctrlProps/ctrlProp319.xml><?xml version="1.0" encoding="utf-8"?>
<formControlPr xmlns="http://schemas.microsoft.com/office/spreadsheetml/2009/9/main" objectType="Drop" dropStyle="combo" dx="16" fmlaLink="PedBerMedIV!$B$16" fmlaRange="tblMedicationContIV" sel="1" val="0"/>
</file>

<file path=xl/ctrlProps/ctrlProp320.xml><?xml version="1.0" encoding="utf-8"?>
<formControlPr xmlns="http://schemas.microsoft.com/office/spreadsheetml/2009/9/main" objectType="Drop" dropStyle="combo" dx="16" fmlaLink="PedBerMedIV!$I$16" fmlaRange="tblOplossing" sel="1" val="0"/>
</file>

<file path=xl/ctrlProps/ctrlProp321.xml><?xml version="1.0" encoding="utf-8"?>
<formControlPr xmlns="http://schemas.microsoft.com/office/spreadsheetml/2009/9/main" objectType="Spin" dx="15" fmlaLink="PedBerMedIV!$J$15" max="1000" page="10" val="0"/>
</file>

<file path=xl/ctrlProps/ctrlProp322.xml><?xml version="1.0" encoding="utf-8"?>
<formControlPr xmlns="http://schemas.microsoft.com/office/spreadsheetml/2009/9/main" objectType="Spin" dx="15" fmlaLink="PedBerMedIV!$J$16" max="1000" page="10" val="0"/>
</file>

<file path=xl/ctrlProps/ctrlProp323.xml><?xml version="1.0" encoding="utf-8"?>
<formControlPr xmlns="http://schemas.microsoft.com/office/spreadsheetml/2009/9/main" objectType="Spin" dx="15" fmlaLink="PedBerMedIV!$E$15" max="1000" page="10" val="0"/>
</file>

<file path=xl/ctrlProps/ctrlProp324.xml><?xml version="1.0" encoding="utf-8"?>
<formControlPr xmlns="http://schemas.microsoft.com/office/spreadsheetml/2009/9/main" objectType="Spin" dx="15" fmlaLink="PedBerMedIV!$E$16" max="1000" page="10" val="0"/>
</file>

<file path=xl/ctrlProps/ctrlProp325.xml><?xml version="1.0" encoding="utf-8"?>
<formControlPr xmlns="http://schemas.microsoft.com/office/spreadsheetml/2009/9/main" objectType="Spin" dx="15" fmlaLink="PedBerMedIV!$D$15" max="1000" page="10" val="0"/>
</file>

<file path=xl/ctrlProps/ctrlProp326.xml><?xml version="1.0" encoding="utf-8"?>
<formControlPr xmlns="http://schemas.microsoft.com/office/spreadsheetml/2009/9/main" objectType="Spin" dx="15" fmlaLink="PedBerMedIV!$D$16" max="1000" page="10" val="0"/>
</file>

<file path=xl/ctrlProps/ctrlProp327.xml><?xml version="1.0" encoding="utf-8"?>
<formControlPr xmlns="http://schemas.microsoft.com/office/spreadsheetml/2009/9/main" objectType="Drop" dropStyle="combo" dx="16" fmlaLink="PedBerMedIV!$B$17" fmlaRange="tblMedicationContIV" sel="1" val="0"/>
</file>

<file path=xl/ctrlProps/ctrlProp328.xml><?xml version="1.0" encoding="utf-8"?>
<formControlPr xmlns="http://schemas.microsoft.com/office/spreadsheetml/2009/9/main" objectType="Drop" dropStyle="combo" dx="16" fmlaLink="PedBerMedIV!$I$17" fmlaRange="tblOplossing" sel="1" val="0"/>
</file>

<file path=xl/ctrlProps/ctrlProp329.xml><?xml version="1.0" encoding="utf-8"?>
<formControlPr xmlns="http://schemas.microsoft.com/office/spreadsheetml/2009/9/main" objectType="Spin" dx="15" fmlaLink="PedBerMedIV!$J$17" max="1000" page="10" val="0"/>
</file>

<file path=xl/ctrlProps/ctrlProp330.xml><?xml version="1.0" encoding="utf-8"?>
<formControlPr xmlns="http://schemas.microsoft.com/office/spreadsheetml/2009/9/main" objectType="Spin" dx="15" fmlaLink="PedBerMedIV!$E$17" max="1000" page="10" val="0"/>
</file>

<file path=xl/ctrlProps/ctrlProp331.xml><?xml version="1.0" encoding="utf-8"?>
<formControlPr xmlns="http://schemas.microsoft.com/office/spreadsheetml/2009/9/main" objectType="Spin" dx="15" fmlaLink="PedBerMedIV!$D$17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Infusen" sel="1" val="0"/>
</file>

<file path=xl/ctrlProps/ctrlProp333.xml><?xml version="1.0" encoding="utf-8"?>
<formControlPr xmlns="http://schemas.microsoft.com/office/spreadsheetml/2009/9/main" objectType="Drop" dropStyle="combo" dx="16" fmlaLink="PedBerIVenPM!$B$3" fmlaRange="tblInfusen" sel="1" val="0"/>
</file>

<file path=xl/ctrlProps/ctrlProp334.xml><?xml version="1.0" encoding="utf-8"?>
<formControlPr xmlns="http://schemas.microsoft.com/office/spreadsheetml/2009/9/main" objectType="Drop" dropStyle="combo" dx="16" fmlaLink="PedBerIVenPM!$B$4" fmlaRange="tblInfusen" sel="1" val="3"/>
</file>

<file path=xl/ctrlProps/ctrlProp335.xml><?xml version="1.0" encoding="utf-8"?>
<formControlPr xmlns="http://schemas.microsoft.com/office/spreadsheetml/2009/9/main" objectType="Drop" dropStyle="combo" dx="16" fmlaLink="PedBerIVenPM!$B$5" fmlaRange="tblInfusen" sel="1" val="0"/>
</file>

<file path=xl/ctrlProps/ctrlProp336.xml><?xml version="1.0" encoding="utf-8"?>
<formControlPr xmlns="http://schemas.microsoft.com/office/spreadsheetml/2009/9/main" objectType="Drop" dropStyle="combo" dx="16" fmlaLink="PedBerIVenPM!$B$6" fmlaRange="tblInfusen" sel="1" val="0"/>
</file>

<file path=xl/ctrlProps/ctrlProp337.xml><?xml version="1.0" encoding="utf-8"?>
<formControlPr xmlns="http://schemas.microsoft.com/office/spreadsheetml/2009/9/main" objectType="Drop" dropStyle="combo" dx="16" fmlaLink="PedBerIVenPM!$B$7" fmlaRange="tblInfusen" sel="1" val="0"/>
</file>

<file path=xl/ctrlProps/ctrlProp338.xml><?xml version="1.0" encoding="utf-8"?>
<formControlPr xmlns="http://schemas.microsoft.com/office/spreadsheetml/2009/9/main" objectType="Drop" dropStyle="combo" dx="16" fmlaLink="_Ped_PM_Actief" fmlaRange="tblPacemakerPositie" sel="1" val="0"/>
</file>

<file path=xl/ctrlProps/ctrlProp339.xml><?xml version="1.0" encoding="utf-8"?>
<formControlPr xmlns="http://schemas.microsoft.com/office/spreadsheetml/2009/9/main" objectType="Drop" dropStyle="combo" dx="16" fmlaLink="_Ped_PM_Mod" fmlaRange="tblPacemakerModus" sel="1" val="0"/>
</file>

<file path=xl/ctrlProps/ctrlProp340.xml><?xml version="1.0" encoding="utf-8"?>
<formControlPr xmlns="http://schemas.microsoft.com/office/spreadsheetml/2009/9/main" objectType="Spin" dx="15" fmlaLink="PedBerIVenPM!$K$1" max="200" min="30" page="10" val="30"/>
</file>

<file path=xl/ctrlProps/ctrlProp341.xml><?xml version="1.0" encoding="utf-8"?>
<formControlPr xmlns="http://schemas.microsoft.com/office/spreadsheetml/2009/9/main" objectType="Spin" dx="15" fmlaLink="PedBerIVenPM!$K$2" max="180" min="1" page="10"/>
</file>

<file path=xl/ctrlProps/ctrlProp342.xml><?xml version="1.0" encoding="utf-8"?>
<formControlPr xmlns="http://schemas.microsoft.com/office/spreadsheetml/2009/9/main" objectType="Spin" dx="15" fmlaLink="PedBerIVenPM!$K$3" max="180" min="1" page="10"/>
</file>

<file path=xl/ctrlProps/ctrlProp343.xml><?xml version="1.0" encoding="utf-8"?>
<formControlPr xmlns="http://schemas.microsoft.com/office/spreadsheetml/2009/9/main" objectType="Spin" dx="15" fmlaLink="PedBerIVenPM!$K$4" max="250" min="20" page="10" val="20"/>
</file>

<file path=xl/ctrlProps/ctrlProp344.xml><?xml version="1.0" encoding="utf-8"?>
<formControlPr xmlns="http://schemas.microsoft.com/office/spreadsheetml/2009/9/main" objectType="Spin" dx="15" fmlaLink="PedBerIVenPM!$K$5" max="200" min="2" page="10" val="2"/>
</file>

<file path=xl/ctrlProps/ctrlProp345.xml><?xml version="1.0" encoding="utf-8"?>
<formControlPr xmlns="http://schemas.microsoft.com/office/spreadsheetml/2009/9/main" objectType="Spin" dx="15" fmlaLink="PedBerIVenPM!$K$6" max="200" min="10" page="10" val="10"/>
</file>

<file path=xl/ctrlProps/ctrlProp346.xml><?xml version="1.0" encoding="utf-8"?>
<formControlPr xmlns="http://schemas.microsoft.com/office/spreadsheetml/2009/9/main" objectType="Spin" dx="15" fmlaLink="PedBerEnt!$J$2" max="24" min="1" page="10"/>
</file>

<file path=xl/ctrlProps/ctrlProp347.xml><?xml version="1.0" encoding="utf-8"?>
<formControlPr xmlns="http://schemas.microsoft.com/office/spreadsheetml/2009/9/main" objectType="Spin" dx="15" fmlaLink="PedBerEnt!$K$2" max="10000" min="1" page="10"/>
</file>

<file path=xl/ctrlProps/ctrlProp348.xml><?xml version="1.0" encoding="utf-8"?>
<formControlPr xmlns="http://schemas.microsoft.com/office/spreadsheetml/2009/9/main" objectType="Drop" dropStyle="combo" dx="16" fmlaLink="PedBerEnt!$N$2" fmlaRange="tblPerOs" sel="1" val="0"/>
</file>

<file path=xl/ctrlProps/ctrlProp349.xml><?xml version="1.0" encoding="utf-8"?>
<formControlPr xmlns="http://schemas.microsoft.com/office/spreadsheetml/2009/9/main" objectType="Spin" dx="15" fmlaLink="PedBerTPN!$D$3" max="300" page="10" val="0"/>
</file>

<file path=xl/ctrlProps/ctrlProp350.xml><?xml version="1.0" encoding="utf-8"?>
<formControlPr xmlns="http://schemas.microsoft.com/office/spreadsheetml/2009/9/main" objectType="Spin" dx="15" fmlaLink="PedBerTPN!$E$7" max="5000" min="1" page="10"/>
</file>

<file path=xl/ctrlProps/ctrlProp351.xml><?xml version="1.0" encoding="utf-8"?>
<formControlPr xmlns="http://schemas.microsoft.com/office/spreadsheetml/2009/9/main" objectType="Spin" dx="15" fmlaLink="PedBerTPN!$E$8" max="5000" min="1" page="10"/>
</file>

<file path=xl/ctrlProps/ctrlProp352.xml><?xml version="1.0" encoding="utf-8"?>
<formControlPr xmlns="http://schemas.microsoft.com/office/spreadsheetml/2009/9/main" objectType="Spin" dx="15" fmlaLink="PedBerTPN!$E$9" max="5000" min="1" page="10"/>
</file>

<file path=xl/ctrlProps/ctrlProp353.xml><?xml version="1.0" encoding="utf-8"?>
<formControlPr xmlns="http://schemas.microsoft.com/office/spreadsheetml/2009/9/main" objectType="CheckBox" fmlaLink="PedBerTPN!$C$7" lockText="1"/>
</file>

<file path=xl/ctrlProps/ctrlProp354.xml><?xml version="1.0" encoding="utf-8"?>
<formControlPr xmlns="http://schemas.microsoft.com/office/spreadsheetml/2009/9/main" objectType="CheckBox" fmlaLink="PedBerTPN!$C$8" lockText="1"/>
</file>

<file path=xl/ctrlProps/ctrlProp355.xml><?xml version="1.0" encoding="utf-8"?>
<formControlPr xmlns="http://schemas.microsoft.com/office/spreadsheetml/2009/9/main" objectType="CheckBox" fmlaLink="PedBerTPN!$C$9" lockText="1"/>
</file>

<file path=xl/ctrlProps/ctrlProp356.xml><?xml version="1.0" encoding="utf-8"?>
<formControlPr xmlns="http://schemas.microsoft.com/office/spreadsheetml/2009/9/main" objectType="Spin" dx="15" fmlaLink="PedBerTPN!$D$12" max="200" page="10" val="0"/>
</file>

<file path=xl/ctrlProps/ctrlProp357.xml><?xml version="1.0" encoding="utf-8"?>
<formControlPr xmlns="http://schemas.microsoft.com/office/spreadsheetml/2009/9/main" objectType="CheckBox" fmlaLink="PedBerTPN!$C$14" lockText="1"/>
</file>

<file path=xl/ctrlProps/ctrlProp358.xml><?xml version="1.0" encoding="utf-8"?>
<formControlPr xmlns="http://schemas.microsoft.com/office/spreadsheetml/2009/9/main" objectType="CheckBox" fmlaLink="PedBerTPN!$C$15" lockText="1"/>
</file>

<file path=xl/ctrlProps/ctrlProp359.xml><?xml version="1.0" encoding="utf-8"?>
<formControlPr xmlns="http://schemas.microsoft.com/office/spreadsheetml/2009/9/main" objectType="Spin" dx="15" fmlaLink="PedBerTPN!$E$14" max="55" min="1" page="10"/>
</file>

<file path=xl/ctrlProps/ctrlProp360.xml><?xml version="1.0" encoding="utf-8"?>
<formControlPr xmlns="http://schemas.microsoft.com/office/spreadsheetml/2009/9/main" objectType="Spin" dx="15" fmlaLink="PedBerTPN!$E$15" max="55" min="1" page="10"/>
</file>

<file path=xl/ctrlProps/ctrlProp361.xml><?xml version="1.0" encoding="utf-8"?>
<formControlPr xmlns="http://schemas.microsoft.com/office/spreadsheetml/2009/9/main" objectType="Drop" dropStyle="combo" dx="16" fmlaLink="PedBerEnt!$O$2" fmlaRange="tblSonde" sel="1" val="0"/>
</file>

<file path=xl/ctrlProps/ctrlProp362.xml><?xml version="1.0" encoding="utf-8"?>
<formControlPr xmlns="http://schemas.microsoft.com/office/spreadsheetml/2009/9/main" objectType="CheckBox" fmlaLink="PedBerTPN!$C$10" lockText="1"/>
</file>

<file path=xl/ctrlProps/ctrlProp363.xml><?xml version="1.0" encoding="utf-8"?>
<formControlPr xmlns="http://schemas.microsoft.com/office/spreadsheetml/2009/9/main" objectType="CheckBox" fmlaLink="PedBerTPN!$C$11" lockText="1"/>
</file>

<file path=xl/ctrlProps/ctrlProp364.xml><?xml version="1.0" encoding="utf-8"?>
<formControlPr xmlns="http://schemas.microsoft.com/office/spreadsheetml/2009/9/main" objectType="Spin" dx="15" fmlaLink="PedBerTPN!$E$10" max="5000" min="1" page="10"/>
</file>

<file path=xl/ctrlProps/ctrlProp365.xml><?xml version="1.0" encoding="utf-8"?>
<formControlPr xmlns="http://schemas.microsoft.com/office/spreadsheetml/2009/9/main" objectType="Spin" dx="15" fmlaLink="PedBerTPN!$E$11" max="200" min="1" page="10"/>
</file>

<file path=xl/ctrlProps/ctrlProp366.xml><?xml version="1.0" encoding="utf-8"?>
<formControlPr xmlns="http://schemas.microsoft.com/office/spreadsheetml/2009/9/main" objectType="Drop" dropStyle="combo" dx="16" fmlaLink="PedBerTPN!$B$4" fmlaRange="tblTPN" sel="1" val="0"/>
</file>

<file path=xl/ctrlProps/ctrlProp367.xml><?xml version="1.0" encoding="utf-8"?>
<formControlPr xmlns="http://schemas.microsoft.com/office/spreadsheetml/2009/9/main" objectType="Drop" dropStyle="combo" dx="16" fmlaLink="PedBerTPN!$B$6" fmlaRange="tblSSTGlucose" sel="1" val="0"/>
</file>

<file path=xl/ctrlProps/ctrlProp368.xml><?xml version="1.0" encoding="utf-8"?>
<formControlPr xmlns="http://schemas.microsoft.com/office/spreadsheetml/2009/9/main" objectType="Spin" dx="15" fmlaLink="PedBerTPN!$E$4" max="4000" page="10" val="0"/>
</file>

<file path=xl/ctrlProps/ctrlProp369.xml><?xml version="1.0" encoding="utf-8"?>
<formControlPr xmlns="http://schemas.microsoft.com/office/spreadsheetml/2009/9/main" objectType="Spin" dx="15" fmlaLink="PedBerEnt!$J$3" max="12" min="1" page="10"/>
</file>

<file path=xl/ctrlProps/ctrlProp370.xml><?xml version="1.0" encoding="utf-8"?>
<formControlPr xmlns="http://schemas.microsoft.com/office/spreadsheetml/2009/9/main" objectType="Spin" dx="15" fmlaLink="PedBerEnt!$K$3" max="100" page="10" val="0"/>
</file>

<file path=xl/ctrlProps/ctrlProp371.xml><?xml version="1.0" encoding="utf-8"?>
<formControlPr xmlns="http://schemas.microsoft.com/office/spreadsheetml/2009/9/main" objectType="Drop" dropStyle="combo" dx="16" fmlaLink="PedBerEnt!$N$3" fmlaRange="tblPoeder" sel="1" val="0"/>
</file>

<file path=xl/ctrlProps/ctrlProp372.xml><?xml version="1.0" encoding="utf-8"?>
<formControlPr xmlns="http://schemas.microsoft.com/office/spreadsheetml/2009/9/main" objectType="Spin" dx="15" fmlaLink="PedBerTPN!$E$5" max="15" page="10" val="0"/>
</file>

<file path=xl/ctrlProps/ctrlProp373.xml><?xml version="1.0" encoding="utf-8"?>
<formControlPr xmlns="http://schemas.microsoft.com/office/spreadsheetml/2009/9/main" objectType="Spin" dx="15" fmlaLink="PedBerEnt!$J$4" max="12" min="1" page="10"/>
</file>

<file path=xl/ctrlProps/ctrlProp374.xml><?xml version="1.0" encoding="utf-8"?>
<formControlPr xmlns="http://schemas.microsoft.com/office/spreadsheetml/2009/9/main" objectType="Spin" dx="15" fmlaLink="PedBerEnt!$K$4" max="100" page="10" val="0"/>
</file>

<file path=xl/ctrlProps/ctrlProp375.xml><?xml version="1.0" encoding="utf-8"?>
<formControlPr xmlns="http://schemas.microsoft.com/office/spreadsheetml/2009/9/main" objectType="Drop" dropStyle="combo" dx="16" fmlaLink="PedBerEnt!$N$4" fmlaRange="tblPoeder" sel="1" val="0"/>
</file>

<file path=xl/ctrlProps/ctrlProp376.xml><?xml version="1.0" encoding="utf-8"?>
<formControlPr xmlns="http://schemas.microsoft.com/office/spreadsheetml/2009/9/main" objectType="Spin" dx="15" fmlaLink="PedBerEnt!$J$5" max="12" min="1" page="10"/>
</file>

<file path=xl/ctrlProps/ctrlProp377.xml><?xml version="1.0" encoding="utf-8"?>
<formControlPr xmlns="http://schemas.microsoft.com/office/spreadsheetml/2009/9/main" objectType="Spin" dx="15" fmlaLink="PedBerEnt!$K$5" max="100" page="10" val="0"/>
</file>

<file path=xl/ctrlProps/ctrlProp378.xml><?xml version="1.0" encoding="utf-8"?>
<formControlPr xmlns="http://schemas.microsoft.com/office/spreadsheetml/2009/9/main" objectType="Drop" dropStyle="combo" dx="16" fmlaLink="PedBerEnt!$N$5" fmlaRange="tblPoeder" sel="1" val="0"/>
</file>

<file path=xl/ctrlProps/ctrlProp379.xml><?xml version="1.0" encoding="utf-8"?>
<formControlPr xmlns="http://schemas.microsoft.com/office/spreadsheetml/2009/9/main" objectType="Spin" dx="15" fmlaLink="PedBerTPN!$D$19" max="200" page="10" val="0"/>
</file>

<file path=xl/ctrlProps/ctrlProp380.xml><?xml version="1.0" encoding="utf-8"?>
<formControlPr xmlns="http://schemas.microsoft.com/office/spreadsheetml/2009/9/main" objectType="Spin" dx="15" fmlaLink="PedBerTPN!$E$21" max="1000" min="1" page="10"/>
</file>

<file path=xl/ctrlProps/ctrlProp381.xml><?xml version="1.0" encoding="utf-8"?>
<formControlPr xmlns="http://schemas.microsoft.com/office/spreadsheetml/2009/9/main" objectType="Spin" dx="15" fmlaLink="PedBerTPN!$E$22" max="200" min="1" page="10"/>
</file>

<file path=xl/ctrlProps/ctrlProp382.xml><?xml version="1.0" encoding="utf-8"?>
<formControlPr xmlns="http://schemas.microsoft.com/office/spreadsheetml/2009/9/main" objectType="CheckBox" fmlaLink="PedBerTPN!$C$21" lockText="1"/>
</file>

<file path=xl/ctrlProps/ctrlProp383.xml><?xml version="1.0" encoding="utf-8"?>
<formControlPr xmlns="http://schemas.microsoft.com/office/spreadsheetml/2009/9/main" objectType="CheckBox" fmlaLink="PedBerTPN!$C$22" lockText="1"/>
</file>

<file path=xl/ctrlProps/ctrlProp384.xml><?xml version="1.0" encoding="utf-8"?>
<formControlPr xmlns="http://schemas.microsoft.com/office/spreadsheetml/2009/9/main" objectType="Drop" dropStyle="combo" dx="16" fmlaLink="PedBerTPN!$B$20" fmlaRange="tblSSTGlucose" sel="1" val="6"/>
</file>

<file path=xl/ctrlProps/ctrlProp385.xml><?xml version="1.0" encoding="utf-8"?>
<formControlPr xmlns="http://schemas.microsoft.com/office/spreadsheetml/2009/9/main" objectType="CheckBox" fmlaLink="PedBerLab!$C$4" lockText="1"/>
</file>

<file path=xl/ctrlProps/ctrlProp386.xml><?xml version="1.0" encoding="utf-8"?>
<formControlPr xmlns="http://schemas.microsoft.com/office/spreadsheetml/2009/9/main" objectType="CheckBox" fmlaLink="PedBerLab!C5" lockText="1"/>
</file>

<file path=xl/ctrlProps/ctrlProp387.xml><?xml version="1.0" encoding="utf-8"?>
<formControlPr xmlns="http://schemas.microsoft.com/office/spreadsheetml/2009/9/main" objectType="CheckBox" fmlaLink="PedBerLab!C7" lockText="1"/>
</file>

<file path=xl/ctrlProps/ctrlProp388.xml><?xml version="1.0" encoding="utf-8"?>
<formControlPr xmlns="http://schemas.microsoft.com/office/spreadsheetml/2009/9/main" objectType="CheckBox" fmlaLink="PedBerLab!C8" lockText="1"/>
</file>

<file path=xl/ctrlProps/ctrlProp389.xml><?xml version="1.0" encoding="utf-8"?>
<formControlPr xmlns="http://schemas.microsoft.com/office/spreadsheetml/2009/9/main" objectType="CheckBox" fmlaLink="PedBerLab!C13" lockText="1"/>
</file>

<file path=xl/ctrlProps/ctrlProp390.xml><?xml version="1.0" encoding="utf-8"?>
<formControlPr xmlns="http://schemas.microsoft.com/office/spreadsheetml/2009/9/main" objectType="CheckBox" fmlaLink="PedBerLab!C12" lockText="1"/>
</file>

<file path=xl/ctrlProps/ctrlProp391.xml><?xml version="1.0" encoding="utf-8"?>
<formControlPr xmlns="http://schemas.microsoft.com/office/spreadsheetml/2009/9/main" objectType="CheckBox" fmlaLink="PedBerLab!C30" lockText="1"/>
</file>

<file path=xl/ctrlProps/ctrlProp392.xml><?xml version="1.0" encoding="utf-8"?>
<formControlPr xmlns="http://schemas.microsoft.com/office/spreadsheetml/2009/9/main" objectType="CheckBox" fmlaLink="PedBerLab!C15" lockText="1"/>
</file>

<file path=xl/ctrlProps/ctrlProp393.xml><?xml version="1.0" encoding="utf-8"?>
<formControlPr xmlns="http://schemas.microsoft.com/office/spreadsheetml/2009/9/main" objectType="CheckBox" fmlaLink="PedBerLab!C18" lockText="1"/>
</file>

<file path=xl/ctrlProps/ctrlProp394.xml><?xml version="1.0" encoding="utf-8"?>
<formControlPr xmlns="http://schemas.microsoft.com/office/spreadsheetml/2009/9/main" objectType="CheckBox" fmlaLink="PedBerLab!C19" lockText="1"/>
</file>

<file path=xl/ctrlProps/ctrlProp395.xml><?xml version="1.0" encoding="utf-8"?>
<formControlPr xmlns="http://schemas.microsoft.com/office/spreadsheetml/2009/9/main" objectType="CheckBox" fmlaLink="PedBerLab!C20" lockText="1"/>
</file>

<file path=xl/ctrlProps/ctrlProp396.xml><?xml version="1.0" encoding="utf-8"?>
<formControlPr xmlns="http://schemas.microsoft.com/office/spreadsheetml/2009/9/main" objectType="CheckBox" fmlaLink="PedBerLab!C11" lockText="1"/>
</file>

<file path=xl/ctrlProps/ctrlProp397.xml><?xml version="1.0" encoding="utf-8"?>
<formControlPr xmlns="http://schemas.microsoft.com/office/spreadsheetml/2009/9/main" objectType="CheckBox" fmlaLink="PedBerLab!$C$28" lockText="1"/>
</file>

<file path=xl/ctrlProps/ctrlProp398.xml><?xml version="1.0" encoding="utf-8"?>
<formControlPr xmlns="http://schemas.microsoft.com/office/spreadsheetml/2009/9/main" objectType="CheckBox" fmlaLink="PedBerLab!$G$4" lockText="1"/>
</file>

<file path=xl/ctrlProps/ctrlProp399.xml><?xml version="1.0" encoding="utf-8"?>
<formControlPr xmlns="http://schemas.microsoft.com/office/spreadsheetml/2009/9/main" objectType="CheckBox" fmlaLink="PedBerLab!$G$5" lockText="1"/>
</file>

<file path=xl/ctrlProps/ctrlProp400.xml><?xml version="1.0" encoding="utf-8"?>
<formControlPr xmlns="http://schemas.microsoft.com/office/spreadsheetml/2009/9/main" objectType="CheckBox" fmlaLink="PedBerLab!$G$7" lockText="1"/>
</file>

<file path=xl/ctrlProps/ctrlProp401.xml><?xml version="1.0" encoding="utf-8"?>
<formControlPr xmlns="http://schemas.microsoft.com/office/spreadsheetml/2009/9/main" objectType="CheckBox" fmlaLink="PedBerLab!$G$8" lockText="1"/>
</file>

<file path=xl/ctrlProps/ctrlProp402.xml><?xml version="1.0" encoding="utf-8"?>
<formControlPr xmlns="http://schemas.microsoft.com/office/spreadsheetml/2009/9/main" objectType="CheckBox" fmlaLink="PedBerLab!$G$13" lockText="1"/>
</file>

<file path=xl/ctrlProps/ctrlProp403.xml><?xml version="1.0" encoding="utf-8"?>
<formControlPr xmlns="http://schemas.microsoft.com/office/spreadsheetml/2009/9/main" objectType="CheckBox" fmlaLink="PedBerLab!$G$12" lockText="1"/>
</file>

<file path=xl/ctrlProps/ctrlProp404.xml><?xml version="1.0" encoding="utf-8"?>
<formControlPr xmlns="http://schemas.microsoft.com/office/spreadsheetml/2009/9/main" objectType="CheckBox" fmlaLink="PedBerLab!$G$30" lockText="1"/>
</file>

<file path=xl/ctrlProps/ctrlProp405.xml><?xml version="1.0" encoding="utf-8"?>
<formControlPr xmlns="http://schemas.microsoft.com/office/spreadsheetml/2009/9/main" objectType="CheckBox" fmlaLink="PedBerLab!$G$15" lockText="1"/>
</file>

<file path=xl/ctrlProps/ctrlProp406.xml><?xml version="1.0" encoding="utf-8"?>
<formControlPr xmlns="http://schemas.microsoft.com/office/spreadsheetml/2009/9/main" objectType="CheckBox" fmlaLink="PedBerLab!$G$18" lockText="1"/>
</file>

<file path=xl/ctrlProps/ctrlProp407.xml><?xml version="1.0" encoding="utf-8"?>
<formControlPr xmlns="http://schemas.microsoft.com/office/spreadsheetml/2009/9/main" objectType="CheckBox" fmlaLink="PedBerLab!$G$19" lockText="1"/>
</file>

<file path=xl/ctrlProps/ctrlProp408.xml><?xml version="1.0" encoding="utf-8"?>
<formControlPr xmlns="http://schemas.microsoft.com/office/spreadsheetml/2009/9/main" objectType="CheckBox" fmlaLink="PedBerLab!$G$20" lockText="1"/>
</file>

<file path=xl/ctrlProps/ctrlProp409.xml><?xml version="1.0" encoding="utf-8"?>
<formControlPr xmlns="http://schemas.microsoft.com/office/spreadsheetml/2009/9/main" objectType="CheckBox" fmlaLink="PedBerLab!$G$11" lockText="1"/>
</file>

<file path=xl/ctrlProps/ctrlProp410.xml><?xml version="1.0" encoding="utf-8"?>
<formControlPr xmlns="http://schemas.microsoft.com/office/spreadsheetml/2009/9/main" objectType="CheckBox" fmlaLink="PedBerLab!$G$28" lockText="1"/>
</file>

<file path=xl/ctrlProps/ctrlProp411.xml><?xml version="1.0" encoding="utf-8"?>
<formControlPr xmlns="http://schemas.microsoft.com/office/spreadsheetml/2009/9/main" objectType="CheckBox" fmlaLink="PedBerLab!$I$4" lockText="1"/>
</file>

<file path=xl/ctrlProps/ctrlProp412.xml><?xml version="1.0" encoding="utf-8"?>
<formControlPr xmlns="http://schemas.microsoft.com/office/spreadsheetml/2009/9/main" objectType="CheckBox" fmlaLink="PedBerLab!$I$5" lockText="1"/>
</file>

<file path=xl/ctrlProps/ctrlProp413.xml><?xml version="1.0" encoding="utf-8"?>
<formControlPr xmlns="http://schemas.microsoft.com/office/spreadsheetml/2009/9/main" objectType="CheckBox" fmlaLink="PedBerLab!$I$7" lockText="1"/>
</file>

<file path=xl/ctrlProps/ctrlProp414.xml><?xml version="1.0" encoding="utf-8"?>
<formControlPr xmlns="http://schemas.microsoft.com/office/spreadsheetml/2009/9/main" objectType="CheckBox" fmlaLink="PedBerLab!$I$8" lockText="1"/>
</file>

<file path=xl/ctrlProps/ctrlProp415.xml><?xml version="1.0" encoding="utf-8"?>
<formControlPr xmlns="http://schemas.microsoft.com/office/spreadsheetml/2009/9/main" objectType="CheckBox" fmlaLink="PedBerLab!$I$13" lockText="1"/>
</file>

<file path=xl/ctrlProps/ctrlProp416.xml><?xml version="1.0" encoding="utf-8"?>
<formControlPr xmlns="http://schemas.microsoft.com/office/spreadsheetml/2009/9/main" objectType="CheckBox" fmlaLink="PedBerLab!$I$12" lockText="1"/>
</file>

<file path=xl/ctrlProps/ctrlProp417.xml><?xml version="1.0" encoding="utf-8"?>
<formControlPr xmlns="http://schemas.microsoft.com/office/spreadsheetml/2009/9/main" objectType="CheckBox" fmlaLink="PedBerLab!$I$30" lockText="1"/>
</file>

<file path=xl/ctrlProps/ctrlProp418.xml><?xml version="1.0" encoding="utf-8"?>
<formControlPr xmlns="http://schemas.microsoft.com/office/spreadsheetml/2009/9/main" objectType="CheckBox" fmlaLink="PedBerLab!$I$15" lockText="1"/>
</file>

<file path=xl/ctrlProps/ctrlProp419.xml><?xml version="1.0" encoding="utf-8"?>
<formControlPr xmlns="http://schemas.microsoft.com/office/spreadsheetml/2009/9/main" objectType="CheckBox" fmlaLink="PedBerLab!$I$18" lockText="1"/>
</file>

<file path=xl/ctrlProps/ctrlProp420.xml><?xml version="1.0" encoding="utf-8"?>
<formControlPr xmlns="http://schemas.microsoft.com/office/spreadsheetml/2009/9/main" objectType="CheckBox" fmlaLink="PedBerLab!$I$19" lockText="1"/>
</file>

<file path=xl/ctrlProps/ctrlProp421.xml><?xml version="1.0" encoding="utf-8"?>
<formControlPr xmlns="http://schemas.microsoft.com/office/spreadsheetml/2009/9/main" objectType="CheckBox" fmlaLink="PedBerLab!$I$20" lockText="1"/>
</file>

<file path=xl/ctrlProps/ctrlProp422.xml><?xml version="1.0" encoding="utf-8"?>
<formControlPr xmlns="http://schemas.microsoft.com/office/spreadsheetml/2009/9/main" objectType="CheckBox" fmlaLink="PedBerLab!$I$11" lockText="1"/>
</file>

<file path=xl/ctrlProps/ctrlProp423.xml><?xml version="1.0" encoding="utf-8"?>
<formControlPr xmlns="http://schemas.microsoft.com/office/spreadsheetml/2009/9/main" objectType="CheckBox" fmlaLink="PedBerLab!$I$28" lockText="1"/>
</file>

<file path=xl/ctrlProps/ctrlProp424.xml><?xml version="1.0" encoding="utf-8"?>
<formControlPr xmlns="http://schemas.microsoft.com/office/spreadsheetml/2009/9/main" objectType="CheckBox" fmlaLink="PedBerLab!$L$4" lockText="1"/>
</file>

<file path=xl/ctrlProps/ctrlProp425.xml><?xml version="1.0" encoding="utf-8"?>
<formControlPr xmlns="http://schemas.microsoft.com/office/spreadsheetml/2009/9/main" objectType="CheckBox" fmlaLink="PedBerLab!$L$5" lockText="1"/>
</file>

<file path=xl/ctrlProps/ctrlProp426.xml><?xml version="1.0" encoding="utf-8"?>
<formControlPr xmlns="http://schemas.microsoft.com/office/spreadsheetml/2009/9/main" objectType="CheckBox" fmlaLink="PedBerLab!$L$7" lockText="1"/>
</file>

<file path=xl/ctrlProps/ctrlProp427.xml><?xml version="1.0" encoding="utf-8"?>
<formControlPr xmlns="http://schemas.microsoft.com/office/spreadsheetml/2009/9/main" objectType="CheckBox" fmlaLink="PedBerLab!$L$8" lockText="1"/>
</file>

<file path=xl/ctrlProps/ctrlProp428.xml><?xml version="1.0" encoding="utf-8"?>
<formControlPr xmlns="http://schemas.microsoft.com/office/spreadsheetml/2009/9/main" objectType="CheckBox" fmlaLink="PedBerLab!$L$13" lockText="1"/>
</file>

<file path=xl/ctrlProps/ctrlProp429.xml><?xml version="1.0" encoding="utf-8"?>
<formControlPr xmlns="http://schemas.microsoft.com/office/spreadsheetml/2009/9/main" objectType="CheckBox" fmlaLink="PedBerLab!$L$12" lockText="1"/>
</file>

<file path=xl/ctrlProps/ctrlProp430.xml><?xml version="1.0" encoding="utf-8"?>
<formControlPr xmlns="http://schemas.microsoft.com/office/spreadsheetml/2009/9/main" objectType="CheckBox" fmlaLink="PedBerLab!$L$30" lockText="1"/>
</file>

<file path=xl/ctrlProps/ctrlProp431.xml><?xml version="1.0" encoding="utf-8"?>
<formControlPr xmlns="http://schemas.microsoft.com/office/spreadsheetml/2009/9/main" objectType="CheckBox" fmlaLink="PedBerLab!$L$15" lockText="1"/>
</file>

<file path=xl/ctrlProps/ctrlProp432.xml><?xml version="1.0" encoding="utf-8"?>
<formControlPr xmlns="http://schemas.microsoft.com/office/spreadsheetml/2009/9/main" objectType="CheckBox" fmlaLink="PedBerLab!$L$18" lockText="1"/>
</file>

<file path=xl/ctrlProps/ctrlProp433.xml><?xml version="1.0" encoding="utf-8"?>
<formControlPr xmlns="http://schemas.microsoft.com/office/spreadsheetml/2009/9/main" objectType="CheckBox" fmlaLink="PedBerLab!$L$19" lockText="1"/>
</file>

<file path=xl/ctrlProps/ctrlProp434.xml><?xml version="1.0" encoding="utf-8"?>
<formControlPr xmlns="http://schemas.microsoft.com/office/spreadsheetml/2009/9/main" objectType="CheckBox" fmlaLink="PedBerLab!$L$20" lockText="1"/>
</file>

<file path=xl/ctrlProps/ctrlProp435.xml><?xml version="1.0" encoding="utf-8"?>
<formControlPr xmlns="http://schemas.microsoft.com/office/spreadsheetml/2009/9/main" objectType="CheckBox" fmlaLink="PedBerLab!$L$11" lockText="1"/>
</file>

<file path=xl/ctrlProps/ctrlProp436.xml><?xml version="1.0" encoding="utf-8"?>
<formControlPr xmlns="http://schemas.microsoft.com/office/spreadsheetml/2009/9/main" objectType="CheckBox" fmlaLink="PedBerLab!$L$28" lockText="1"/>
</file>

<file path=xl/ctrlProps/ctrlProp437.xml><?xml version="1.0" encoding="utf-8"?>
<formControlPr xmlns="http://schemas.microsoft.com/office/spreadsheetml/2009/9/main" objectType="CheckBox" fmlaLink="PedBerLab!$C$27" lockText="1"/>
</file>

<file path=xl/ctrlProps/ctrlProp438.xml><?xml version="1.0" encoding="utf-8"?>
<formControlPr xmlns="http://schemas.microsoft.com/office/spreadsheetml/2009/9/main" objectType="CheckBox" fmlaLink="PedBerLab!$G$27" lockText="1"/>
</file>

<file path=xl/ctrlProps/ctrlProp439.xml><?xml version="1.0" encoding="utf-8"?>
<formControlPr xmlns="http://schemas.microsoft.com/office/spreadsheetml/2009/9/main" objectType="CheckBox" fmlaLink="PedBerLab!$I$27" lockText="1"/>
</file>

<file path=xl/ctrlProps/ctrlProp440.xml><?xml version="1.0" encoding="utf-8"?>
<formControlPr xmlns="http://schemas.microsoft.com/office/spreadsheetml/2009/9/main" objectType="CheckBox" fmlaLink="PedBerLab!$L$27" lockText="1"/>
</file>

<file path=xl/ctrlProps/ctrlProp441.xml><?xml version="1.0" encoding="utf-8"?>
<formControlPr xmlns="http://schemas.microsoft.com/office/spreadsheetml/2009/9/main" objectType="CheckBox" fmlaLink="PedBerLab!C6" lockText="1"/>
</file>

<file path=xl/ctrlProps/ctrlProp442.xml><?xml version="1.0" encoding="utf-8"?>
<formControlPr xmlns="http://schemas.microsoft.com/office/spreadsheetml/2009/9/main" objectType="CheckBox" fmlaLink="PedBerLab!$G$6" lockText="1"/>
</file>

<file path=xl/ctrlProps/ctrlProp443.xml><?xml version="1.0" encoding="utf-8"?>
<formControlPr xmlns="http://schemas.microsoft.com/office/spreadsheetml/2009/9/main" objectType="CheckBox" fmlaLink="PedBerLab!$I$6" lockText="1"/>
</file>

<file path=xl/ctrlProps/ctrlProp444.xml><?xml version="1.0" encoding="utf-8"?>
<formControlPr xmlns="http://schemas.microsoft.com/office/spreadsheetml/2009/9/main" objectType="CheckBox" fmlaLink="PedBerLab!$L$6" lockText="1"/>
</file>

<file path=xl/ctrlProps/ctrlProp445.xml><?xml version="1.0" encoding="utf-8"?>
<formControlPr xmlns="http://schemas.microsoft.com/office/spreadsheetml/2009/9/main" objectType="CheckBox" fmlaLink="PedBerLab!$C$16" lockText="1"/>
</file>

<file path=xl/ctrlProps/ctrlProp446.xml><?xml version="1.0" encoding="utf-8"?>
<formControlPr xmlns="http://schemas.microsoft.com/office/spreadsheetml/2009/9/main" objectType="CheckBox" fmlaLink="PedBerLab!$G$16" lockText="1"/>
</file>

<file path=xl/ctrlProps/ctrlProp447.xml><?xml version="1.0" encoding="utf-8"?>
<formControlPr xmlns="http://schemas.microsoft.com/office/spreadsheetml/2009/9/main" objectType="CheckBox" fmlaLink="PedBerLab!$I$16" lockText="1"/>
</file>

<file path=xl/ctrlProps/ctrlProp448.xml><?xml version="1.0" encoding="utf-8"?>
<formControlPr xmlns="http://schemas.microsoft.com/office/spreadsheetml/2009/9/main" objectType="CheckBox" fmlaLink="PedBerLab!$L$16" lockText="1"/>
</file>

<file path=xl/ctrlProps/ctrlProp449.xml><?xml version="1.0" encoding="utf-8"?>
<formControlPr xmlns="http://schemas.microsoft.com/office/spreadsheetml/2009/9/main" objectType="CheckBox" fmlaLink="PedBerLab!$E$4" lockText="1"/>
</file>

<file path=xl/ctrlProps/ctrlProp450.xml><?xml version="1.0" encoding="utf-8"?>
<formControlPr xmlns="http://schemas.microsoft.com/office/spreadsheetml/2009/9/main" objectType="CheckBox" fmlaLink="PedBerLab!$E$5" lockText="1"/>
</file>

<file path=xl/ctrlProps/ctrlProp451.xml><?xml version="1.0" encoding="utf-8"?>
<formControlPr xmlns="http://schemas.microsoft.com/office/spreadsheetml/2009/9/main" objectType="CheckBox" fmlaLink="PedBerLab!$E$7" lockText="1"/>
</file>

<file path=xl/ctrlProps/ctrlProp452.xml><?xml version="1.0" encoding="utf-8"?>
<formControlPr xmlns="http://schemas.microsoft.com/office/spreadsheetml/2009/9/main" objectType="CheckBox" fmlaLink="PedBerLab!$E$8" lockText="1"/>
</file>

<file path=xl/ctrlProps/ctrlProp453.xml><?xml version="1.0" encoding="utf-8"?>
<formControlPr xmlns="http://schemas.microsoft.com/office/spreadsheetml/2009/9/main" objectType="CheckBox" fmlaLink="PedBerLab!$E$13" lockText="1"/>
</file>

<file path=xl/ctrlProps/ctrlProp454.xml><?xml version="1.0" encoding="utf-8"?>
<formControlPr xmlns="http://schemas.microsoft.com/office/spreadsheetml/2009/9/main" objectType="CheckBox" fmlaLink="PedBerLab!$E$12" lockText="1"/>
</file>

<file path=xl/ctrlProps/ctrlProp455.xml><?xml version="1.0" encoding="utf-8"?>
<formControlPr xmlns="http://schemas.microsoft.com/office/spreadsheetml/2009/9/main" objectType="CheckBox" fmlaLink="PedBerLab!$E$30" lockText="1"/>
</file>

<file path=xl/ctrlProps/ctrlProp456.xml><?xml version="1.0" encoding="utf-8"?>
<formControlPr xmlns="http://schemas.microsoft.com/office/spreadsheetml/2009/9/main" objectType="CheckBox" fmlaLink="PedBerLab!$E$15" lockText="1"/>
</file>

<file path=xl/ctrlProps/ctrlProp457.xml><?xml version="1.0" encoding="utf-8"?>
<formControlPr xmlns="http://schemas.microsoft.com/office/spreadsheetml/2009/9/main" objectType="CheckBox" fmlaLink="PedBerLab!$E$18" lockText="1"/>
</file>

<file path=xl/ctrlProps/ctrlProp458.xml><?xml version="1.0" encoding="utf-8"?>
<formControlPr xmlns="http://schemas.microsoft.com/office/spreadsheetml/2009/9/main" objectType="CheckBox" fmlaLink="PedBerLab!$E$19" lockText="1"/>
</file>

<file path=xl/ctrlProps/ctrlProp459.xml><?xml version="1.0" encoding="utf-8"?>
<formControlPr xmlns="http://schemas.microsoft.com/office/spreadsheetml/2009/9/main" objectType="CheckBox" fmlaLink="PedBerLab!$E$20" lockText="1"/>
</file>

<file path=xl/ctrlProps/ctrlProp460.xml><?xml version="1.0" encoding="utf-8"?>
<formControlPr xmlns="http://schemas.microsoft.com/office/spreadsheetml/2009/9/main" objectType="CheckBox" fmlaLink="PedBerLab!$E$11" lockText="1"/>
</file>

<file path=xl/ctrlProps/ctrlProp461.xml><?xml version="1.0" encoding="utf-8"?>
<formControlPr xmlns="http://schemas.microsoft.com/office/spreadsheetml/2009/9/main" objectType="CheckBox" fmlaLink="PedBerLab!$E$28" lockText="1"/>
</file>

<file path=xl/ctrlProps/ctrlProp462.xml><?xml version="1.0" encoding="utf-8"?>
<formControlPr xmlns="http://schemas.microsoft.com/office/spreadsheetml/2009/9/main" objectType="CheckBox" fmlaLink="PedBerLab!$E$27" lockText="1"/>
</file>

<file path=xl/ctrlProps/ctrlProp463.xml><?xml version="1.0" encoding="utf-8"?>
<formControlPr xmlns="http://schemas.microsoft.com/office/spreadsheetml/2009/9/main" objectType="CheckBox" fmlaLink="PedBerLab!$E$6" lockText="1"/>
</file>

<file path=xl/ctrlProps/ctrlProp464.xml><?xml version="1.0" encoding="utf-8"?>
<formControlPr xmlns="http://schemas.microsoft.com/office/spreadsheetml/2009/9/main" objectType="CheckBox" fmlaLink="PedBerLab!$E$16" lockText="1"/>
</file>

<file path=xl/ctrlProps/ctrlProp465.xml><?xml version="1.0" encoding="utf-8"?>
<formControlPr xmlns="http://schemas.microsoft.com/office/spreadsheetml/2009/9/main" objectType="CheckBox" fmlaLink="PedBerLab!$C$26" lockText="1"/>
</file>

<file path=xl/ctrlProps/ctrlProp466.xml><?xml version="1.0" encoding="utf-8"?>
<formControlPr xmlns="http://schemas.microsoft.com/office/spreadsheetml/2009/9/main" objectType="CheckBox" fmlaLink="PedBerLab!$G$26" lockText="1"/>
</file>

<file path=xl/ctrlProps/ctrlProp467.xml><?xml version="1.0" encoding="utf-8"?>
<formControlPr xmlns="http://schemas.microsoft.com/office/spreadsheetml/2009/9/main" objectType="CheckBox" fmlaLink="PedBerLab!$I$26" lockText="1"/>
</file>

<file path=xl/ctrlProps/ctrlProp468.xml><?xml version="1.0" encoding="utf-8"?>
<formControlPr xmlns="http://schemas.microsoft.com/office/spreadsheetml/2009/9/main" objectType="CheckBox" fmlaLink="PedBerLab!$L$26" lockText="1"/>
</file>

<file path=xl/ctrlProps/ctrlProp469.xml><?xml version="1.0" encoding="utf-8"?>
<formControlPr xmlns="http://schemas.microsoft.com/office/spreadsheetml/2009/9/main" objectType="CheckBox" fmlaLink="PedBerLab!$E$26" lockText="1"/>
</file>

<file path=xl/ctrlProps/ctrlProp470.xml><?xml version="1.0" encoding="utf-8"?>
<formControlPr xmlns="http://schemas.microsoft.com/office/spreadsheetml/2009/9/main" objectType="CheckBox" fmlaLink="PedBerLab!$C$32" lockText="1"/>
</file>

<file path=xl/ctrlProps/ctrlProp471.xml><?xml version="1.0" encoding="utf-8"?>
<formControlPr xmlns="http://schemas.microsoft.com/office/spreadsheetml/2009/9/main" objectType="CheckBox" fmlaLink="PedBerLab!$G$32" lockText="1"/>
</file>

<file path=xl/ctrlProps/ctrlProp472.xml><?xml version="1.0" encoding="utf-8"?>
<formControlPr xmlns="http://schemas.microsoft.com/office/spreadsheetml/2009/9/main" objectType="CheckBox" fmlaLink="PedBerLab!$I$32" lockText="1"/>
</file>

<file path=xl/ctrlProps/ctrlProp473.xml><?xml version="1.0" encoding="utf-8"?>
<formControlPr xmlns="http://schemas.microsoft.com/office/spreadsheetml/2009/9/main" objectType="CheckBox" fmlaLink="PedBerLab!$L$32" lockText="1"/>
</file>

<file path=xl/ctrlProps/ctrlProp474.xml><?xml version="1.0" encoding="utf-8"?>
<formControlPr xmlns="http://schemas.microsoft.com/office/spreadsheetml/2009/9/main" objectType="CheckBox" fmlaLink="PedBerLab!$E$32" lockText="1"/>
</file>

<file path=xl/ctrlProps/ctrlProp475.xml><?xml version="1.0" encoding="utf-8"?>
<formControlPr xmlns="http://schemas.microsoft.com/office/spreadsheetml/2009/9/main" objectType="CheckBox" fmlaLink="PedBerLab!$C$9" lockText="1"/>
</file>

<file path=xl/ctrlProps/ctrlProp476.xml><?xml version="1.0" encoding="utf-8"?>
<formControlPr xmlns="http://schemas.microsoft.com/office/spreadsheetml/2009/9/main" objectType="CheckBox" fmlaLink="PedBerLab!$G$9" lockText="1"/>
</file>

<file path=xl/ctrlProps/ctrlProp477.xml><?xml version="1.0" encoding="utf-8"?>
<formControlPr xmlns="http://schemas.microsoft.com/office/spreadsheetml/2009/9/main" objectType="CheckBox" fmlaLink="PedBerLab!$I$9" lockText="1"/>
</file>

<file path=xl/ctrlProps/ctrlProp478.xml><?xml version="1.0" encoding="utf-8"?>
<formControlPr xmlns="http://schemas.microsoft.com/office/spreadsheetml/2009/9/main" objectType="CheckBox" fmlaLink="PedBerLab!$L$9" lockText="1"/>
</file>

<file path=xl/ctrlProps/ctrlProp479.xml><?xml version="1.0" encoding="utf-8"?>
<formControlPr xmlns="http://schemas.microsoft.com/office/spreadsheetml/2009/9/main" objectType="CheckBox" fmlaLink="PedBerLab!$E$9" lockText="1"/>
</file>

<file path=xl/ctrlProps/ctrlProp480.xml><?xml version="1.0" encoding="utf-8"?>
<formControlPr xmlns="http://schemas.microsoft.com/office/spreadsheetml/2009/9/main" objectType="CheckBox" fmlaLink="PedBerLab!$C$10" lockText="1"/>
</file>

<file path=xl/ctrlProps/ctrlProp481.xml><?xml version="1.0" encoding="utf-8"?>
<formControlPr xmlns="http://schemas.microsoft.com/office/spreadsheetml/2009/9/main" objectType="CheckBox" fmlaLink="PedBerLab!$G$10" lockText="1"/>
</file>

<file path=xl/ctrlProps/ctrlProp482.xml><?xml version="1.0" encoding="utf-8"?>
<formControlPr xmlns="http://schemas.microsoft.com/office/spreadsheetml/2009/9/main" objectType="CheckBox" fmlaLink="PedBerLab!$I$10" lockText="1"/>
</file>

<file path=xl/ctrlProps/ctrlProp483.xml><?xml version="1.0" encoding="utf-8"?>
<formControlPr xmlns="http://schemas.microsoft.com/office/spreadsheetml/2009/9/main" objectType="CheckBox" fmlaLink="PedBerLab!$L$10" lockText="1"/>
</file>

<file path=xl/ctrlProps/ctrlProp484.xml><?xml version="1.0" encoding="utf-8"?>
<formControlPr xmlns="http://schemas.microsoft.com/office/spreadsheetml/2009/9/main" objectType="CheckBox" fmlaLink="PedBerLab!$E$10" lockText="1"/>
</file>

<file path=xl/ctrlProps/ctrlProp485.xml><?xml version="1.0" encoding="utf-8"?>
<formControlPr xmlns="http://schemas.microsoft.com/office/spreadsheetml/2009/9/main" objectType="CheckBox" fmlaLink="PedBerLab!$C$14" lockText="1"/>
</file>

<file path=xl/ctrlProps/ctrlProp486.xml><?xml version="1.0" encoding="utf-8"?>
<formControlPr xmlns="http://schemas.microsoft.com/office/spreadsheetml/2009/9/main" objectType="CheckBox" fmlaLink="PedBerLab!$G$14" lockText="1"/>
</file>

<file path=xl/ctrlProps/ctrlProp487.xml><?xml version="1.0" encoding="utf-8"?>
<formControlPr xmlns="http://schemas.microsoft.com/office/spreadsheetml/2009/9/main" objectType="CheckBox" fmlaLink="PedBerLab!$I$14" lockText="1"/>
</file>

<file path=xl/ctrlProps/ctrlProp488.xml><?xml version="1.0" encoding="utf-8"?>
<formControlPr xmlns="http://schemas.microsoft.com/office/spreadsheetml/2009/9/main" objectType="CheckBox" fmlaLink="PedBerLab!$L$14" lockText="1"/>
</file>

<file path=xl/ctrlProps/ctrlProp489.xml><?xml version="1.0" encoding="utf-8"?>
<formControlPr xmlns="http://schemas.microsoft.com/office/spreadsheetml/2009/9/main" objectType="CheckBox" fmlaLink="PedBerLab!$E$14" lockText="1"/>
</file>

<file path=xl/ctrlProps/ctrlProp490.xml><?xml version="1.0" encoding="utf-8"?>
<formControlPr xmlns="http://schemas.microsoft.com/office/spreadsheetml/2009/9/main" objectType="CheckBox" fmlaLink="PedBerLab!$C$21" lockText="1"/>
</file>

<file path=xl/ctrlProps/ctrlProp491.xml><?xml version="1.0" encoding="utf-8"?>
<formControlPr xmlns="http://schemas.microsoft.com/office/spreadsheetml/2009/9/main" objectType="CheckBox" fmlaLink="PedBerLab!$G$21" lockText="1"/>
</file>

<file path=xl/ctrlProps/ctrlProp492.xml><?xml version="1.0" encoding="utf-8"?>
<formControlPr xmlns="http://schemas.microsoft.com/office/spreadsheetml/2009/9/main" objectType="CheckBox" fmlaLink="PedBerLab!$I$21" lockText="1"/>
</file>

<file path=xl/ctrlProps/ctrlProp493.xml><?xml version="1.0" encoding="utf-8"?>
<formControlPr xmlns="http://schemas.microsoft.com/office/spreadsheetml/2009/9/main" objectType="CheckBox" fmlaLink="PedBerLab!$L$21" lockText="1"/>
</file>

<file path=xl/ctrlProps/ctrlProp494.xml><?xml version="1.0" encoding="utf-8"?>
<formControlPr xmlns="http://schemas.microsoft.com/office/spreadsheetml/2009/9/main" objectType="CheckBox" fmlaLink="PedBerLab!$E$21" lockText="1"/>
</file>

<file path=xl/ctrlProps/ctrlProp495.xml><?xml version="1.0" encoding="utf-8"?>
<formControlPr xmlns="http://schemas.microsoft.com/office/spreadsheetml/2009/9/main" objectType="CheckBox" fmlaLink="PedBerLab!$C$22" lockText="1"/>
</file>

<file path=xl/ctrlProps/ctrlProp496.xml><?xml version="1.0" encoding="utf-8"?>
<formControlPr xmlns="http://schemas.microsoft.com/office/spreadsheetml/2009/9/main" objectType="CheckBox" fmlaLink="PedBerLab!$G$22" lockText="1"/>
</file>

<file path=xl/ctrlProps/ctrlProp497.xml><?xml version="1.0" encoding="utf-8"?>
<formControlPr xmlns="http://schemas.microsoft.com/office/spreadsheetml/2009/9/main" objectType="CheckBox" fmlaLink="PedBerLab!$I$22" lockText="1"/>
</file>

<file path=xl/ctrlProps/ctrlProp498.xml><?xml version="1.0" encoding="utf-8"?>
<formControlPr xmlns="http://schemas.microsoft.com/office/spreadsheetml/2009/9/main" objectType="CheckBox" fmlaLink="PedBerLab!$L$22" lockText="1"/>
</file>

<file path=xl/ctrlProps/ctrlProp499.xml><?xml version="1.0" encoding="utf-8"?>
<formControlPr xmlns="http://schemas.microsoft.com/office/spreadsheetml/2009/9/main" objectType="CheckBox" fmlaLink="PedBerLab!$E$22" lockText="1"/>
</file>

<file path=xl/ctrlProps/ctrlProp500.xml><?xml version="1.0" encoding="utf-8"?>
<formControlPr xmlns="http://schemas.microsoft.com/office/spreadsheetml/2009/9/main" objectType="CheckBox" fmlaLink="PedBerLab!$C$23" lockText="1"/>
</file>

<file path=xl/ctrlProps/ctrlProp501.xml><?xml version="1.0" encoding="utf-8"?>
<formControlPr xmlns="http://schemas.microsoft.com/office/spreadsheetml/2009/9/main" objectType="CheckBox" fmlaLink="PedBerLab!$G$23" lockText="1"/>
</file>

<file path=xl/ctrlProps/ctrlProp502.xml><?xml version="1.0" encoding="utf-8"?>
<formControlPr xmlns="http://schemas.microsoft.com/office/spreadsheetml/2009/9/main" objectType="CheckBox" fmlaLink="PedBerLab!$I$23" lockText="1"/>
</file>

<file path=xl/ctrlProps/ctrlProp503.xml><?xml version="1.0" encoding="utf-8"?>
<formControlPr xmlns="http://schemas.microsoft.com/office/spreadsheetml/2009/9/main" objectType="CheckBox" fmlaLink="PedBerLab!$L$23" lockText="1"/>
</file>

<file path=xl/ctrlProps/ctrlProp504.xml><?xml version="1.0" encoding="utf-8"?>
<formControlPr xmlns="http://schemas.microsoft.com/office/spreadsheetml/2009/9/main" objectType="CheckBox" fmlaLink="PedBerLab!$E$23" lockText="1"/>
</file>

<file path=xl/ctrlProps/ctrlProp505.xml><?xml version="1.0" encoding="utf-8"?>
<formControlPr xmlns="http://schemas.microsoft.com/office/spreadsheetml/2009/9/main" objectType="CheckBox" fmlaLink="PedBerLab!$C$24" lockText="1"/>
</file>

<file path=xl/ctrlProps/ctrlProp506.xml><?xml version="1.0" encoding="utf-8"?>
<formControlPr xmlns="http://schemas.microsoft.com/office/spreadsheetml/2009/9/main" objectType="CheckBox" fmlaLink="PedBerLab!$G$24" lockText="1"/>
</file>

<file path=xl/ctrlProps/ctrlProp507.xml><?xml version="1.0" encoding="utf-8"?>
<formControlPr xmlns="http://schemas.microsoft.com/office/spreadsheetml/2009/9/main" objectType="CheckBox" fmlaLink="PedBerLab!$I$24" lockText="1"/>
</file>

<file path=xl/ctrlProps/ctrlProp508.xml><?xml version="1.0" encoding="utf-8"?>
<formControlPr xmlns="http://schemas.microsoft.com/office/spreadsheetml/2009/9/main" objectType="CheckBox" fmlaLink="PedBerLab!$L$24" lockText="1"/>
</file>

<file path=xl/ctrlProps/ctrlProp509.xml><?xml version="1.0" encoding="utf-8"?>
<formControlPr xmlns="http://schemas.microsoft.com/office/spreadsheetml/2009/9/main" objectType="CheckBox" fmlaLink="PedBerLab!$E$24" lockText="1"/>
</file>

<file path=xl/ctrlProps/ctrlProp510.xml><?xml version="1.0" encoding="utf-8"?>
<formControlPr xmlns="http://schemas.microsoft.com/office/spreadsheetml/2009/9/main" objectType="CheckBox" fmlaLink="PedBerLab!$C$25" lockText="1"/>
</file>

<file path=xl/ctrlProps/ctrlProp511.xml><?xml version="1.0" encoding="utf-8"?>
<formControlPr xmlns="http://schemas.microsoft.com/office/spreadsheetml/2009/9/main" objectType="CheckBox" fmlaLink="PedBerLab!$G$25" lockText="1"/>
</file>

<file path=xl/ctrlProps/ctrlProp512.xml><?xml version="1.0" encoding="utf-8"?>
<formControlPr xmlns="http://schemas.microsoft.com/office/spreadsheetml/2009/9/main" objectType="CheckBox" fmlaLink="PedBerLab!$I$25" lockText="1"/>
</file>

<file path=xl/ctrlProps/ctrlProp513.xml><?xml version="1.0" encoding="utf-8"?>
<formControlPr xmlns="http://schemas.microsoft.com/office/spreadsheetml/2009/9/main" objectType="CheckBox" fmlaLink="PedBerLab!$L$25" lockText="1"/>
</file>

<file path=xl/ctrlProps/ctrlProp514.xml><?xml version="1.0" encoding="utf-8"?>
<formControlPr xmlns="http://schemas.microsoft.com/office/spreadsheetml/2009/9/main" objectType="CheckBox" fmlaLink="PedBerLab!$E$25" lockText="1"/>
</file>

<file path=xl/ctrlProps/ctrlProp515.xml><?xml version="1.0" encoding="utf-8"?>
<formControlPr xmlns="http://schemas.microsoft.com/office/spreadsheetml/2009/9/main" objectType="CheckBox" fmlaLink="PedBerLab!$C$29" lockText="1"/>
</file>

<file path=xl/ctrlProps/ctrlProp516.xml><?xml version="1.0" encoding="utf-8"?>
<formControlPr xmlns="http://schemas.microsoft.com/office/spreadsheetml/2009/9/main" objectType="CheckBox" fmlaLink="PedBerLab!$G$29" lockText="1"/>
</file>

<file path=xl/ctrlProps/ctrlProp517.xml><?xml version="1.0" encoding="utf-8"?>
<formControlPr xmlns="http://schemas.microsoft.com/office/spreadsheetml/2009/9/main" objectType="CheckBox" fmlaLink="PedBerLab!$I$29" lockText="1"/>
</file>

<file path=xl/ctrlProps/ctrlProp518.xml><?xml version="1.0" encoding="utf-8"?>
<formControlPr xmlns="http://schemas.microsoft.com/office/spreadsheetml/2009/9/main" objectType="CheckBox" fmlaLink="PedBerLab!$L$29" lockText="1"/>
</file>

<file path=xl/ctrlProps/ctrlProp519.xml><?xml version="1.0" encoding="utf-8"?>
<formControlPr xmlns="http://schemas.microsoft.com/office/spreadsheetml/2009/9/main" objectType="CheckBox" fmlaLink="PedBerLab!$E$29" lockText="1"/>
</file>

<file path=xl/ctrlProps/ctrlProp520.xml><?xml version="1.0" encoding="utf-8"?>
<formControlPr xmlns="http://schemas.microsoft.com/office/spreadsheetml/2009/9/main" objectType="CheckBox" fmlaLink="PedBerLab!$C$17" lockText="1"/>
</file>

<file path=xl/ctrlProps/ctrlProp521.xml><?xml version="1.0" encoding="utf-8"?>
<formControlPr xmlns="http://schemas.microsoft.com/office/spreadsheetml/2009/9/main" objectType="CheckBox" fmlaLink="PedBerLab!$G$17" lockText="1"/>
</file>

<file path=xl/ctrlProps/ctrlProp522.xml><?xml version="1.0" encoding="utf-8"?>
<formControlPr xmlns="http://schemas.microsoft.com/office/spreadsheetml/2009/9/main" objectType="CheckBox" fmlaLink="PedBerLab!$I$17" lockText="1"/>
</file>

<file path=xl/ctrlProps/ctrlProp523.xml><?xml version="1.0" encoding="utf-8"?>
<formControlPr xmlns="http://schemas.microsoft.com/office/spreadsheetml/2009/9/main" objectType="CheckBox" fmlaLink="PedBerLab!$L$17" lockText="1"/>
</file>

<file path=xl/ctrlProps/ctrlProp524.xml><?xml version="1.0" encoding="utf-8"?>
<formControlPr xmlns="http://schemas.microsoft.com/office/spreadsheetml/2009/9/main" objectType="CheckBox" fmlaLink="PedBerLab!$E$17" lockText="1"/>
</file>

<file path=xl/ctrlProps/ctrlProp525.xml><?xml version="1.0" encoding="utf-8"?>
<formControlPr xmlns="http://schemas.microsoft.com/office/spreadsheetml/2009/9/main" objectType="CheckBox" fmlaLink="PedBerLab!$C$31" lockText="1"/>
</file>

<file path=xl/ctrlProps/ctrlProp526.xml><?xml version="1.0" encoding="utf-8"?>
<formControlPr xmlns="http://schemas.microsoft.com/office/spreadsheetml/2009/9/main" objectType="CheckBox" fmlaLink="PedBerLab!$G$31" lockText="1"/>
</file>

<file path=xl/ctrlProps/ctrlProp527.xml><?xml version="1.0" encoding="utf-8"?>
<formControlPr xmlns="http://schemas.microsoft.com/office/spreadsheetml/2009/9/main" objectType="CheckBox" fmlaLink="PedBerLab!$I$31" lockText="1"/>
</file>

<file path=xl/ctrlProps/ctrlProp528.xml><?xml version="1.0" encoding="utf-8"?>
<formControlPr xmlns="http://schemas.microsoft.com/office/spreadsheetml/2009/9/main" objectType="CheckBox" fmlaLink="PedBerLab!$L$31" lockText="1"/>
</file>

<file path=xl/ctrlProps/ctrlProp529.xml><?xml version="1.0" encoding="utf-8"?>
<formControlPr xmlns="http://schemas.microsoft.com/office/spreadsheetml/2009/9/main" objectType="CheckBox" fmlaLink="PedBerLab!$E$31" lockText="1"/>
</file>

<file path=xl/ctrlProps/ctrlProp530.xml><?xml version="1.0" encoding="utf-8"?>
<formControlPr xmlns="http://schemas.microsoft.com/office/spreadsheetml/2009/9/main" objectType="CheckBox" fmlaLink="PedBerLab!C35" lockText="1"/>
</file>

<file path=xl/ctrlProps/ctrlProp531.xml><?xml version="1.0" encoding="utf-8"?>
<formControlPr xmlns="http://schemas.microsoft.com/office/spreadsheetml/2009/9/main" objectType="CheckBox" fmlaLink="PedBerLab!$C$33" lockText="1"/>
</file>

<file path=xl/ctrlProps/ctrlProp532.xml><?xml version="1.0" encoding="utf-8"?>
<formControlPr xmlns="http://schemas.microsoft.com/office/spreadsheetml/2009/9/main" objectType="CheckBox" fmlaLink="PedBerLab!$G$33" lockText="1"/>
</file>

<file path=xl/ctrlProps/ctrlProp533.xml><?xml version="1.0" encoding="utf-8"?>
<formControlPr xmlns="http://schemas.microsoft.com/office/spreadsheetml/2009/9/main" objectType="CheckBox" fmlaLink="PedBerLab!$I$33" lockText="1"/>
</file>

<file path=xl/ctrlProps/ctrlProp534.xml><?xml version="1.0" encoding="utf-8"?>
<formControlPr xmlns="http://schemas.microsoft.com/office/spreadsheetml/2009/9/main" objectType="CheckBox" fmlaLink="PedBerLab!$L$33" lockText="1"/>
</file>

<file path=xl/ctrlProps/ctrlProp535.xml><?xml version="1.0" encoding="utf-8"?>
<formControlPr xmlns="http://schemas.microsoft.com/office/spreadsheetml/2009/9/main" objectType="CheckBox" fmlaLink="PedBerLab!$E$33" lockText="1"/>
</file>

<file path=xl/ctrlProps/ctrlProp536.xml><?xml version="1.0" encoding="utf-8"?>
<formControlPr xmlns="http://schemas.microsoft.com/office/spreadsheetml/2009/9/main" objectType="CheckBox" fmlaLink="PedBerLab!$C$34" lockText="1"/>
</file>

<file path=xl/ctrlProps/ctrlProp537.xml><?xml version="1.0" encoding="utf-8"?>
<formControlPr xmlns="http://schemas.microsoft.com/office/spreadsheetml/2009/9/main" objectType="CheckBox" fmlaLink="PedBerLab!$G$34" lockText="1"/>
</file>

<file path=xl/ctrlProps/ctrlProp538.xml><?xml version="1.0" encoding="utf-8"?>
<formControlPr xmlns="http://schemas.microsoft.com/office/spreadsheetml/2009/9/main" objectType="CheckBox" fmlaLink="PedBerLab!$I$34" lockText="1"/>
</file>

<file path=xl/ctrlProps/ctrlProp539.xml><?xml version="1.0" encoding="utf-8"?>
<formControlPr xmlns="http://schemas.microsoft.com/office/spreadsheetml/2009/9/main" objectType="CheckBox" fmlaLink="PedBerLab!L34" lockText="1"/>
</file>

<file path=xl/ctrlProps/ctrlProp540.xml><?xml version="1.0" encoding="utf-8"?>
<formControlPr xmlns="http://schemas.microsoft.com/office/spreadsheetml/2009/9/main" objectType="CheckBox" fmlaLink="PedBerLab!$E$34" lockText="1"/>
</file>

<file path=xl/ctrlProps/ctrlProp541.xml><?xml version="1.0" encoding="utf-8"?>
<formControlPr xmlns="http://schemas.microsoft.com/office/spreadsheetml/2009/9/main" objectType="CheckBox" fmlaLink="PedBerAfspr!$F$7" lockText="1"/>
</file>

<file path=xl/ctrlProps/ctrlProp542.xml><?xml version="1.0" encoding="utf-8"?>
<formControlPr xmlns="http://schemas.microsoft.com/office/spreadsheetml/2009/9/main" objectType="CheckBox" fmlaLink="PedBerAfspr!$F$8" lockText="1"/>
</file>

<file path=xl/ctrlProps/ctrlProp543.xml><?xml version="1.0" encoding="utf-8"?>
<formControlPr xmlns="http://schemas.microsoft.com/office/spreadsheetml/2009/9/main" objectType="Spin" dx="15" fmlaLink="PedBerAfspr!$B$12" max="24" page="10" val="0"/>
</file>

<file path=xl/ctrlProps/ctrlProp544.xml><?xml version="1.0" encoding="utf-8"?>
<formControlPr xmlns="http://schemas.microsoft.com/office/spreadsheetml/2009/9/main" objectType="CheckBox" fmlaLink="PedBerAfspr!$B$22" lockText="1"/>
</file>

<file path=xl/ctrlProps/ctrlProp545.xml><?xml version="1.0" encoding="utf-8"?>
<formControlPr xmlns="http://schemas.microsoft.com/office/spreadsheetml/2009/9/main" objectType="CheckBox" fmlaLink="PedBerAfspr!$B$23" lockText="1"/>
</file>

<file path=xl/ctrlProps/ctrlProp546.xml><?xml version="1.0" encoding="utf-8"?>
<formControlPr xmlns="http://schemas.microsoft.com/office/spreadsheetml/2009/9/main" objectType="CheckBox" fmlaLink="PedBerAfspr!$B$27" lockText="1"/>
</file>

<file path=xl/ctrlProps/ctrlProp547.xml><?xml version="1.0" encoding="utf-8"?>
<formControlPr xmlns="http://schemas.microsoft.com/office/spreadsheetml/2009/9/main" objectType="Drop" dropStyle="combo" dx="16" fmlaLink="PedBerAfspr!$D$27" fmlaRange="tbl_Ped_DrainLokatie" noThreeD="1" sel="1" val="0"/>
</file>

<file path=xl/ctrlProps/ctrlProp548.xml><?xml version="1.0" encoding="utf-8"?>
<formControlPr xmlns="http://schemas.microsoft.com/office/spreadsheetml/2009/9/main" objectType="Drop" dropStyle="combo" dx="16" fmlaLink="PedBerAfspr!$D$28" fmlaRange="tbl_Ped_DrainModus" noThreeD="1" sel="1" val="0"/>
</file>

<file path=xl/ctrlProps/ctrlProp549.xml><?xml version="1.0" encoding="utf-8"?>
<formControlPr xmlns="http://schemas.microsoft.com/office/spreadsheetml/2009/9/main" objectType="CheckBox" fmlaLink="PedBerAfspr!$B$30" lockText="1"/>
</file>

<file path=xl/ctrlProps/ctrlProp550.xml><?xml version="1.0" encoding="utf-8"?>
<formControlPr xmlns="http://schemas.microsoft.com/office/spreadsheetml/2009/9/main" objectType="Drop" dropStyle="combo" dx="16" fmlaLink="PedBerAfspr!$D$30" fmlaRange="tbl_Ped_DrainLokatie" noThreeD="1" sel="1" val="0"/>
</file>

<file path=xl/ctrlProps/ctrlProp551.xml><?xml version="1.0" encoding="utf-8"?>
<formControlPr xmlns="http://schemas.microsoft.com/office/spreadsheetml/2009/9/main" objectType="Drop" dropStyle="combo" dx="16" fmlaLink="PedBerAfspr!$D$31" fmlaRange="tbl_Ped_DrainModus" noThreeD="1" sel="1" val="0"/>
</file>

<file path=xl/ctrlProps/ctrlProp552.xml><?xml version="1.0" encoding="utf-8"?>
<formControlPr xmlns="http://schemas.microsoft.com/office/spreadsheetml/2009/9/main" objectType="CheckBox" fmlaLink="PedBerAfspr!$B$7" lockText="1"/>
</file>

<file path=xl/ctrlProps/ctrlProp553.xml><?xml version="1.0" encoding="utf-8"?>
<formControlPr xmlns="http://schemas.microsoft.com/office/spreadsheetml/2009/9/main" objectType="CheckBox" fmlaLink="PedBerAfspr!$B$8" lockText="1"/>
</file>

<file path=xl/ctrlProps/ctrlProp554.xml><?xml version="1.0" encoding="utf-8"?>
<formControlPr xmlns="http://schemas.microsoft.com/office/spreadsheetml/2009/9/main" objectType="CheckBox" fmlaLink="PedBerAfspr!$B$21" lockText="1"/>
</file>

<file path=xl/ctrlProps/ctrlProp555.xml><?xml version="1.0" encoding="utf-8"?>
<formControlPr xmlns="http://schemas.microsoft.com/office/spreadsheetml/2009/9/main" objectType="CheckBox" fmlaLink="PedBerAfspr!$B$11" lockText="1"/>
</file>

<file path=xl/ctrlProps/ctrlProp556.xml><?xml version="1.0" encoding="utf-8"?>
<formControlPr xmlns="http://schemas.microsoft.com/office/spreadsheetml/2009/9/main" objectType="CheckBox" fmlaLink="PedBerAfspr!$B$15" lockText="1"/>
</file>

<file path=xl/ctrlProps/ctrlProp557.xml><?xml version="1.0" encoding="utf-8"?>
<formControlPr xmlns="http://schemas.microsoft.com/office/spreadsheetml/2009/9/main" objectType="CheckBox" fmlaLink="PedBerAfspr!$B$16" lockText="1"/>
</file>

<file path=xl/ctrlProps/ctrlProp558.xml><?xml version="1.0" encoding="utf-8"?>
<formControlPr xmlns="http://schemas.microsoft.com/office/spreadsheetml/2009/9/main" objectType="CheckBox" fmlaLink="PedBerAfspr!$B$17" lockText="1"/>
</file>

<file path=xl/ctrlProps/ctrlProp559.xml><?xml version="1.0" encoding="utf-8"?>
<formControlPr xmlns="http://schemas.microsoft.com/office/spreadsheetml/2009/9/main" objectType="CheckBox" fmlaLink="PedBerAfspr!$D$11" lockText="1"/>
</file>

<file path=xl/ctrlProps/ctrlProp560.xml><?xml version="1.0" encoding="utf-8"?>
<formControlPr xmlns="http://schemas.microsoft.com/office/spreadsheetml/2009/9/main" objectType="CheckBox" fmlaLink="PedBerAfspr!$D$12" lockText="1"/>
</file>

<file path=xl/ctrlProps/ctrlProp561.xml><?xml version="1.0" encoding="utf-8"?>
<formControlPr xmlns="http://schemas.microsoft.com/office/spreadsheetml/2009/9/main" objectType="CheckBox" fmlaLink="PedBerAfspr!$D$13" lockText="1"/>
</file>

<file path=xl/ctrlProps/ctrlProp562.xml><?xml version="1.0" encoding="utf-8"?>
<formControlPr xmlns="http://schemas.microsoft.com/office/spreadsheetml/2009/9/main" objectType="CheckBox" fmlaLink="PedBerAfspr!$D$14" lockText="1"/>
</file>

<file path=xl/ctrlProps/ctrlProp563.xml><?xml version="1.0" encoding="utf-8"?>
<formControlPr xmlns="http://schemas.microsoft.com/office/spreadsheetml/2009/9/main" objectType="CheckBox" fmlaLink="PedBerAfspr!$B$20" lockText="1"/>
</file>

<file path=xl/ctrlProps/ctrlProp564.xml><?xml version="1.0" encoding="utf-8"?>
<formControlPr xmlns="http://schemas.microsoft.com/office/spreadsheetml/2009/9/main" objectType="CheckBox" fmlaLink="PedBerAfspr!$B$9" lockText="1"/>
</file>

<file path=xl/ctrlProps/ctrlProp565.xml><?xml version="1.0" encoding="utf-8"?>
<formControlPr xmlns="http://schemas.microsoft.com/office/spreadsheetml/2009/9/main" objectType="Spin" dx="15" fmlaLink="PedBerAfspr!$C$7" max="10" page="10" val="0"/>
</file>

<file path=xl/ctrlProps/ctrlProp566.xml><?xml version="1.0" encoding="utf-8"?>
<formControlPr xmlns="http://schemas.microsoft.com/office/spreadsheetml/2009/9/main" objectType="Spin" dx="15" fmlaLink="PedBerAfspr!$C$8" max="10" page="10" val="0"/>
</file>

<file path=xl/ctrlProps/ctrlProp567.xml><?xml version="1.0" encoding="utf-8"?>
<formControlPr xmlns="http://schemas.microsoft.com/office/spreadsheetml/2009/9/main" objectType="Spin" dx="15" fmlaLink="PedBerAfspr!$C$9" max="10" page="10" val="0"/>
</file>

<file path=xl/ctrlProps/ctrlProp568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69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0.xml><?xml version="1.0" encoding="utf-8"?>
<formControlPr xmlns="http://schemas.microsoft.com/office/spreadsheetml/2009/9/main" objectType="Drop" dropStyle="combo" dx="16" fmlaLink="PedBerAfspr!$D$9" fmlaRange="tbl_Ped_Periode" noThreeD="1" sel="1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29" fmlaRange="tbl_Ped_DrainZuig" noThreeD="1" sel="1" val="0"/>
</file>

<file path=xl/ctrlProps/ctrlProp574.xml><?xml version="1.0" encoding="utf-8"?>
<formControlPr xmlns="http://schemas.microsoft.com/office/spreadsheetml/2009/9/main" objectType="Drop" dropStyle="combo" dx="16" fmlaLink="PedBerAfspr!$D$32" fmlaRange="tbl_Ped_DrainZuig" noThreeD="1" sel="1" val="0"/>
</file>

<file path=xl/ctrlProps/ctrlProp575.xml><?xml version="1.0" encoding="utf-8"?>
<formControlPr xmlns="http://schemas.microsoft.com/office/spreadsheetml/2009/9/main" objectType="CheckBox" fmlaLink="PedBerAfspr!$B$33" lockText="1"/>
</file>

<file path=xl/ctrlProps/ctrlProp576.xml><?xml version="1.0" encoding="utf-8"?>
<formControlPr xmlns="http://schemas.microsoft.com/office/spreadsheetml/2009/9/main" objectType="Drop" dropStyle="combo" dx="16" fmlaLink="PedBerAfspr!$D$33" fmlaRange="tbl_Ped_DrainLokatie" noThreeD="1" sel="1" val="0"/>
</file>

<file path=xl/ctrlProps/ctrlProp577.xml><?xml version="1.0" encoding="utf-8"?>
<formControlPr xmlns="http://schemas.microsoft.com/office/spreadsheetml/2009/9/main" objectType="Drop" dropStyle="combo" dx="16" fmlaLink="PedBerAfspr!$D$34" fmlaRange="tbl_Ped_DrainModus" noThreeD="1" sel="1" val="0"/>
</file>

<file path=xl/ctrlProps/ctrlProp578.xml><?xml version="1.0" encoding="utf-8"?>
<formControlPr xmlns="http://schemas.microsoft.com/office/spreadsheetml/2009/9/main" objectType="Drop" dropStyle="combo" dx="16" fmlaLink="PedBerAfspr!$D$35" fmlaRange="tbl_Ped_DrainZuig" noThreeD="1" sel="1" val="0"/>
</file>

<file path=xl/ctrlProps/ctrlProp579.xml><?xml version="1.0" encoding="utf-8"?>
<formControlPr xmlns="http://schemas.microsoft.com/office/spreadsheetml/2009/9/main" objectType="CheckBox" fmlaLink="PedBerAfspr!$B$36" lockText="1"/>
</file>

<file path=xl/ctrlProps/ctrlProp580.xml><?xml version="1.0" encoding="utf-8"?>
<formControlPr xmlns="http://schemas.microsoft.com/office/spreadsheetml/2009/9/main" objectType="CheckBox" fmlaLink="PedBerAfspr!$B$38" lockText="1"/>
</file>

<file path=xl/ctrlProps/ctrlProp581.xml><?xml version="1.0" encoding="utf-8"?>
<formControlPr xmlns="http://schemas.microsoft.com/office/spreadsheetml/2009/9/main" objectType="CheckBox" fmlaLink="PedBerAfspr!$B$37" lockText="1"/>
</file>

<file path=xl/ctrlProps/ctrlProp582.xml><?xml version="1.0" encoding="utf-8"?>
<formControlPr xmlns="http://schemas.microsoft.com/office/spreadsheetml/2009/9/main" objectType="CheckBox" fmlaLink="PedBerAfspr!$D$36" lockText="1"/>
</file>

<file path=xl/ctrlProps/ctrlProp583.xml><?xml version="1.0" encoding="utf-8"?>
<formControlPr xmlns="http://schemas.microsoft.com/office/spreadsheetml/2009/9/main" objectType="CheckBox" fmlaLink="PedBerAfspr!$D$37" lockText="1"/>
</file>

<file path=xl/ctrlProps/ctrlProp584.xml><?xml version="1.0" encoding="utf-8"?>
<formControlPr xmlns="http://schemas.microsoft.com/office/spreadsheetml/2009/9/main" objectType="CheckBox" fmlaLink="PedBerAfspr!$D$38" lockText="1"/>
</file>

<file path=xl/ctrlProps/ctrlProp585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86.xml><?xml version="1.0" encoding="utf-8"?>
<formControlPr xmlns="http://schemas.microsoft.com/office/spreadsheetml/2009/9/main" objectType="Spin" dx="15" fmlaLink="PedBerAfspr!$D$40" max="100" page="10" val="0"/>
</file>

<file path=xl/ctrlProps/ctrlProp587.xml><?xml version="1.0" encoding="utf-8"?>
<formControlPr xmlns="http://schemas.microsoft.com/office/spreadsheetml/2009/9/main" objectType="CheckBox" fmlaLink="PedBerAfspr!$B$39" lockText="1"/>
</file>

<file path=xl/ctrlProps/ctrlProp588.xml><?xml version="1.0" encoding="utf-8"?>
<formControlPr xmlns="http://schemas.microsoft.com/office/spreadsheetml/2009/9/main" objectType="CheckBox" fmlaLink="PedBerAfspr!$F$9" lockText="1"/>
</file>

<file path=xl/ctrlProps/ctrlProp589.xml><?xml version="1.0" encoding="utf-8"?>
<formControlPr xmlns="http://schemas.microsoft.com/office/spreadsheetml/2009/9/main" objectType="CheckBox" fmlaLink="PedBerAfspr!$F$10" lockText="1"/>
</file>

<file path=xl/ctrlProps/ctrlProp590.xml><?xml version="1.0" encoding="utf-8"?>
<formControlPr xmlns="http://schemas.microsoft.com/office/spreadsheetml/2009/9/main" objectType="CheckBox" fmlaLink="PedBerAfspr!$F$12" lockText="1"/>
</file>

<file path=xl/ctrlProps/ctrlProp591.xml><?xml version="1.0" encoding="utf-8"?>
<formControlPr xmlns="http://schemas.microsoft.com/office/spreadsheetml/2009/9/main" objectType="CheckBox" fmlaLink="PedBerAfspr!$F$13" lockText="1"/>
</file>

<file path=xl/ctrlProps/ctrlProp592.xml><?xml version="1.0" encoding="utf-8"?>
<formControlPr xmlns="http://schemas.microsoft.com/office/spreadsheetml/2009/9/main" objectType="CheckBox" fmlaLink="PedBerAfspr!$F$14" lockText="1"/>
</file>

<file path=xl/ctrlProps/ctrlProp593.xml><?xml version="1.0" encoding="utf-8"?>
<formControlPr xmlns="http://schemas.microsoft.com/office/spreadsheetml/2009/9/main" objectType="CheckBox" fmlaLink="PedBerAfspr!$F$15" lockText="1"/>
</file>

<file path=xl/ctrlProps/ctrlProp594.xml><?xml version="1.0" encoding="utf-8"?>
<formControlPr xmlns="http://schemas.microsoft.com/office/spreadsheetml/2009/9/main" objectType="CheckBox" fmlaLink="PedBerAfspr!$B$24" lockText="1"/>
</file>

<file path=xl/ctrlProps/ctrlProp595.xml><?xml version="1.0" encoding="utf-8"?>
<formControlPr xmlns="http://schemas.microsoft.com/office/spreadsheetml/2009/9/main" objectType="CheckBox" fmlaLink="PedBerAfspr!$B$25" lockText="1"/>
</file>

<file path=xl/ctrlProps/ctrlProp596.xml><?xml version="1.0" encoding="utf-8"?>
<formControlPr xmlns="http://schemas.microsoft.com/office/spreadsheetml/2009/9/main" objectType="Spin" dx="15" fmlaLink="PedBerAfspr!$C$8" max="10" page="10" val="0"/>
</file>

<file path=xl/ctrlProps/ctrlProp597.xml><?xml version="1.0" encoding="utf-8"?>
<formControlPr xmlns="http://schemas.microsoft.com/office/spreadsheetml/2009/9/main" objectType="Spin" dx="15" fmlaLink="PedBerAfspr!$C$9" max="10" page="10" val="0"/>
</file>

<file path=xl/ctrlProps/ctrlProp598.xml><?xml version="1.0" encoding="utf-8"?>
<formControlPr xmlns="http://schemas.microsoft.com/office/spreadsheetml/2009/9/main" objectType="CheckBox" fmlaLink="PedBerAfspr!$F$16" lockText="1"/>
</file>

<file path=xl/ctrlProps/ctrlProp599.xml><?xml version="1.0" encoding="utf-8"?>
<formControlPr xmlns="http://schemas.microsoft.com/office/spreadsheetml/2009/9/main" objectType="Spin" dx="15" fmlaLink="PedBerAfspr!$G$16" max="24" page="10" val="0"/>
</file>

<file path=xl/ctrlProps/ctrlProp600.xml><?xml version="1.0" encoding="utf-8"?>
<formControlPr xmlns="http://schemas.microsoft.com/office/spreadsheetml/2009/9/main" objectType="Spin" dx="15" fmlaLink="PedBerAfspr!$G$18" max="24" page="10" val="0"/>
</file>

<file path=xl/ctrlProps/ctrlProp601.xml><?xml version="1.0" encoding="utf-8"?>
<formControlPr xmlns="http://schemas.microsoft.com/office/spreadsheetml/2009/9/main" objectType="CheckBox" fmlaLink="PedBerAfspr!$F$18" lockText="1"/>
</file>

<file path=xl/ctrlProps/ctrlProp602.xml><?xml version="1.0" encoding="utf-8"?>
<formControlPr xmlns="http://schemas.microsoft.com/office/spreadsheetml/2009/9/main" objectType="CheckBox" fmlaLink="PedBerAfspr!$B$42" lockText="1"/>
</file>

<file path=xl/ctrlProps/ctrlProp603.xml><?xml version="1.0" encoding="utf-8"?>
<formControlPr xmlns="http://schemas.microsoft.com/office/spreadsheetml/2009/9/main" objectType="CheckBox" fmlaLink="PedBerAfspr!$B$43" lockText="1"/>
</file>

<file path=xl/ctrlProps/ctrlProp604.xml><?xml version="1.0" encoding="utf-8"?>
<formControlPr xmlns="http://schemas.microsoft.com/office/spreadsheetml/2009/9/main" objectType="CheckBox" fmlaLink="PedBerAfspr!$B$44" lockText="1"/>
</file>

<file path=xl/ctrlProps/ctrlProp605.xml><?xml version="1.0" encoding="utf-8"?>
<formControlPr xmlns="http://schemas.microsoft.com/office/spreadsheetml/2009/9/main" objectType="Spin" dx="15" fmlaLink="PedBerAfspr!$C$42" max="24" page="10" val="0"/>
</file>

<file path=xl/ctrlProps/ctrlProp606.xml><?xml version="1.0" encoding="utf-8"?>
<formControlPr xmlns="http://schemas.microsoft.com/office/spreadsheetml/2009/9/main" objectType="Spin" dx="15" fmlaLink="PedBerAfspr!$C$43" max="24" page="10" val="3"/>
</file>

<file path=xl/ctrlProps/ctrlProp607.xml><?xml version="1.0" encoding="utf-8"?>
<formControlPr xmlns="http://schemas.microsoft.com/office/spreadsheetml/2009/9/main" objectType="Drop" dropStyle="combo" dx="16" fmlaLink="NeoBerInfB!$B$20" fmlaRange="tbl_Neo_MedIV" sel="1" val="0"/>
</file>

<file path=xl/ctrlProps/ctrlProp608.xml><?xml version="1.0" encoding="utf-8"?>
<formControlPr xmlns="http://schemas.microsoft.com/office/spreadsheetml/2009/9/main" objectType="Drop" dropStyle="combo" dx="16" fmlaLink="NeoBerInfB!$B$21" fmlaRange="tbl_Neo_MedIV" sel="1" val="0"/>
</file>

<file path=xl/ctrlProps/ctrlProp609.xml><?xml version="1.0" encoding="utf-8"?>
<formControlPr xmlns="http://schemas.microsoft.com/office/spreadsheetml/2009/9/main" objectType="Drop" dropStyle="combo" dx="16" fmlaLink="NeoBerInfB!$B$22" fmlaRange="tbl_Neo_MedIV" sel="1" val="0"/>
</file>

<file path=xl/ctrlProps/ctrlProp610.xml><?xml version="1.0" encoding="utf-8"?>
<formControlPr xmlns="http://schemas.microsoft.com/office/spreadsheetml/2009/9/main" objectType="Drop" dropStyle="combo" dx="16" fmlaLink="NeoBerInfB!$B$23" fmlaRange="tbl_Neo_MedIV" sel="1" val="0"/>
</file>

<file path=xl/ctrlProps/ctrlProp611.xml><?xml version="1.0" encoding="utf-8"?>
<formControlPr xmlns="http://schemas.microsoft.com/office/spreadsheetml/2009/9/main" objectType="Drop" dropStyle="combo" dx="16" fmlaLink="NeoBerInfB!$B$24" fmlaRange="tbl_Neo_MedIV" sel="1" val="0"/>
</file>

<file path=xl/ctrlProps/ctrlProp612.xml><?xml version="1.0" encoding="utf-8"?>
<formControlPr xmlns="http://schemas.microsoft.com/office/spreadsheetml/2009/9/main" objectType="Drop" dropStyle="combo" dx="16" fmlaLink="NeoBerInfB!$B$25" fmlaRange="tbl_Neo_MedIV" sel="1" val="0"/>
</file>

<file path=xl/ctrlProps/ctrlProp613.xml><?xml version="1.0" encoding="utf-8"?>
<formControlPr xmlns="http://schemas.microsoft.com/office/spreadsheetml/2009/9/main" objectType="Drop" dropStyle="combo" dx="16" fmlaLink="NeoBerInfB!$B$26" fmlaRange="tbl_Neo_MedIV" sel="1" val="0"/>
</file>

<file path=xl/ctrlProps/ctrlProp614.xml><?xml version="1.0" encoding="utf-8"?>
<formControlPr xmlns="http://schemas.microsoft.com/office/spreadsheetml/2009/9/main" objectType="Spin" dx="15" fmlaLink="NeoBerInfB!$B$18" inc="5" max="10" page="10" val="0"/>
</file>

<file path=xl/ctrlProps/ctrlProp615.xml><?xml version="1.0" encoding="utf-8"?>
<formControlPr xmlns="http://schemas.microsoft.com/office/spreadsheetml/2009/9/main" objectType="Spin" dx="15" fmlaLink="NeoBerInfB!$F$20" max="30000" page="10" val="0"/>
</file>

<file path=xl/ctrlProps/ctrlProp616.xml><?xml version="1.0" encoding="utf-8"?>
<formControlPr xmlns="http://schemas.microsoft.com/office/spreadsheetml/2009/9/main" objectType="Spin" dx="15" fmlaLink="NeoBerInfB!$F$21" max="30000" page="10" val="0"/>
</file>

<file path=xl/ctrlProps/ctrlProp617.xml><?xml version="1.0" encoding="utf-8"?>
<formControlPr xmlns="http://schemas.microsoft.com/office/spreadsheetml/2009/9/main" objectType="Spin" dx="15" fmlaLink="NeoBerInfB!$F$22" max="30000" page="10" val="0"/>
</file>

<file path=xl/ctrlProps/ctrlProp618.xml><?xml version="1.0" encoding="utf-8"?>
<formControlPr xmlns="http://schemas.microsoft.com/office/spreadsheetml/2009/9/main" objectType="Spin" dx="15" fmlaLink="NeoBerInfB!$F$23" max="30000" page="10" val="0"/>
</file>

<file path=xl/ctrlProps/ctrlProp619.xml><?xml version="1.0" encoding="utf-8"?>
<formControlPr xmlns="http://schemas.microsoft.com/office/spreadsheetml/2009/9/main" objectType="Spin" dx="15" fmlaLink="NeoBerInfB!$F$24" max="30000" page="10" val="0"/>
</file>

<file path=xl/ctrlProps/ctrlProp620.xml><?xml version="1.0" encoding="utf-8"?>
<formControlPr xmlns="http://schemas.microsoft.com/office/spreadsheetml/2009/9/main" objectType="Spin" dx="15" fmlaLink="NeoBerInfB!$F$25" max="30000" page="10" val="0"/>
</file>

<file path=xl/ctrlProps/ctrlProp621.xml><?xml version="1.0" encoding="utf-8"?>
<formControlPr xmlns="http://schemas.microsoft.com/office/spreadsheetml/2009/9/main" objectType="Spin" dx="15" fmlaLink="NeoBerInfB!$F$26" max="30000" page="10" val="0"/>
</file>

<file path=xl/ctrlProps/ctrlProp622.xml><?xml version="1.0" encoding="utf-8"?>
<formControlPr xmlns="http://schemas.microsoft.com/office/spreadsheetml/2009/9/main" objectType="Radio" firstButton="1" fmlaLink="NeoBerInfB!$J$14" lockText="1"/>
</file>

<file path=xl/ctrlProps/ctrlProp623.xml><?xml version="1.0" encoding="utf-8"?>
<formControlPr xmlns="http://schemas.microsoft.com/office/spreadsheetml/2009/9/main" objectType="Radio" checked="Checked" lockText="1"/>
</file>

<file path=xl/ctrlProps/ctrlProp624.xml><?xml version="1.0" encoding="utf-8"?>
<formControlPr xmlns="http://schemas.microsoft.com/office/spreadsheetml/2009/9/main" objectType="Spin" dx="15" fmlaLink="NeoBerInfB!$D$10" max="24" page="10" val="0"/>
</file>

<file path=xl/ctrlProps/ctrlProp625.xml><?xml version="1.0" encoding="utf-8"?>
<formControlPr xmlns="http://schemas.microsoft.com/office/spreadsheetml/2009/9/main" objectType="Spin" dx="15" fmlaLink="NeoBerInfB!$D$11" inc="5" max="30000" page="10" val="0"/>
</file>

<file path=xl/ctrlProps/ctrlProp626.xml><?xml version="1.0" encoding="utf-8"?>
<formControlPr xmlns="http://schemas.microsoft.com/office/spreadsheetml/2009/9/main" objectType="Spin" dx="15" fmlaLink="NeoBerInfB!$D$16" inc="5" max="30000" page="10" val="5000"/>
</file>

<file path=xl/ctrlProps/ctrlProp627.xml><?xml version="1.0" encoding="utf-8"?>
<formControlPr xmlns="http://schemas.microsoft.com/office/spreadsheetml/2009/9/main" objectType="Radio" checked="Checked" firstButton="1" fmlaLink="NeoBerInfB!$D$36" lockText="1"/>
</file>

<file path=xl/ctrlProps/ctrlProp628.xml><?xml version="1.0" encoding="utf-8"?>
<formControlPr xmlns="http://schemas.microsoft.com/office/spreadsheetml/2009/9/main" objectType="Radio" lockText="1"/>
</file>

<file path=xl/ctrlProps/ctrlProp629.xml><?xml version="1.0" encoding="utf-8"?>
<formControlPr xmlns="http://schemas.microsoft.com/office/spreadsheetml/2009/9/main" objectType="Radio" lockText="1"/>
</file>

<file path=xl/ctrlProps/ctrlProp630.xml><?xml version="1.0" encoding="utf-8"?>
<formControlPr xmlns="http://schemas.microsoft.com/office/spreadsheetml/2009/9/main" objectType="Spin" dx="15" fmlaLink="NeoBerInfB!$D$37" inc="10" max="30000" page="10" val="5000"/>
</file>

<file path=xl/ctrlProps/ctrlProp631.xml><?xml version="1.0" encoding="utf-8"?>
<formControlPr xmlns="http://schemas.microsoft.com/office/spreadsheetml/2009/9/main" objectType="Spin" dx="15" fmlaLink="NeoBerInfB!$D$38" inc="10" max="30000" page="10" val="5000"/>
</file>

<file path=xl/ctrlProps/ctrlProp632.xml><?xml version="1.0" encoding="utf-8"?>
<formControlPr xmlns="http://schemas.microsoft.com/office/spreadsheetml/2009/9/main" objectType="Spin" dx="15" fmlaLink="NeoBerInfB!$D$39" inc="10" max="30000" page="10" val="5000"/>
</file>

<file path=xl/ctrlProps/ctrlProp633.xml><?xml version="1.0" encoding="utf-8"?>
<formControlPr xmlns="http://schemas.microsoft.com/office/spreadsheetml/2009/9/main" objectType="Spin" dx="15" fmlaLink="NeoBerInfB!$D$40" max="30000" page="10" val="5000"/>
</file>

<file path=xl/ctrlProps/ctrlProp634.xml><?xml version="1.0" encoding="utf-8"?>
<formControlPr xmlns="http://schemas.microsoft.com/office/spreadsheetml/2009/9/main" objectType="Spin" dx="15" fmlaLink="NeoBerInfB!$D$41" max="30000" page="10" val="5000"/>
</file>

<file path=xl/ctrlProps/ctrlProp635.xml><?xml version="1.0" encoding="utf-8"?>
<formControlPr xmlns="http://schemas.microsoft.com/office/spreadsheetml/2009/9/main" objectType="Spin" dx="15" fmlaLink="NeoBerInfB!$D$42" max="30000" page="10" val="5000"/>
</file>

<file path=xl/ctrlProps/ctrlProp636.xml><?xml version="1.0" encoding="utf-8"?>
<formControlPr xmlns="http://schemas.microsoft.com/office/spreadsheetml/2009/9/main" objectType="Spin" dx="15" fmlaLink="NeoBerInfB!$D$43" max="30000" page="10" val="5000"/>
</file>

<file path=xl/ctrlProps/ctrlProp637.xml><?xml version="1.0" encoding="utf-8"?>
<formControlPr xmlns="http://schemas.microsoft.com/office/spreadsheetml/2009/9/main" objectType="Spin" dx="15" fmlaLink="NeoBerInfB!$D$37" max="30000" page="10" val="5000"/>
</file>

<file path=xl/ctrlProps/ctrlProp638.xml><?xml version="1.0" encoding="utf-8"?>
<formControlPr xmlns="http://schemas.microsoft.com/office/spreadsheetml/2009/9/main" objectType="Spin" dx="15" fmlaLink="NeoBerInfB!$D$38" max="30000" page="10" val="5000"/>
</file>

<file path=xl/ctrlProps/ctrlProp639.xml><?xml version="1.0" encoding="utf-8"?>
<formControlPr xmlns="http://schemas.microsoft.com/office/spreadsheetml/2009/9/main" objectType="Spin" dx="15" fmlaLink="NeoBerInfB!$D$44" max="30000" page="10" val="5000"/>
</file>

<file path=xl/ctrlProps/ctrlProp640.xml><?xml version="1.0" encoding="utf-8"?>
<formControlPr xmlns="http://schemas.microsoft.com/office/spreadsheetml/2009/9/main" objectType="Radio" firstButton="1" fmlaLink="NeoBerInfB!$B$15" lockText="1"/>
</file>

<file path=xl/ctrlProps/ctrlProp641.xml><?xml version="1.0" encoding="utf-8"?>
<formControlPr xmlns="http://schemas.microsoft.com/office/spreadsheetml/2009/9/main" objectType="Radio" checked="Checked" lockText="1"/>
</file>

<file path=xl/ctrlProps/ctrlProp642.xml><?xml version="1.0" encoding="utf-8"?>
<formControlPr xmlns="http://schemas.microsoft.com/office/spreadsheetml/2009/9/main" objectType="Drop" dropStyle="combo" dx="16" fmlaLink="NeoBerInfB!$E$20" fmlaRange="tbl_Neo_Opl" sel="1" val="8"/>
</file>

<file path=xl/ctrlProps/ctrlProp643.xml><?xml version="1.0" encoding="utf-8"?>
<formControlPr xmlns="http://schemas.microsoft.com/office/spreadsheetml/2009/9/main" objectType="Drop" dropStyle="combo" dx="16" fmlaLink="NeoBerInfB!$E$21" fmlaRange="tbl_Neo_Opl" sel="1" val="0"/>
</file>

<file path=xl/ctrlProps/ctrlProp644.xml><?xml version="1.0" encoding="utf-8"?>
<formControlPr xmlns="http://schemas.microsoft.com/office/spreadsheetml/2009/9/main" objectType="Drop" dropStyle="combo" dx="16" fmlaLink="NeoBerInfB!$E$22" fmlaRange="tbl_Neo_Opl" sel="1" val="0"/>
</file>

<file path=xl/ctrlProps/ctrlProp645.xml><?xml version="1.0" encoding="utf-8"?>
<formControlPr xmlns="http://schemas.microsoft.com/office/spreadsheetml/2009/9/main" objectType="Drop" dropStyle="combo" dx="16" fmlaLink="NeoBerInfB!$E$23" fmlaRange="tbl_Neo_Opl" sel="1" val="0"/>
</file>

<file path=xl/ctrlProps/ctrlProp646.xml><?xml version="1.0" encoding="utf-8"?>
<formControlPr xmlns="http://schemas.microsoft.com/office/spreadsheetml/2009/9/main" objectType="Drop" dropStyle="combo" dx="16" fmlaLink="NeoBerInfB!$E$24" fmlaRange="tbl_Neo_Opl" sel="1" val="0"/>
</file>

<file path=xl/ctrlProps/ctrlProp647.xml><?xml version="1.0" encoding="utf-8"?>
<formControlPr xmlns="http://schemas.microsoft.com/office/spreadsheetml/2009/9/main" objectType="Drop" dropStyle="combo" dx="16" fmlaLink="NeoBerInfB!$E$25" fmlaRange="tbl_Neo_Opl" sel="1" val="0"/>
</file>

<file path=xl/ctrlProps/ctrlProp648.xml><?xml version="1.0" encoding="utf-8"?>
<formControlPr xmlns="http://schemas.microsoft.com/office/spreadsheetml/2009/9/main" objectType="Spin" dx="15" fmlaLink="NeoBerInfB!$D$20" max="30000" page="10" val="0"/>
</file>

<file path=xl/ctrlProps/ctrlProp649.xml><?xml version="1.0" encoding="utf-8"?>
<formControlPr xmlns="http://schemas.microsoft.com/office/spreadsheetml/2009/9/main" objectType="Spin" dx="15" fmlaLink="NeoBerInfB!$D$21" max="30000" page="10" val="0"/>
</file>

<file path=xl/ctrlProps/ctrlProp650.xml><?xml version="1.0" encoding="utf-8"?>
<formControlPr xmlns="http://schemas.microsoft.com/office/spreadsheetml/2009/9/main" objectType="Spin" dx="15" fmlaLink="NeoBerInfB!$D$22" max="30000" page="10" val="0"/>
</file>

<file path=xl/ctrlProps/ctrlProp651.xml><?xml version="1.0" encoding="utf-8"?>
<formControlPr xmlns="http://schemas.microsoft.com/office/spreadsheetml/2009/9/main" objectType="Spin" dx="15" fmlaLink="NeoBerInfB!$D$23" max="30000" page="10" val="0"/>
</file>

<file path=xl/ctrlProps/ctrlProp652.xml><?xml version="1.0" encoding="utf-8"?>
<formControlPr xmlns="http://schemas.microsoft.com/office/spreadsheetml/2009/9/main" objectType="Spin" dx="15" fmlaLink="NeoBerInfB!$D$24" max="30000" page="10" val="0"/>
</file>

<file path=xl/ctrlProps/ctrlProp653.xml><?xml version="1.0" encoding="utf-8"?>
<formControlPr xmlns="http://schemas.microsoft.com/office/spreadsheetml/2009/9/main" objectType="Spin" dx="15" fmlaLink="NeoBerInfB!$D$25" max="30000" page="10" val="0"/>
</file>

<file path=xl/ctrlProps/ctrlProp654.xml><?xml version="1.0" encoding="utf-8"?>
<formControlPr xmlns="http://schemas.microsoft.com/office/spreadsheetml/2009/9/main" objectType="Spin" dx="15" fmlaLink="NeoBerInfB!$D$26" max="30000" page="10" val="0"/>
</file>

<file path=xl/ctrlProps/ctrlProp655.xml><?xml version="1.0" encoding="utf-8"?>
<formControlPr xmlns="http://schemas.microsoft.com/office/spreadsheetml/2009/9/main" objectType="Spin" dx="15" fmlaLink="NeoBerInfB!$C$20" inc="10" max="30000" page="10" val="0"/>
</file>

<file path=xl/ctrlProps/ctrlProp656.xml><?xml version="1.0" encoding="utf-8"?>
<formControlPr xmlns="http://schemas.microsoft.com/office/spreadsheetml/2009/9/main" objectType="Spin" dx="15" fmlaLink="NeoBerInfB!$C$21" inc="10" max="30000" page="10" val="0"/>
</file>

<file path=xl/ctrlProps/ctrlProp657.xml><?xml version="1.0" encoding="utf-8"?>
<formControlPr xmlns="http://schemas.microsoft.com/office/spreadsheetml/2009/9/main" objectType="Spin" dx="15" fmlaLink="NeoBerInfB!$C$22" inc="10" max="30000" page="10" val="0"/>
</file>

<file path=xl/ctrlProps/ctrlProp658.xml><?xml version="1.0" encoding="utf-8"?>
<formControlPr xmlns="http://schemas.microsoft.com/office/spreadsheetml/2009/9/main" objectType="Spin" dx="15" fmlaLink="NeoBerInfB!$C$23" inc="10" max="30000" page="10" val="0"/>
</file>

<file path=xl/ctrlProps/ctrlProp659.xml><?xml version="1.0" encoding="utf-8"?>
<formControlPr xmlns="http://schemas.microsoft.com/office/spreadsheetml/2009/9/main" objectType="Spin" dx="15" fmlaLink="NeoBerInfB!$C$24" inc="10" max="30000" page="10" val="0"/>
</file>

<file path=xl/ctrlProps/ctrlProp660.xml><?xml version="1.0" encoding="utf-8"?>
<formControlPr xmlns="http://schemas.microsoft.com/office/spreadsheetml/2009/9/main" objectType="Spin" dx="15" fmlaLink="NeoBerInfB!$C$25" inc="10" max="30000" page="10" val="0"/>
</file>

<file path=xl/ctrlProps/ctrlProp661.xml><?xml version="1.0" encoding="utf-8"?>
<formControlPr xmlns="http://schemas.microsoft.com/office/spreadsheetml/2009/9/main" objectType="Spin" dx="15" fmlaLink="NeoBerInfB!$C$26" inc="10" max="30000" page="10" val="0"/>
</file>

<file path=xl/ctrlProps/ctrlProp662.xml><?xml version="1.0" encoding="utf-8"?>
<formControlPr xmlns="http://schemas.microsoft.com/office/spreadsheetml/2009/9/main" objectType="GBox"/>
</file>

<file path=xl/ctrlProps/ctrlProp663.xml><?xml version="1.0" encoding="utf-8"?>
<formControlPr xmlns="http://schemas.microsoft.com/office/spreadsheetml/2009/9/main" objectType="GBox" noThreeD="1"/>
</file>

<file path=xl/ctrlProps/ctrlProp664.xml><?xml version="1.0" encoding="utf-8"?>
<formControlPr xmlns="http://schemas.microsoft.com/office/spreadsheetml/2009/9/main" objectType="CheckBox" fmlaLink="NeoBerInfB!$J$18" lockText="1"/>
</file>

<file path=xl/ctrlProps/ctrlProp665.xml><?xml version="1.0" encoding="utf-8"?>
<formControlPr xmlns="http://schemas.microsoft.com/office/spreadsheetml/2009/9/main" objectType="CheckBox" fmlaLink="NeoBerInfB!$J$20" lockText="1"/>
</file>

<file path=xl/ctrlProps/ctrlProp666.xml><?xml version="1.0" encoding="utf-8"?>
<formControlPr xmlns="http://schemas.microsoft.com/office/spreadsheetml/2009/9/main" objectType="CheckBox" fmlaLink="NeoBerInfB!$J$21" lockText="1"/>
</file>

<file path=xl/ctrlProps/ctrlProp667.xml><?xml version="1.0" encoding="utf-8"?>
<formControlPr xmlns="http://schemas.microsoft.com/office/spreadsheetml/2009/9/main" objectType="CheckBox" fmlaLink="NeoBerInfB!$J$22" lockText="1"/>
</file>

<file path=xl/ctrlProps/ctrlProp668.xml><?xml version="1.0" encoding="utf-8"?>
<formControlPr xmlns="http://schemas.microsoft.com/office/spreadsheetml/2009/9/main" objectType="CheckBox" fmlaLink="NeoBerInfB!$J$23" lockText="1"/>
</file>

<file path=xl/ctrlProps/ctrlProp669.xml><?xml version="1.0" encoding="utf-8"?>
<formControlPr xmlns="http://schemas.microsoft.com/office/spreadsheetml/2009/9/main" objectType="CheckBox" fmlaLink="NeoBerInfB!$J$24" lockText="1"/>
</file>

<file path=xl/ctrlProps/ctrlProp670.xml><?xml version="1.0" encoding="utf-8"?>
<formControlPr xmlns="http://schemas.microsoft.com/office/spreadsheetml/2009/9/main" objectType="CheckBox" fmlaLink="NeoBerInfB!$J$25" lockText="1"/>
</file>

<file path=xl/ctrlProps/ctrlProp671.xml><?xml version="1.0" encoding="utf-8"?>
<formControlPr xmlns="http://schemas.microsoft.com/office/spreadsheetml/2009/9/main" objectType="CheckBox" lockText="1"/>
</file>

<file path=xl/ctrlProps/ctrlProp672.xml><?xml version="1.0" encoding="utf-8"?>
<formControlPr xmlns="http://schemas.microsoft.com/office/spreadsheetml/2009/9/main" objectType="Drop" dropStyle="combo" dx="16" fmlaLink="NeoBerInfB!$B$27" fmlaRange="tbl_Neo_MedIV" sel="1" val="0"/>
</file>

<file path=xl/ctrlProps/ctrlProp673.xml><?xml version="1.0" encoding="utf-8"?>
<formControlPr xmlns="http://schemas.microsoft.com/office/spreadsheetml/2009/9/main" objectType="Spin" dx="15" fmlaLink="NeoBerInfB!$F$27" max="30000" page="10" val="0"/>
</file>

<file path=xl/ctrlProps/ctrlProp674.xml><?xml version="1.0" encoding="utf-8"?>
<formControlPr xmlns="http://schemas.microsoft.com/office/spreadsheetml/2009/9/main" objectType="Drop" dropStyle="combo" dx="16" fmlaLink="NeoBerInfB!$E$26" fmlaRange="tbl_Neo_Opl" sel="1" val="0"/>
</file>

<file path=xl/ctrlProps/ctrlProp675.xml><?xml version="1.0" encoding="utf-8"?>
<formControlPr xmlns="http://schemas.microsoft.com/office/spreadsheetml/2009/9/main" objectType="Spin" dx="15" fmlaLink="NeoBerInfB!$D$27" max="30000" page="10" val="0"/>
</file>

<file path=xl/ctrlProps/ctrlProp676.xml><?xml version="1.0" encoding="utf-8"?>
<formControlPr xmlns="http://schemas.microsoft.com/office/spreadsheetml/2009/9/main" objectType="Spin" dx="15" fmlaLink="NeoBerInfB!$C$27" inc="10" max="30000" page="10" val="0"/>
</file>

<file path=xl/ctrlProps/ctrlProp677.xml><?xml version="1.0" encoding="utf-8"?>
<formControlPr xmlns="http://schemas.microsoft.com/office/spreadsheetml/2009/9/main" objectType="CheckBox" fmlaLink="NeoBerInfB!$J$26" lockText="1"/>
</file>

<file path=xl/ctrlProps/ctrlProp678.xml><?xml version="1.0" encoding="utf-8"?>
<formControlPr xmlns="http://schemas.microsoft.com/office/spreadsheetml/2009/9/main" objectType="CheckBox" lockText="1"/>
</file>

<file path=xl/ctrlProps/ctrlProp679.xml><?xml version="1.0" encoding="utf-8"?>
<formControlPr xmlns="http://schemas.microsoft.com/office/spreadsheetml/2009/9/main" objectType="Spin" dx="15" fmlaLink="NeoBerInfB!$F$28" max="30000" page="10" val="0"/>
</file>

<file path=xl/ctrlProps/ctrlProp680.xml><?xml version="1.0" encoding="utf-8"?>
<formControlPr xmlns="http://schemas.microsoft.com/office/spreadsheetml/2009/9/main" objectType="Drop" dropStyle="combo" dx="16" fmlaLink="NeoBerInfB!$E$27" fmlaRange="tbl_Neo_Opl" sel="1" val="0"/>
</file>

<file path=xl/ctrlProps/ctrlProp681.xml><?xml version="1.0" encoding="utf-8"?>
<formControlPr xmlns="http://schemas.microsoft.com/office/spreadsheetml/2009/9/main" objectType="Drop" dropStyle="combo" dx="16" fmlaLink="NeoBerInfB!$E$28" fmlaRange="tbl_Neo_Opl" sel="1" val="0"/>
</file>

<file path=xl/ctrlProps/ctrlProp682.xml><?xml version="1.0" encoding="utf-8"?>
<formControlPr xmlns="http://schemas.microsoft.com/office/spreadsheetml/2009/9/main" objectType="CheckBox" fmlaLink="NeoBerInfB!$J$27" lockText="1"/>
</file>

<file path=xl/ctrlProps/ctrlProp683.xml><?xml version="1.0" encoding="utf-8"?>
<formControlPr xmlns="http://schemas.microsoft.com/office/spreadsheetml/2009/9/main" objectType="CheckBox" fmlaLink="NeoBerInfB!$J$28" lockText="1"/>
</file>

<file path=xl/ctrlProps/ctrlProp684.xml><?xml version="1.0" encoding="utf-8"?>
<formControlPr xmlns="http://schemas.microsoft.com/office/spreadsheetml/2009/9/main" objectType="Spin" dx="15" fmlaLink="NeoBerInfB!$D$35" max="30000" page="10" val="5000"/>
</file>

<file path=xl/ctrlProps/ctrlProp685.xml><?xml version="1.0" encoding="utf-8"?>
<formControlPr xmlns="http://schemas.microsoft.com/office/spreadsheetml/2009/9/main" objectType="Drop" dropStyle="combo" dx="16" fmlaLink="NeoBerInfB!$D$45" fmlaRange="NeoTblLijst!$A$4:$A$13" sel="2" val="0"/>
</file>

<file path=xl/ctrlProps/ctrlProp686.xml><?xml version="1.0" encoding="utf-8"?>
<formControlPr xmlns="http://schemas.microsoft.com/office/spreadsheetml/2009/9/main" objectType="Spin" dx="15" fmlaLink="NeoBerInfB!$D$4" max="43" min="24" page="10" val="24"/>
</file>

<file path=xl/ctrlProps/ctrlProp687.xml><?xml version="1.0" encoding="utf-8"?>
<formControlPr xmlns="http://schemas.microsoft.com/office/spreadsheetml/2009/9/main" objectType="Spin" dx="15" fmlaLink="NeoBerInfB!$D$5" max="6" page="10" val="0"/>
</file>

<file path=xl/ctrlProps/ctrlProp688.xml><?xml version="1.0" encoding="utf-8"?>
<formControlPr xmlns="http://schemas.microsoft.com/office/spreadsheetml/2009/9/main" objectType="Drop" dropStyle="combo" dx="16" fmlaLink="NeoBerInfB!$B$54" fmlaRange="tbl_Neo_NutrMMToev" sel="1" val="0"/>
</file>

<file path=xl/ctrlProps/ctrlProp689.xml><?xml version="1.0" encoding="utf-8"?>
<formControlPr xmlns="http://schemas.microsoft.com/office/spreadsheetml/2009/9/main" objectType="Drop" dropStyle="combo" dx="16" fmlaLink="NeoBerInfB!$B$55" fmlaRange="NeoTblLijst!#REF!" sel="0" val="0"/>
</file>

<file path=xl/ctrlProps/ctrlProp690.xml><?xml version="1.0" encoding="utf-8"?>
<formControlPr xmlns="http://schemas.microsoft.com/office/spreadsheetml/2009/9/main" objectType="Drop" dropStyle="combo" dx="16" fmlaLink="NeoBerInfB!$D$14" fmlaRange="tbl_Neo_Pos" sel="7" val="0"/>
</file>

<file path=xl/ctrlProps/ctrlProp691.xml><?xml version="1.0" encoding="utf-8"?>
<formControlPr xmlns="http://schemas.microsoft.com/office/spreadsheetml/2009/9/main" objectType="Spin" dx="15" fmlaLink="NeoBerInfB!$D$12" max="24" page="10" val="0"/>
</file>

<file path=xl/ctrlProps/ctrlProp692.xml><?xml version="1.0" encoding="utf-8"?>
<formControlPr xmlns="http://schemas.microsoft.com/office/spreadsheetml/2009/9/main" objectType="Spin" dx="15" fmlaLink="NeoBerInfB!$D$13" inc="5" max="30000" page="10" val="0"/>
</file>

<file path=xl/ctrlProps/ctrlProp693.xml><?xml version="1.0" encoding="utf-8"?>
<formControlPr xmlns="http://schemas.microsoft.com/office/spreadsheetml/2009/9/main" objectType="Drop" dropStyle="combo" dx="16" fmlaLink="NeoBerInfB!$B$55" fmlaRange="tbl_Neo_NutrMMToev" sel="1" val="0"/>
</file>

<file path=xl/ctrlProps/ctrlProp694.xml><?xml version="1.0" encoding="utf-8"?>
<formControlPr xmlns="http://schemas.microsoft.com/office/spreadsheetml/2009/9/main" objectType="Drop" dropStyle="combo" dx="16" fmlaLink="NeoBerInfB!$B$56" fmlaRange="tbl_Neo_NutrMMToev" sel="1" val="0"/>
</file>

<file path=xl/ctrlProps/ctrlProp695.xml><?xml version="1.0" encoding="utf-8"?>
<formControlPr xmlns="http://schemas.microsoft.com/office/spreadsheetml/2009/9/main" objectType="Drop" dropStyle="combo" dx="16" fmlaLink="NeoBerInfB!$B$28" fmlaRange="tbl_Neo_MedIV" sel="1" val="0"/>
</file>

<file path=xl/ctrlProps/ctrlProp696.xml><?xml version="1.0" encoding="utf-8"?>
<formControlPr xmlns="http://schemas.microsoft.com/office/spreadsheetml/2009/9/main" objectType="Spin" dx="15" fmlaLink="NeoBerInfB!$D$28" max="30000" page="10" val="0"/>
</file>

<file path=xl/ctrlProps/ctrlProp697.xml><?xml version="1.0" encoding="utf-8"?>
<formControlPr xmlns="http://schemas.microsoft.com/office/spreadsheetml/2009/9/main" objectType="Spin" dx="15" fmlaLink="NeoBerInfB!$C$28" inc="10" max="30000" page="10" val="0"/>
</file>

<file path=xl/ctrlProps/ctrlProp698.xml><?xml version="1.0" encoding="utf-8"?>
<formControlPr xmlns="http://schemas.microsoft.com/office/spreadsheetml/2009/9/main" objectType="Drop" dropStyle="combo" dx="16" fmlaLink="NeoBerInfB!$E$28" fmlaRange="tbl_Neo_Opl" sel="1" val="0"/>
</file>

<file path=xl/ctrlProps/ctrlProp699.xml><?xml version="1.0" encoding="utf-8"?>
<formControlPr xmlns="http://schemas.microsoft.com/office/spreadsheetml/2009/9/main" objectType="Drop" dropStyle="combo" dx="16" fmlaLink="NeoBerInfB!$E$29" fmlaRange="tbl_Neo_Opl" sel="0" val="0"/>
</file>

<file path=xl/ctrlProps/ctrlProp700.xml><?xml version="1.0" encoding="utf-8"?>
<formControlPr xmlns="http://schemas.microsoft.com/office/spreadsheetml/2009/9/main" objectType="Spin" dx="15" fmlaLink="NeoBerInfB!$F$29" max="30000" page="10" val="0"/>
</file>

<file path=xl/ctrlProps/ctrlProp701.xml><?xml version="1.0" encoding="utf-8"?>
<formControlPr xmlns="http://schemas.microsoft.com/office/spreadsheetml/2009/9/main" objectType="CheckBox" fmlaLink="NeoBerInfB!$J$29" lockText="1"/>
</file>

<file path=xl/ctrlProps/ctrlProp702.xml><?xml version="1.0" encoding="utf-8"?>
<formControlPr xmlns="http://schemas.microsoft.com/office/spreadsheetml/2009/9/main" objectType="Drop" dropStyle="combo" dx="16" fmlaLink="NeoBerInfB!$E$30" fmlaRange="tbl_Neo_Opl" sel="0" val="0"/>
</file>

<file path=xl/ctrlProps/ctrlProp703.xml><?xml version="1.0" encoding="utf-8"?>
<formControlPr xmlns="http://schemas.microsoft.com/office/spreadsheetml/2009/9/main" objectType="Spin" dx="15" fmlaLink="NeoBerInfB!$F$30" max="30000" page="10" val="0"/>
</file>

<file path=xl/ctrlProps/ctrlProp704.xml><?xml version="1.0" encoding="utf-8"?>
<formControlPr xmlns="http://schemas.microsoft.com/office/spreadsheetml/2009/9/main" objectType="CheckBox" fmlaLink="NeoBerInfB!$J$30" lockText="1"/>
</file>

<file path=xl/ctrlProps/ctrlProp705.xml><?xml version="1.0" encoding="utf-8"?>
<formControlPr xmlns="http://schemas.microsoft.com/office/spreadsheetml/2009/9/main" objectType="CheckBox" fmlaLink="NeoBerInfB!$J$30" lockText="1"/>
</file>

<file path=xl/ctrlProps/ctrlProp706.xml><?xml version="1.0" encoding="utf-8"?>
<formControlPr xmlns="http://schemas.microsoft.com/office/spreadsheetml/2009/9/main" objectType="Drop" dropStyle="combo" dx="16" fmlaLink="NeoBerInfB!$E$31" fmlaRange="tbl_Neo_Opl" sel="0" val="0"/>
</file>

<file path=xl/ctrlProps/ctrlProp707.xml><?xml version="1.0" encoding="utf-8"?>
<formControlPr xmlns="http://schemas.microsoft.com/office/spreadsheetml/2009/9/main" objectType="Spin" dx="15" fmlaLink="NeoBerInfB!$F$31" max="30000" page="10" val="0"/>
</file>

<file path=xl/ctrlProps/ctrlProp708.xml><?xml version="1.0" encoding="utf-8"?>
<formControlPr xmlns="http://schemas.microsoft.com/office/spreadsheetml/2009/9/main" objectType="CheckBox" fmlaLink="NeoBerInfB!$J$31" lockText="1"/>
</file>

<file path=xl/ctrlProps/ctrlProp709.xml><?xml version="1.0" encoding="utf-8"?>
<formControlPr xmlns="http://schemas.microsoft.com/office/spreadsheetml/2009/9/main" objectType="Drop" dropStyle="combo" dx="16" fmlaLink="NeoBerInfB!$B$59" fmlaRange="tbl_Neo_NutrKunstToev" sel="1" val="0"/>
</file>

<file path=xl/ctrlProps/ctrlProp710.xml><?xml version="1.0" encoding="utf-8"?>
<formControlPr xmlns="http://schemas.microsoft.com/office/spreadsheetml/2009/9/main" objectType="Drop" dropStyle="combo" dx="16" fmlaLink="NeoBerInfB!$B$55" fmlaRange="NeoTblLijst!#REF!" sel="0" val="0"/>
</file>

<file path=xl/ctrlProps/ctrlProp711.xml><?xml version="1.0" encoding="utf-8"?>
<formControlPr xmlns="http://schemas.microsoft.com/office/spreadsheetml/2009/9/main" objectType="Drop" dropStyle="combo" dx="16" fmlaLink="NeoBerInfB!$B$60" fmlaRange="tbl_Neo_NutrKunstToev" sel="1" val="0"/>
</file>

<file path=xl/ctrlProps/ctrlProp712.xml><?xml version="1.0" encoding="utf-8"?>
<formControlPr xmlns="http://schemas.microsoft.com/office/spreadsheetml/2009/9/main" objectType="Drop" dropStyle="combo" dx="16" fmlaLink="NeoBerInfB!$B$61" fmlaRange="tbl_Neo_NutrKunstToev" sel="1" val="0"/>
</file>

<file path=xl/ctrlProps/ctrlProp713.xml><?xml version="1.0" encoding="utf-8"?>
<formControlPr xmlns="http://schemas.microsoft.com/office/spreadsheetml/2009/9/main" objectType="Drop" dropStyle="combo" dx="16" fmlaLink="NeoBerInfB!$K$58" fmlaRange="tbl_Neo_NutrToevWaard" sel="0" val="0"/>
</file>

<file path=xl/ctrlProps/ctrlProp714.xml><?xml version="1.0" encoding="utf-8"?>
<formControlPr xmlns="http://schemas.microsoft.com/office/spreadsheetml/2009/9/main" objectType="Drop" dropStyle="combo" dx="16" fmlaLink="NeoBerInfB!$J$59" fmlaRange="tbl_Neo_NutrToevWaard" sel="1" val="0"/>
</file>

<file path=xl/ctrlProps/ctrlProp715.xml><?xml version="1.0" encoding="utf-8"?>
<formControlPr xmlns="http://schemas.microsoft.com/office/spreadsheetml/2009/9/main" objectType="Drop" dropStyle="combo" dx="16" fmlaLink="NeoBerInfB!$J$60" fmlaRange="tbl_Neo_NutrToevWaard" sel="1" val="0"/>
</file>

<file path=xl/ctrlProps/ctrlProp716.xml><?xml version="1.0" encoding="utf-8"?>
<formControlPr xmlns="http://schemas.microsoft.com/office/spreadsheetml/2009/9/main" objectType="Drop" dropStyle="combo" dx="16" fmlaLink="NeoBerInfB!$J$61" fmlaRange="tbl_Neo_NutrToevWaard" sel="1" val="0"/>
</file>

<file path=xl/ctrlProps/ctrlProp717.xml><?xml version="1.0" encoding="utf-8"?>
<formControlPr xmlns="http://schemas.microsoft.com/office/spreadsheetml/2009/9/main" objectType="Drop" dropStyle="combo" dx="16" fmlaLink="NeoBerInfB!$B$53" fmlaRange="tbl_Neo_NutrMMToev" sel="1" val="0"/>
</file>

<file path=xl/ctrlProps/ctrlProp718.xml><?xml version="1.0" encoding="utf-8"?>
<formControlPr xmlns="http://schemas.microsoft.com/office/spreadsheetml/2009/9/main" objectType="Drop" dropStyle="combo" dx="16" fmlaLink="NeoBerInfB!$B$58" fmlaRange="tbl_Neo_NutrKunstToev" sel="1" val="0"/>
</file>

<file path=xl/ctrlProps/ctrlProp719.xml><?xml version="1.0" encoding="utf-8"?>
<formControlPr xmlns="http://schemas.microsoft.com/office/spreadsheetml/2009/9/main" objectType="Drop" dropStyle="combo" dx="16" fmlaLink="NeoBerInfB!$J$58" fmlaRange="tbl_Neo_NutrToevWaard" sel="1" val="0"/>
</file>

<file path=xl/ctrlProps/ctrlProp720.xml><?xml version="1.0" encoding="utf-8"?>
<formControlPr xmlns="http://schemas.microsoft.com/office/spreadsheetml/2009/9/main" objectType="Drop" dropStyle="combo" dx="16" fmlaLink="NeoBerInfB!$J$52" fmlaRange="tbl_Neo_NutrBMFWaard" sel="1" val="0"/>
</file>

<file path=xl/ctrlProps/ctrlProp721.xml><?xml version="1.0" encoding="utf-8"?>
<formControlPr xmlns="http://schemas.microsoft.com/office/spreadsheetml/2009/9/main" objectType="Drop" dropStyle="combo" dx="16" fmlaLink="NeoBerInfB!$J$54" fmlaRange="tbl_Neo_NutrToevWaard" sel="1" val="0"/>
</file>

<file path=xl/ctrlProps/ctrlProp722.xml><?xml version="1.0" encoding="utf-8"?>
<formControlPr xmlns="http://schemas.microsoft.com/office/spreadsheetml/2009/9/main" objectType="Drop" dropStyle="combo" dx="16" fmlaLink="NeoBerInfB!$J$55" fmlaRange="tbl_Neo_NutrToevWaard" sel="1" val="0"/>
</file>

<file path=xl/ctrlProps/ctrlProp723.xml><?xml version="1.0" encoding="utf-8"?>
<formControlPr xmlns="http://schemas.microsoft.com/office/spreadsheetml/2009/9/main" objectType="Drop" dropStyle="combo" dx="16" fmlaLink="NeoBerInfB!$J$56" fmlaRange="tbl_Neo_NutrToevWaard" sel="1" val="0"/>
</file>

<file path=xl/ctrlProps/ctrlProp724.xml><?xml version="1.0" encoding="utf-8"?>
<formControlPr xmlns="http://schemas.microsoft.com/office/spreadsheetml/2009/9/main" objectType="Drop" dropStyle="combo" dx="16" fmlaLink="NeoBerInfB!$J$53" fmlaRange="tbl_Neo_NutrToevWaard" sel="1" val="0"/>
</file>

<file path=xl/ctrlProps/ctrlProp725.xml><?xml version="1.0" encoding="utf-8"?>
<formControlPr xmlns="http://schemas.microsoft.com/office/spreadsheetml/2009/9/main" objectType="CheckBox" fmlaLink="NeoBerInfB!$B$17" lockText="1" noThreeD="1"/>
</file>

<file path=xl/ctrlProps/ctrlProp726.xml><?xml version="1.0" encoding="utf-8"?>
<formControlPr xmlns="http://schemas.microsoft.com/office/spreadsheetml/2009/9/main" objectType="Spin" dx="15" fmlaLink="NeoBerInfB!$F$21" max="30000" page="10" val="0"/>
</file>

<file path=xl/ctrlProps/ctrlProp727.xml><?xml version="1.0" encoding="utf-8"?>
<formControlPr xmlns="http://schemas.microsoft.com/office/spreadsheetml/2009/9/main" objectType="Spin" dx="15" fmlaLink="NeoBerInfB!$F$22" max="30000" page="10" val="0"/>
</file>

<file path=xl/ctrlProps/ctrlProp728.xml><?xml version="1.0" encoding="utf-8"?>
<formControlPr xmlns="http://schemas.microsoft.com/office/spreadsheetml/2009/9/main" objectType="Spin" dx="15" fmlaLink="NeoBerInfB!$F$23" max="30000" page="10" val="0"/>
</file>

<file path=xl/ctrlProps/ctrlProp729.xml><?xml version="1.0" encoding="utf-8"?>
<formControlPr xmlns="http://schemas.microsoft.com/office/spreadsheetml/2009/9/main" objectType="Spin" dx="15" fmlaLink="NeoBerInfB!$F$24" max="30000" page="10" val="0"/>
</file>

<file path=xl/ctrlProps/ctrlProp730.xml><?xml version="1.0" encoding="utf-8"?>
<formControlPr xmlns="http://schemas.microsoft.com/office/spreadsheetml/2009/9/main" objectType="Spin" dx="15" fmlaLink="NeoBerInfB!$F$25" max="30000" page="10" val="0"/>
</file>

<file path=xl/ctrlProps/ctrlProp731.xml><?xml version="1.0" encoding="utf-8"?>
<formControlPr xmlns="http://schemas.microsoft.com/office/spreadsheetml/2009/9/main" objectType="Spin" dx="15" fmlaLink="NeoBerInfB!$F$26" max="30000" page="10" val="0"/>
</file>

<file path=xl/ctrlProps/ctrlProp732.xml><?xml version="1.0" encoding="utf-8"?>
<formControlPr xmlns="http://schemas.microsoft.com/office/spreadsheetml/2009/9/main" objectType="Spin" dx="15" fmlaLink="NeoBerInfB!$F$27" max="30000" page="10" val="0"/>
</file>

<file path=xl/ctrlProps/ctrlProp733.xml><?xml version="1.0" encoding="utf-8"?>
<formControlPr xmlns="http://schemas.microsoft.com/office/spreadsheetml/2009/9/main" objectType="Spin" dx="15" fmlaLink="NeoBerInfB!$F$28" max="30000" page="10" val="0"/>
</file>

<file path=xl/ctrlProps/ctrlProp734.xml><?xml version="1.0" encoding="utf-8"?>
<formControlPr xmlns="http://schemas.microsoft.com/office/spreadsheetml/2009/9/main" objectType="Drop" dropStyle="combo" dx="16" fmlaLink="NeoBerInfB!$F$35" fmlaRange="tbl_Neo_IntralipidSmof" sel="1" val="0"/>
</file>

<file path=xl/ctrlProps/ctrlProp735.xml><?xml version="1.0" encoding="utf-8"?>
<formControlPr xmlns="http://schemas.microsoft.com/office/spreadsheetml/2009/9/main" objectType="Drop" dropStyle="combo" dx="16" fmlaLink="NeoBer1700!$B$20" fmlaRange="tbl_Neo_MedIV" sel="1" val="0"/>
</file>

<file path=xl/ctrlProps/ctrlProp736.xml><?xml version="1.0" encoding="utf-8"?>
<formControlPr xmlns="http://schemas.microsoft.com/office/spreadsheetml/2009/9/main" objectType="Drop" dropStyle="combo" dx="16" fmlaLink="NeoBer1700!$B$21" fmlaRange="tbl_Neo_MedIV" sel="1" val="0"/>
</file>

<file path=xl/ctrlProps/ctrlProp737.xml><?xml version="1.0" encoding="utf-8"?>
<formControlPr xmlns="http://schemas.microsoft.com/office/spreadsheetml/2009/9/main" objectType="Drop" dropStyle="combo" dx="16" fmlaLink="NeoBer1700!$B$22" fmlaRange="tbl_Neo_MedIV" sel="1" val="0"/>
</file>

<file path=xl/ctrlProps/ctrlProp738.xml><?xml version="1.0" encoding="utf-8"?>
<formControlPr xmlns="http://schemas.microsoft.com/office/spreadsheetml/2009/9/main" objectType="Drop" dropStyle="combo" dx="16" fmlaLink="NeoBer1700!$B$23" fmlaRange="tbl_Neo_MedIV" sel="1" val="0"/>
</file>

<file path=xl/ctrlProps/ctrlProp739.xml><?xml version="1.0" encoding="utf-8"?>
<formControlPr xmlns="http://schemas.microsoft.com/office/spreadsheetml/2009/9/main" objectType="Drop" dropStyle="combo" dx="16" fmlaLink="NeoBer1700!$B$24" fmlaRange="tbl_Neo_MedIV" sel="1" val="0"/>
</file>

<file path=xl/ctrlProps/ctrlProp740.xml><?xml version="1.0" encoding="utf-8"?>
<formControlPr xmlns="http://schemas.microsoft.com/office/spreadsheetml/2009/9/main" objectType="Drop" dropStyle="combo" dx="16" fmlaLink="NeoBer1700!$B$25" fmlaRange="tbl_Neo_MedIV" sel="1" val="0"/>
</file>

<file path=xl/ctrlProps/ctrlProp741.xml><?xml version="1.0" encoding="utf-8"?>
<formControlPr xmlns="http://schemas.microsoft.com/office/spreadsheetml/2009/9/main" objectType="Drop" dropStyle="combo" dx="16" fmlaLink="NeoBer1700!$B$26" fmlaRange="tbl_Neo_MedIV" sel="1" val="0"/>
</file>

<file path=xl/ctrlProps/ctrlProp742.xml><?xml version="1.0" encoding="utf-8"?>
<formControlPr xmlns="http://schemas.microsoft.com/office/spreadsheetml/2009/9/main" objectType="Spin" dx="15" fmlaLink="NeoBer1700!$B$18" inc="5" max="10" page="10" val="0"/>
</file>

<file path=xl/ctrlProps/ctrlProp743.xml><?xml version="1.0" encoding="utf-8"?>
<formControlPr xmlns="http://schemas.microsoft.com/office/spreadsheetml/2009/9/main" objectType="Spin" dx="15" fmlaLink="NeoBer1700!$F$20" max="30000" page="10" val="0"/>
</file>

<file path=xl/ctrlProps/ctrlProp744.xml><?xml version="1.0" encoding="utf-8"?>
<formControlPr xmlns="http://schemas.microsoft.com/office/spreadsheetml/2009/9/main" objectType="Spin" dx="15" fmlaLink="NeoBer1700!$F$21" max="30000" page="10" val="0"/>
</file>

<file path=xl/ctrlProps/ctrlProp745.xml><?xml version="1.0" encoding="utf-8"?>
<formControlPr xmlns="http://schemas.microsoft.com/office/spreadsheetml/2009/9/main" objectType="Spin" dx="15" fmlaLink="NeoBer1700!$F$22" max="30000" page="10" val="0"/>
</file>

<file path=xl/ctrlProps/ctrlProp746.xml><?xml version="1.0" encoding="utf-8"?>
<formControlPr xmlns="http://schemas.microsoft.com/office/spreadsheetml/2009/9/main" objectType="Spin" dx="15" fmlaLink="NeoBer1700!$F$23" max="30000" page="10" val="0"/>
</file>

<file path=xl/ctrlProps/ctrlProp747.xml><?xml version="1.0" encoding="utf-8"?>
<formControlPr xmlns="http://schemas.microsoft.com/office/spreadsheetml/2009/9/main" objectType="Spin" dx="15" fmlaLink="NeoBer1700!$F$24" max="30000" page="10" val="0"/>
</file>

<file path=xl/ctrlProps/ctrlProp748.xml><?xml version="1.0" encoding="utf-8"?>
<formControlPr xmlns="http://schemas.microsoft.com/office/spreadsheetml/2009/9/main" objectType="Spin" dx="15" fmlaLink="NeoBer1700!$F$25" max="30000" page="10" val="0"/>
</file>

<file path=xl/ctrlProps/ctrlProp749.xml><?xml version="1.0" encoding="utf-8"?>
<formControlPr xmlns="http://schemas.microsoft.com/office/spreadsheetml/2009/9/main" objectType="Spin" dx="15" fmlaLink="NeoBer1700!$F$26" max="30000" page="10" val="0"/>
</file>

<file path=xl/ctrlProps/ctrlProp750.xml><?xml version="1.0" encoding="utf-8"?>
<formControlPr xmlns="http://schemas.microsoft.com/office/spreadsheetml/2009/9/main" objectType="Radio" checked="Checked" firstButton="1" fmlaLink="NeoBer1700!$J$14" lockText="1"/>
</file>

<file path=xl/ctrlProps/ctrlProp751.xml><?xml version="1.0" encoding="utf-8"?>
<formControlPr xmlns="http://schemas.microsoft.com/office/spreadsheetml/2009/9/main" objectType="Radio" lockText="1"/>
</file>

<file path=xl/ctrlProps/ctrlProp752.xml><?xml version="1.0" encoding="utf-8"?>
<formControlPr xmlns="http://schemas.microsoft.com/office/spreadsheetml/2009/9/main" objectType="Spin" dx="15" fmlaLink="NeoBer1700!$D$10" max="24" page="10" val="0"/>
</file>

<file path=xl/ctrlProps/ctrlProp753.xml><?xml version="1.0" encoding="utf-8"?>
<formControlPr xmlns="http://schemas.microsoft.com/office/spreadsheetml/2009/9/main" objectType="Spin" dx="15" fmlaLink="NeoBer1700!$D$11" inc="5" max="30000" page="10" val="0"/>
</file>

<file path=xl/ctrlProps/ctrlProp754.xml><?xml version="1.0" encoding="utf-8"?>
<formControlPr xmlns="http://schemas.microsoft.com/office/spreadsheetml/2009/9/main" objectType="Spin" dx="15" fmlaLink="NeoBer1700!$D$16" inc="5" max="30000" page="10" val="5000"/>
</file>

<file path=xl/ctrlProps/ctrlProp755.xml><?xml version="1.0" encoding="utf-8"?>
<formControlPr xmlns="http://schemas.microsoft.com/office/spreadsheetml/2009/9/main" objectType="Radio" checked="Checked" firstButton="1" fmlaLink="NeoBer1700!$D$36" lockText="1"/>
</file>

<file path=xl/ctrlProps/ctrlProp756.xml><?xml version="1.0" encoding="utf-8"?>
<formControlPr xmlns="http://schemas.microsoft.com/office/spreadsheetml/2009/9/main" objectType="Radio" lockText="1"/>
</file>

<file path=xl/ctrlProps/ctrlProp757.xml><?xml version="1.0" encoding="utf-8"?>
<formControlPr xmlns="http://schemas.microsoft.com/office/spreadsheetml/2009/9/main" objectType="Radio" lockText="1"/>
</file>

<file path=xl/ctrlProps/ctrlProp758.xml><?xml version="1.0" encoding="utf-8"?>
<formControlPr xmlns="http://schemas.microsoft.com/office/spreadsheetml/2009/9/main" objectType="Spin" dx="15" fmlaLink="NeoBer1700!$D$37" inc="10" max="30000" page="10" val="5000"/>
</file>

<file path=xl/ctrlProps/ctrlProp759.xml><?xml version="1.0" encoding="utf-8"?>
<formControlPr xmlns="http://schemas.microsoft.com/office/spreadsheetml/2009/9/main" objectType="Spin" dx="15" fmlaLink="NeoBer1700!$D$38" inc="10" max="30000" page="10" val="5000"/>
</file>

<file path=xl/ctrlProps/ctrlProp760.xml><?xml version="1.0" encoding="utf-8"?>
<formControlPr xmlns="http://schemas.microsoft.com/office/spreadsheetml/2009/9/main" objectType="Spin" dx="15" fmlaLink="NeoBer1700!$D$39" inc="10" max="30000" page="10" val="5000"/>
</file>

<file path=xl/ctrlProps/ctrlProp761.xml><?xml version="1.0" encoding="utf-8"?>
<formControlPr xmlns="http://schemas.microsoft.com/office/spreadsheetml/2009/9/main" objectType="Spin" dx="15" fmlaLink="NeoBer1700!$D$40" max="30000" page="10" val="5000"/>
</file>

<file path=xl/ctrlProps/ctrlProp762.xml><?xml version="1.0" encoding="utf-8"?>
<formControlPr xmlns="http://schemas.microsoft.com/office/spreadsheetml/2009/9/main" objectType="Spin" dx="15" fmlaLink="NeoBer1700!$D$41" max="30000" page="10" val="5000"/>
</file>

<file path=xl/ctrlProps/ctrlProp763.xml><?xml version="1.0" encoding="utf-8"?>
<formControlPr xmlns="http://schemas.microsoft.com/office/spreadsheetml/2009/9/main" objectType="Spin" dx="15" fmlaLink="NeoBer1700!$D$42" max="30000" page="10" val="5000"/>
</file>

<file path=xl/ctrlProps/ctrlProp764.xml><?xml version="1.0" encoding="utf-8"?>
<formControlPr xmlns="http://schemas.microsoft.com/office/spreadsheetml/2009/9/main" objectType="Spin" dx="15" fmlaLink="NeoBer1700!$D$43" max="30000" page="10" val="5000"/>
</file>

<file path=xl/ctrlProps/ctrlProp765.xml><?xml version="1.0" encoding="utf-8"?>
<formControlPr xmlns="http://schemas.microsoft.com/office/spreadsheetml/2009/9/main" objectType="Spin" dx="15" fmlaLink="NeoBer1700!$D$37" max="30000" page="10" val="5000"/>
</file>

<file path=xl/ctrlProps/ctrlProp766.xml><?xml version="1.0" encoding="utf-8"?>
<formControlPr xmlns="http://schemas.microsoft.com/office/spreadsheetml/2009/9/main" objectType="Spin" dx="15" fmlaLink="NeoBer1700!$D$38" max="30000" page="10" val="5000"/>
</file>

<file path=xl/ctrlProps/ctrlProp767.xml><?xml version="1.0" encoding="utf-8"?>
<formControlPr xmlns="http://schemas.microsoft.com/office/spreadsheetml/2009/9/main" objectType="Spin" dx="15" fmlaLink="NeoBer1700!$D$44" max="30000" page="10" val="5000"/>
</file>

<file path=xl/ctrlProps/ctrlProp768.xml><?xml version="1.0" encoding="utf-8"?>
<formControlPr xmlns="http://schemas.microsoft.com/office/spreadsheetml/2009/9/main" objectType="Radio" firstButton="1" fmlaLink="NeoBer1700!$B$15" lockText="1"/>
</file>

<file path=xl/ctrlProps/ctrlProp769.xml><?xml version="1.0" encoding="utf-8"?>
<formControlPr xmlns="http://schemas.microsoft.com/office/spreadsheetml/2009/9/main" objectType="Radio" lockText="1"/>
</file>

<file path=xl/ctrlProps/ctrlProp770.xml><?xml version="1.0" encoding="utf-8"?>
<formControlPr xmlns="http://schemas.microsoft.com/office/spreadsheetml/2009/9/main" objectType="Drop" dropStyle="combo" dx="16" fmlaLink="NeoBer1700!$E$20" fmlaRange="tbl_Neo_Opl" sel="1" val="2"/>
</file>

<file path=xl/ctrlProps/ctrlProp771.xml><?xml version="1.0" encoding="utf-8"?>
<formControlPr xmlns="http://schemas.microsoft.com/office/spreadsheetml/2009/9/main" objectType="Drop" dropStyle="combo" dx="16" fmlaLink="NeoBer1700!$E$21" fmlaRange="tbl_Neo_Opl" sel="1" val="0"/>
</file>

<file path=xl/ctrlProps/ctrlProp772.xml><?xml version="1.0" encoding="utf-8"?>
<formControlPr xmlns="http://schemas.microsoft.com/office/spreadsheetml/2009/9/main" objectType="Drop" dropStyle="combo" dx="16" fmlaLink="NeoBer1700!$E$22" fmlaRange="tbl_Neo_Opl" sel="1" val="0"/>
</file>

<file path=xl/ctrlProps/ctrlProp773.xml><?xml version="1.0" encoding="utf-8"?>
<formControlPr xmlns="http://schemas.microsoft.com/office/spreadsheetml/2009/9/main" objectType="Drop" dropStyle="combo" dx="16" fmlaLink="NeoBer1700!$E$23" fmlaRange="tbl_Neo_Opl" sel="1" val="0"/>
</file>

<file path=xl/ctrlProps/ctrlProp774.xml><?xml version="1.0" encoding="utf-8"?>
<formControlPr xmlns="http://schemas.microsoft.com/office/spreadsheetml/2009/9/main" objectType="Drop" dropStyle="combo" dx="16" fmlaLink="NeoBer1700!$E$24" fmlaRange="tbl_Neo_Opl" sel="1" val="0"/>
</file>

<file path=xl/ctrlProps/ctrlProp775.xml><?xml version="1.0" encoding="utf-8"?>
<formControlPr xmlns="http://schemas.microsoft.com/office/spreadsheetml/2009/9/main" objectType="Drop" dropStyle="combo" dx="16" fmlaLink="NeoBer1700!$E$25" fmlaRange="tbl_Neo_Opl" sel="1" val="0"/>
</file>

<file path=xl/ctrlProps/ctrlProp776.xml><?xml version="1.0" encoding="utf-8"?>
<formControlPr xmlns="http://schemas.microsoft.com/office/spreadsheetml/2009/9/main" objectType="Spin" dx="15" fmlaLink="NeoBer1700!$D$20" max="30000" page="10" val="0"/>
</file>

<file path=xl/ctrlProps/ctrlProp777.xml><?xml version="1.0" encoding="utf-8"?>
<formControlPr xmlns="http://schemas.microsoft.com/office/spreadsheetml/2009/9/main" objectType="Spin" dx="15" fmlaLink="NeoBer1700!$D$21" max="30000" page="10" val="0"/>
</file>

<file path=xl/ctrlProps/ctrlProp778.xml><?xml version="1.0" encoding="utf-8"?>
<formControlPr xmlns="http://schemas.microsoft.com/office/spreadsheetml/2009/9/main" objectType="Spin" dx="15" fmlaLink="NeoBer1700!$D$22" max="30000" page="10" val="0"/>
</file>

<file path=xl/ctrlProps/ctrlProp779.xml><?xml version="1.0" encoding="utf-8"?>
<formControlPr xmlns="http://schemas.microsoft.com/office/spreadsheetml/2009/9/main" objectType="Spin" dx="15" fmlaLink="NeoBer1700!$D$23" max="30000" page="10" val="0"/>
</file>

<file path=xl/ctrlProps/ctrlProp780.xml><?xml version="1.0" encoding="utf-8"?>
<formControlPr xmlns="http://schemas.microsoft.com/office/spreadsheetml/2009/9/main" objectType="Spin" dx="15" fmlaLink="NeoBer1700!$D$24" max="30000" page="10" val="0"/>
</file>

<file path=xl/ctrlProps/ctrlProp781.xml><?xml version="1.0" encoding="utf-8"?>
<formControlPr xmlns="http://schemas.microsoft.com/office/spreadsheetml/2009/9/main" objectType="Spin" dx="15" fmlaLink="NeoBer1700!$D$25" max="30000" page="10" val="0"/>
</file>

<file path=xl/ctrlProps/ctrlProp782.xml><?xml version="1.0" encoding="utf-8"?>
<formControlPr xmlns="http://schemas.microsoft.com/office/spreadsheetml/2009/9/main" objectType="Spin" dx="15" fmlaLink="NeoBer1700!$D$26" max="30000" page="10" val="0"/>
</file>

<file path=xl/ctrlProps/ctrlProp783.xml><?xml version="1.0" encoding="utf-8"?>
<formControlPr xmlns="http://schemas.microsoft.com/office/spreadsheetml/2009/9/main" objectType="Spin" dx="15" fmlaLink="NeoBer1700!$C$20" inc="10" max="30000" page="10" val="0"/>
</file>

<file path=xl/ctrlProps/ctrlProp784.xml><?xml version="1.0" encoding="utf-8"?>
<formControlPr xmlns="http://schemas.microsoft.com/office/spreadsheetml/2009/9/main" objectType="Spin" dx="15" fmlaLink="NeoBer1700!$C$21" inc="10" max="30000" page="10" val="0"/>
</file>

<file path=xl/ctrlProps/ctrlProp785.xml><?xml version="1.0" encoding="utf-8"?>
<formControlPr xmlns="http://schemas.microsoft.com/office/spreadsheetml/2009/9/main" objectType="Spin" dx="15" fmlaLink="NeoBer1700!$C$22" inc="10" max="30000" page="10" val="0"/>
</file>

<file path=xl/ctrlProps/ctrlProp786.xml><?xml version="1.0" encoding="utf-8"?>
<formControlPr xmlns="http://schemas.microsoft.com/office/spreadsheetml/2009/9/main" objectType="Spin" dx="15" fmlaLink="NeoBer1700!$C$23" inc="10" max="30000" page="10" val="0"/>
</file>

<file path=xl/ctrlProps/ctrlProp787.xml><?xml version="1.0" encoding="utf-8"?>
<formControlPr xmlns="http://schemas.microsoft.com/office/spreadsheetml/2009/9/main" objectType="Spin" dx="15" fmlaLink="NeoBer1700!$C$24" inc="10" max="30000" page="10" val="0"/>
</file>

<file path=xl/ctrlProps/ctrlProp788.xml><?xml version="1.0" encoding="utf-8"?>
<formControlPr xmlns="http://schemas.microsoft.com/office/spreadsheetml/2009/9/main" objectType="Spin" dx="15" fmlaLink="NeoBer1700!$C$25" inc="10" max="30000" page="10" val="0"/>
</file>

<file path=xl/ctrlProps/ctrlProp789.xml><?xml version="1.0" encoding="utf-8"?>
<formControlPr xmlns="http://schemas.microsoft.com/office/spreadsheetml/2009/9/main" objectType="Spin" dx="15" fmlaLink="NeoBer1700!$C$26" inc="10" max="30000" page="10" val="0"/>
</file>

<file path=xl/ctrlProps/ctrlProp790.xml><?xml version="1.0" encoding="utf-8"?>
<formControlPr xmlns="http://schemas.microsoft.com/office/spreadsheetml/2009/9/main" objectType="GBox"/>
</file>

<file path=xl/ctrlProps/ctrlProp791.xml><?xml version="1.0" encoding="utf-8"?>
<formControlPr xmlns="http://schemas.microsoft.com/office/spreadsheetml/2009/9/main" objectType="GBox" noThreeD="1"/>
</file>

<file path=xl/ctrlProps/ctrlProp792.xml><?xml version="1.0" encoding="utf-8"?>
<formControlPr xmlns="http://schemas.microsoft.com/office/spreadsheetml/2009/9/main" objectType="CheckBox" fmlaLink="NeoBer1700!$J$18" lockText="1"/>
</file>

<file path=xl/ctrlProps/ctrlProp793.xml><?xml version="1.0" encoding="utf-8"?>
<formControlPr xmlns="http://schemas.microsoft.com/office/spreadsheetml/2009/9/main" objectType="CheckBox" fmlaLink="NeoBer1700!$J$20" lockText="1"/>
</file>

<file path=xl/ctrlProps/ctrlProp794.xml><?xml version="1.0" encoding="utf-8"?>
<formControlPr xmlns="http://schemas.microsoft.com/office/spreadsheetml/2009/9/main" objectType="CheckBox" fmlaLink="NeoBer1700!$J$21" lockText="1"/>
</file>

<file path=xl/ctrlProps/ctrlProp795.xml><?xml version="1.0" encoding="utf-8"?>
<formControlPr xmlns="http://schemas.microsoft.com/office/spreadsheetml/2009/9/main" objectType="CheckBox" fmlaLink="NeoBer1700!$J$22" lockText="1"/>
</file>

<file path=xl/ctrlProps/ctrlProp796.xml><?xml version="1.0" encoding="utf-8"?>
<formControlPr xmlns="http://schemas.microsoft.com/office/spreadsheetml/2009/9/main" objectType="CheckBox" fmlaLink="NeoBer1700!$J$23" lockText="1"/>
</file>

<file path=xl/ctrlProps/ctrlProp797.xml><?xml version="1.0" encoding="utf-8"?>
<formControlPr xmlns="http://schemas.microsoft.com/office/spreadsheetml/2009/9/main" objectType="CheckBox" fmlaLink="NeoBer1700!$J$24" lockText="1"/>
</file>

<file path=xl/ctrlProps/ctrlProp798.xml><?xml version="1.0" encoding="utf-8"?>
<formControlPr xmlns="http://schemas.microsoft.com/office/spreadsheetml/2009/9/main" objectType="CheckBox" fmlaLink="NeoBer1700!$J$25" lockText="1"/>
</file>

<file path=xl/ctrlProps/ctrlProp799.xml><?xml version="1.0" encoding="utf-8"?>
<formControlPr xmlns="http://schemas.microsoft.com/office/spreadsheetml/2009/9/main" objectType="CheckBox" lockText="1"/>
</file>

<file path=xl/ctrlProps/ctrlProp800.xml><?xml version="1.0" encoding="utf-8"?>
<formControlPr xmlns="http://schemas.microsoft.com/office/spreadsheetml/2009/9/main" objectType="Drop" dropStyle="combo" dx="16" fmlaLink="NeoBer1700!$B$27" fmlaRange="tbl_Neo_MedIV" sel="1" val="2"/>
</file>

<file path=xl/ctrlProps/ctrlProp801.xml><?xml version="1.0" encoding="utf-8"?>
<formControlPr xmlns="http://schemas.microsoft.com/office/spreadsheetml/2009/9/main" objectType="Spin" dx="15" fmlaLink="NeoBer1700!$F$27" max="30000" page="10" val="0"/>
</file>

<file path=xl/ctrlProps/ctrlProp802.xml><?xml version="1.0" encoding="utf-8"?>
<formControlPr xmlns="http://schemas.microsoft.com/office/spreadsheetml/2009/9/main" objectType="Drop" dropStyle="combo" dx="16" fmlaLink="NeoBer1700!$E$26" fmlaRange="tbl_Neo_Opl" sel="1" val="0"/>
</file>

<file path=xl/ctrlProps/ctrlProp803.xml><?xml version="1.0" encoding="utf-8"?>
<formControlPr xmlns="http://schemas.microsoft.com/office/spreadsheetml/2009/9/main" objectType="Spin" dx="15" fmlaLink="NeoBer1700!$D$27" max="30000" page="10" val="0"/>
</file>

<file path=xl/ctrlProps/ctrlProp804.xml><?xml version="1.0" encoding="utf-8"?>
<formControlPr xmlns="http://schemas.microsoft.com/office/spreadsheetml/2009/9/main" objectType="Spin" dx="15" fmlaLink="NeoBer1700!$C$27" inc="10" max="30000" page="10" val="0"/>
</file>

<file path=xl/ctrlProps/ctrlProp805.xml><?xml version="1.0" encoding="utf-8"?>
<formControlPr xmlns="http://schemas.microsoft.com/office/spreadsheetml/2009/9/main" objectType="CheckBox" fmlaLink="NeoBer1700!$J$26" lockText="1"/>
</file>

<file path=xl/ctrlProps/ctrlProp806.xml><?xml version="1.0" encoding="utf-8"?>
<formControlPr xmlns="http://schemas.microsoft.com/office/spreadsheetml/2009/9/main" objectType="CheckBox" lockText="1"/>
</file>

<file path=xl/ctrlProps/ctrlProp807.xml><?xml version="1.0" encoding="utf-8"?>
<formControlPr xmlns="http://schemas.microsoft.com/office/spreadsheetml/2009/9/main" objectType="Spin" dx="15" fmlaLink="NeoBer1700!$F$28" max="30000" page="10" val="0"/>
</file>

<file path=xl/ctrlProps/ctrlProp808.xml><?xml version="1.0" encoding="utf-8"?>
<formControlPr xmlns="http://schemas.microsoft.com/office/spreadsheetml/2009/9/main" objectType="Drop" dropStyle="combo" dx="16" fmlaLink="NeoBer1700!$E$27" fmlaRange="tbl_Neo_Opl" sel="1" val="0"/>
</file>

<file path=xl/ctrlProps/ctrlProp809.xml><?xml version="1.0" encoding="utf-8"?>
<formControlPr xmlns="http://schemas.microsoft.com/office/spreadsheetml/2009/9/main" objectType="Drop" dropStyle="combo" dx="16" fmlaLink="NeoBer1700!$E$28" fmlaRange="tbl_Neo_Opl" sel="1" val="0"/>
</file>

<file path=xl/ctrlProps/ctrlProp810.xml><?xml version="1.0" encoding="utf-8"?>
<formControlPr xmlns="http://schemas.microsoft.com/office/spreadsheetml/2009/9/main" objectType="CheckBox" fmlaLink="NeoBer1700!$J$27" lockText="1"/>
</file>

<file path=xl/ctrlProps/ctrlProp811.xml><?xml version="1.0" encoding="utf-8"?>
<formControlPr xmlns="http://schemas.microsoft.com/office/spreadsheetml/2009/9/main" objectType="CheckBox" fmlaLink="NeoBer1700!$J$28" lockText="1"/>
</file>

<file path=xl/ctrlProps/ctrlProp812.xml><?xml version="1.0" encoding="utf-8"?>
<formControlPr xmlns="http://schemas.microsoft.com/office/spreadsheetml/2009/9/main" objectType="Spin" dx="15" fmlaLink="NeoBer1700!$D$35" max="30000" page="10" val="5000"/>
</file>

<file path=xl/ctrlProps/ctrlProp813.xml><?xml version="1.0" encoding="utf-8"?>
<formControlPr xmlns="http://schemas.microsoft.com/office/spreadsheetml/2009/9/main" objectType="Drop" dropStyle="combo" dx="16" fmlaLink="NeoBer1700!$D$45" fmlaRange="NeoTblLijst!$A$4:$A$13" sel="0" val="0"/>
</file>

<file path=xl/ctrlProps/ctrlProp814.xml><?xml version="1.0" encoding="utf-8"?>
<formControlPr xmlns="http://schemas.microsoft.com/office/spreadsheetml/2009/9/main" objectType="Spin" dx="15" fmlaLink="NeoBerInfB!$D$4" max="43" min="24" page="10" val="24"/>
</file>

<file path=xl/ctrlProps/ctrlProp815.xml><?xml version="1.0" encoding="utf-8"?>
<formControlPr xmlns="http://schemas.microsoft.com/office/spreadsheetml/2009/9/main" objectType="Spin" dx="15" fmlaLink="NeoBerInfB!$D$5" max="6" page="10" val="0"/>
</file>

<file path=xl/ctrlProps/ctrlProp816.xml><?xml version="1.0" encoding="utf-8"?>
<formControlPr xmlns="http://schemas.microsoft.com/office/spreadsheetml/2009/9/main" objectType="Drop" dropStyle="combo" dx="16" fmlaLink="NeoBer1700!$B$54" fmlaRange="tbl_Neo_NutrMMToev" sel="1" val="0"/>
</file>

<file path=xl/ctrlProps/ctrlProp817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18.xml><?xml version="1.0" encoding="utf-8"?>
<formControlPr xmlns="http://schemas.microsoft.com/office/spreadsheetml/2009/9/main" objectType="Drop" dropStyle="combo" dx="16" fmlaLink="NeoBer1700!$D$14" fmlaRange="tbl_Neo_Pos" sel="1" val="0"/>
</file>

<file path=xl/ctrlProps/ctrlProp819.xml><?xml version="1.0" encoding="utf-8"?>
<formControlPr xmlns="http://schemas.microsoft.com/office/spreadsheetml/2009/9/main" objectType="Spin" dx="15" fmlaLink="NeoBer1700!$D$12" max="24" page="10" val="0"/>
</file>

<file path=xl/ctrlProps/ctrlProp820.xml><?xml version="1.0" encoding="utf-8"?>
<formControlPr xmlns="http://schemas.microsoft.com/office/spreadsheetml/2009/9/main" objectType="Spin" dx="15" fmlaLink="NeoBer1700!$D$13" inc="5" max="30000" page="10" val="0"/>
</file>

<file path=xl/ctrlProps/ctrlProp821.xml><?xml version="1.0" encoding="utf-8"?>
<formControlPr xmlns="http://schemas.microsoft.com/office/spreadsheetml/2009/9/main" objectType="Drop" dropStyle="combo" dx="16" fmlaLink="NeoBer1700!$B$55" fmlaRange="tbl_Neo_NutrMMToev" sel="1" val="0"/>
</file>

<file path=xl/ctrlProps/ctrlProp822.xml><?xml version="1.0" encoding="utf-8"?>
<formControlPr xmlns="http://schemas.microsoft.com/office/spreadsheetml/2009/9/main" objectType="Drop" dropStyle="combo" dx="16" fmlaLink="NeoBer1700!$B$56" fmlaRange="tbl_Neo_NutrMMToev" sel="1" val="0"/>
</file>

<file path=xl/ctrlProps/ctrlProp823.xml><?xml version="1.0" encoding="utf-8"?>
<formControlPr xmlns="http://schemas.microsoft.com/office/spreadsheetml/2009/9/main" objectType="Drop" dropStyle="combo" dx="16" fmlaLink="NeoBer1700!$B$28" fmlaRange="tbl_Neo_MedIV" sel="1" val="2"/>
</file>

<file path=xl/ctrlProps/ctrlProp824.xml><?xml version="1.0" encoding="utf-8"?>
<formControlPr xmlns="http://schemas.microsoft.com/office/spreadsheetml/2009/9/main" objectType="Spin" dx="15" fmlaLink="NeoBer1700!$D$28" max="30000" page="10" val="0"/>
</file>

<file path=xl/ctrlProps/ctrlProp825.xml><?xml version="1.0" encoding="utf-8"?>
<formControlPr xmlns="http://schemas.microsoft.com/office/spreadsheetml/2009/9/main" objectType="Spin" dx="15" fmlaLink="NeoBer1700!$C$28" inc="10" max="30000" page="10" val="0"/>
</file>

<file path=xl/ctrlProps/ctrlProp826.xml><?xml version="1.0" encoding="utf-8"?>
<formControlPr xmlns="http://schemas.microsoft.com/office/spreadsheetml/2009/9/main" objectType="Drop" dropStyle="combo" dx="16" fmlaLink="NeoBer1700!$E$28" fmlaRange="tbl_Neo_Opl" sel="1" val="2"/>
</file>

<file path=xl/ctrlProps/ctrlProp827.xml><?xml version="1.0" encoding="utf-8"?>
<formControlPr xmlns="http://schemas.microsoft.com/office/spreadsheetml/2009/9/main" objectType="Drop" dropStyle="combo" dx="16" fmlaLink="NeoBer1700!$E$29" fmlaRange="tbl_Neo_Opl" sel="1" val="0"/>
</file>

<file path=xl/ctrlProps/ctrlProp828.xml><?xml version="1.0" encoding="utf-8"?>
<formControlPr xmlns="http://schemas.microsoft.com/office/spreadsheetml/2009/9/main" objectType="Spin" dx="15" fmlaLink="NeoBer1700!$F$29" max="30000" page="10" val="0"/>
</file>

<file path=xl/ctrlProps/ctrlProp829.xml><?xml version="1.0" encoding="utf-8"?>
<formControlPr xmlns="http://schemas.microsoft.com/office/spreadsheetml/2009/9/main" objectType="CheckBox" fmlaLink="NeoBer1700!$J$29" lockText="1"/>
</file>

<file path=xl/ctrlProps/ctrlProp830.xml><?xml version="1.0" encoding="utf-8"?>
<formControlPr xmlns="http://schemas.microsoft.com/office/spreadsheetml/2009/9/main" objectType="Drop" dropStyle="combo" dx="16" fmlaLink="NeoBer1700!$E$30" fmlaRange="tbl_Neo_Opl" sel="1" val="0"/>
</file>

<file path=xl/ctrlProps/ctrlProp831.xml><?xml version="1.0" encoding="utf-8"?>
<formControlPr xmlns="http://schemas.microsoft.com/office/spreadsheetml/2009/9/main" objectType="Spin" dx="15" fmlaLink="NeoBer1700!$F$30" max="30000" page="10" val="0"/>
</file>

<file path=xl/ctrlProps/ctrlProp832.xml><?xml version="1.0" encoding="utf-8"?>
<formControlPr xmlns="http://schemas.microsoft.com/office/spreadsheetml/2009/9/main" objectType="CheckBox" fmlaLink="NeoBer1700!$J$30" lockText="1"/>
</file>

<file path=xl/ctrlProps/ctrlProp833.xml><?xml version="1.0" encoding="utf-8"?>
<formControlPr xmlns="http://schemas.microsoft.com/office/spreadsheetml/2009/9/main" objectType="CheckBox" fmlaLink="NeoBer1700!$J$30" lockText="1"/>
</file>

<file path=xl/ctrlProps/ctrlProp834.xml><?xml version="1.0" encoding="utf-8"?>
<formControlPr xmlns="http://schemas.microsoft.com/office/spreadsheetml/2009/9/main" objectType="Drop" dropStyle="combo" dx="16" fmlaLink="NeoBer1700!$E$31" fmlaRange="tbl_Neo_Opl" sel="1" val="0"/>
</file>

<file path=xl/ctrlProps/ctrlProp835.xml><?xml version="1.0" encoding="utf-8"?>
<formControlPr xmlns="http://schemas.microsoft.com/office/spreadsheetml/2009/9/main" objectType="Spin" dx="15" fmlaLink="NeoBer1700!$F$31" max="30000" page="10" val="0"/>
</file>

<file path=xl/ctrlProps/ctrlProp836.xml><?xml version="1.0" encoding="utf-8"?>
<formControlPr xmlns="http://schemas.microsoft.com/office/spreadsheetml/2009/9/main" objectType="CheckBox" fmlaLink="NeoBer1700!$J$31" lockText="1"/>
</file>

<file path=xl/ctrlProps/ctrlProp837.xml><?xml version="1.0" encoding="utf-8"?>
<formControlPr xmlns="http://schemas.microsoft.com/office/spreadsheetml/2009/9/main" objectType="Drop" dropStyle="combo" dx="16" fmlaLink="NeoBer1700!$B$59" fmlaRange="tbl_Neo_NutrKunstToev" sel="1" val="0"/>
</file>

<file path=xl/ctrlProps/ctrlProp838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39.xml><?xml version="1.0" encoding="utf-8"?>
<formControlPr xmlns="http://schemas.microsoft.com/office/spreadsheetml/2009/9/main" objectType="Drop" dropStyle="combo" dx="16" fmlaLink="NeoBer1700!$B$60" fmlaRange="tbl_Neo_NutrKunstToev" sel="1" val="0"/>
</file>

<file path=xl/ctrlProps/ctrlProp840.xml><?xml version="1.0" encoding="utf-8"?>
<formControlPr xmlns="http://schemas.microsoft.com/office/spreadsheetml/2009/9/main" objectType="Drop" dropStyle="combo" dx="16" fmlaLink="NeoBer1700!$B$61" fmlaRange="tbl_Neo_NutrKunstToev" sel="1" val="0"/>
</file>

<file path=xl/ctrlProps/ctrlProp841.xml><?xml version="1.0" encoding="utf-8"?>
<formControlPr xmlns="http://schemas.microsoft.com/office/spreadsheetml/2009/9/main" objectType="Drop" dropStyle="combo" dx="16" fmlaLink="NeoBer1700!$K$58" fmlaRange="tbl_Neo_NutrToevWaard" sel="0" val="0"/>
</file>

<file path=xl/ctrlProps/ctrlProp842.xml><?xml version="1.0" encoding="utf-8"?>
<formControlPr xmlns="http://schemas.microsoft.com/office/spreadsheetml/2009/9/main" objectType="Drop" dropStyle="combo" dx="16" fmlaLink="NeoBer1700!$J$59" fmlaRange="tbl_Neo_NutrToevWaard" sel="1" val="3"/>
</file>

<file path=xl/ctrlProps/ctrlProp843.xml><?xml version="1.0" encoding="utf-8"?>
<formControlPr xmlns="http://schemas.microsoft.com/office/spreadsheetml/2009/9/main" objectType="Drop" dropStyle="combo" dx="16" fmlaLink="NeoBer1700!$J$60" fmlaRange="tbl_Neo_NutrToevWaard" sel="1" val="0"/>
</file>

<file path=xl/ctrlProps/ctrlProp844.xml><?xml version="1.0" encoding="utf-8"?>
<formControlPr xmlns="http://schemas.microsoft.com/office/spreadsheetml/2009/9/main" objectType="Drop" dropStyle="combo" dx="16" fmlaLink="NeoBer1700!$J$61" fmlaRange="tbl_Neo_NutrToevWaard" sel="1" val="0"/>
</file>

<file path=xl/ctrlProps/ctrlProp845.xml><?xml version="1.0" encoding="utf-8"?>
<formControlPr xmlns="http://schemas.microsoft.com/office/spreadsheetml/2009/9/main" objectType="Drop" dropStyle="combo" dx="16" fmlaLink="NeoBer1700!$B$53" fmlaRange="tbl_Neo_NutrMMToev" sel="1" val="0"/>
</file>

<file path=xl/ctrlProps/ctrlProp846.xml><?xml version="1.0" encoding="utf-8"?>
<formControlPr xmlns="http://schemas.microsoft.com/office/spreadsheetml/2009/9/main" objectType="Drop" dropStyle="combo" dx="16" fmlaLink="NeoBer1700!$B$58" fmlaRange="tbl_Neo_NutrKunstToev" sel="1" val="0"/>
</file>

<file path=xl/ctrlProps/ctrlProp847.xml><?xml version="1.0" encoding="utf-8"?>
<formControlPr xmlns="http://schemas.microsoft.com/office/spreadsheetml/2009/9/main" objectType="Drop" dropStyle="combo" dx="16" fmlaLink="NeoBer1700!$J$58" fmlaRange="tbl_Neo_NutrToevWaard" sel="1" val="0"/>
</file>

<file path=xl/ctrlProps/ctrlProp848.xml><?xml version="1.0" encoding="utf-8"?>
<formControlPr xmlns="http://schemas.microsoft.com/office/spreadsheetml/2009/9/main" objectType="Drop" dropStyle="combo" dx="16" fmlaLink="NeoBer1700!$J$52" fmlaRange="tbl_Neo_NutrBMFWaard" sel="1" val="0"/>
</file>

<file path=xl/ctrlProps/ctrlProp849.xml><?xml version="1.0" encoding="utf-8"?>
<formControlPr xmlns="http://schemas.microsoft.com/office/spreadsheetml/2009/9/main" objectType="Drop" dropStyle="combo" dx="16" fmlaLink="NeoBer1700!$J$54" fmlaRange="tbl_Neo_NutrToevWaard" sel="1" val="0"/>
</file>

<file path=xl/ctrlProps/ctrlProp850.xml><?xml version="1.0" encoding="utf-8"?>
<formControlPr xmlns="http://schemas.microsoft.com/office/spreadsheetml/2009/9/main" objectType="Drop" dropStyle="combo" dx="16" fmlaLink="NeoBer1700!$J$55" fmlaRange="tbl_Neo_NutrToevWaard" sel="1" val="0"/>
</file>

<file path=xl/ctrlProps/ctrlProp851.xml><?xml version="1.0" encoding="utf-8"?>
<formControlPr xmlns="http://schemas.microsoft.com/office/spreadsheetml/2009/9/main" objectType="Drop" dropStyle="combo" dx="16" fmlaLink="NeoBer1700!$J$56" fmlaRange="tbl_Neo_NutrToevWaard" sel="1" val="0"/>
</file>

<file path=xl/ctrlProps/ctrlProp852.xml><?xml version="1.0" encoding="utf-8"?>
<formControlPr xmlns="http://schemas.microsoft.com/office/spreadsheetml/2009/9/main" objectType="Drop" dropStyle="combo" dx="16" fmlaLink="NeoBer1700!$J$53" fmlaRange="tbl_Neo_NutrToevWaard" sel="1" val="0"/>
</file>

<file path=xl/ctrlProps/ctrlProp853.xml><?xml version="1.0" encoding="utf-8"?>
<formControlPr xmlns="http://schemas.microsoft.com/office/spreadsheetml/2009/9/main" objectType="CheckBox" fmlaLink="NeoBer1700!$B$17" lockText="1" noThreeD="1"/>
</file>

<file path=xl/ctrlProps/ctrlProp854.xml><?xml version="1.0" encoding="utf-8"?>
<formControlPr xmlns="http://schemas.microsoft.com/office/spreadsheetml/2009/9/main" objectType="Spin" dx="15" fmlaLink="NeoBer1700!$F$21" max="30000" page="10" val="0"/>
</file>

<file path=xl/ctrlProps/ctrlProp855.xml><?xml version="1.0" encoding="utf-8"?>
<formControlPr xmlns="http://schemas.microsoft.com/office/spreadsheetml/2009/9/main" objectType="Spin" dx="15" fmlaLink="NeoBer1700!$F$21" max="30000" page="10" val="0"/>
</file>

<file path=xl/ctrlProps/ctrlProp856.xml><?xml version="1.0" encoding="utf-8"?>
<formControlPr xmlns="http://schemas.microsoft.com/office/spreadsheetml/2009/9/main" objectType="Spin" dx="15" fmlaLink="NeoBer1700!$F$22" max="30000" page="10" val="0"/>
</file>

<file path=xl/ctrlProps/ctrlProp857.xml><?xml version="1.0" encoding="utf-8"?>
<formControlPr xmlns="http://schemas.microsoft.com/office/spreadsheetml/2009/9/main" objectType="Spin" dx="15" fmlaLink="NeoBer1700!$F$21" max="30000" page="10" val="0"/>
</file>

<file path=xl/ctrlProps/ctrlProp858.xml><?xml version="1.0" encoding="utf-8"?>
<formControlPr xmlns="http://schemas.microsoft.com/office/spreadsheetml/2009/9/main" objectType="Spin" dx="15" fmlaLink="NeoBer1700!$F$23" max="30000" page="10" val="0"/>
</file>

<file path=xl/ctrlProps/ctrlProp859.xml><?xml version="1.0" encoding="utf-8"?>
<formControlPr xmlns="http://schemas.microsoft.com/office/spreadsheetml/2009/9/main" objectType="Spin" dx="15" fmlaLink="NeoBer1700!$F$21" max="30000" page="10" val="0"/>
</file>

<file path=xl/ctrlProps/ctrlProp860.xml><?xml version="1.0" encoding="utf-8"?>
<formControlPr xmlns="http://schemas.microsoft.com/office/spreadsheetml/2009/9/main" objectType="Spin" dx="15" fmlaLink="NeoBer1700!$F$24" max="30000" page="10" val="0"/>
</file>

<file path=xl/ctrlProps/ctrlProp861.xml><?xml version="1.0" encoding="utf-8"?>
<formControlPr xmlns="http://schemas.microsoft.com/office/spreadsheetml/2009/9/main" objectType="Spin" dx="15" fmlaLink="NeoBer1700!$F$21" max="30000" page="10" val="0"/>
</file>

<file path=xl/ctrlProps/ctrlProp862.xml><?xml version="1.0" encoding="utf-8"?>
<formControlPr xmlns="http://schemas.microsoft.com/office/spreadsheetml/2009/9/main" objectType="Spin" dx="15" fmlaLink="NeoBer1700!$F$25" max="30000" page="10" val="0"/>
</file>

<file path=xl/ctrlProps/ctrlProp863.xml><?xml version="1.0" encoding="utf-8"?>
<formControlPr xmlns="http://schemas.microsoft.com/office/spreadsheetml/2009/9/main" objectType="Spin" dx="15" fmlaLink="NeoBer1700!$F$21" max="30000" page="10" val="0"/>
</file>

<file path=xl/ctrlProps/ctrlProp864.xml><?xml version="1.0" encoding="utf-8"?>
<formControlPr xmlns="http://schemas.microsoft.com/office/spreadsheetml/2009/9/main" objectType="Spin" dx="15" fmlaLink="NeoBer1700!$F$26" max="30000" page="10" val="0"/>
</file>

<file path=xl/ctrlProps/ctrlProp865.xml><?xml version="1.0" encoding="utf-8"?>
<formControlPr xmlns="http://schemas.microsoft.com/office/spreadsheetml/2009/9/main" objectType="Spin" dx="15" fmlaLink="NeoBer1700!$F$21" max="30000" page="10" val="0"/>
</file>

<file path=xl/ctrlProps/ctrlProp866.xml><?xml version="1.0" encoding="utf-8"?>
<formControlPr xmlns="http://schemas.microsoft.com/office/spreadsheetml/2009/9/main" objectType="Spin" dx="15" fmlaLink="NeoBer1700!$F$27" max="30000" page="10" val="0"/>
</file>

<file path=xl/ctrlProps/ctrlProp867.xml><?xml version="1.0" encoding="utf-8"?>
<formControlPr xmlns="http://schemas.microsoft.com/office/spreadsheetml/2009/9/main" objectType="Spin" dx="15" fmlaLink="NeoBer1700!$F$21" max="30000" page="10" val="0"/>
</file>

<file path=xl/ctrlProps/ctrlProp868.xml><?xml version="1.0" encoding="utf-8"?>
<formControlPr xmlns="http://schemas.microsoft.com/office/spreadsheetml/2009/9/main" objectType="Spin" dx="15" fmlaLink="NeoBer1700!$F$28" max="30000" page="10" val="0"/>
</file>

<file path=xl/ctrlProps/ctrlProp869.xml><?xml version="1.0" encoding="utf-8"?>
<formControlPr xmlns="http://schemas.microsoft.com/office/spreadsheetml/2009/9/main" objectType="Spin" dx="15" fmlaLink="NeoBer1700!$F$21" max="30000" page="10" val="0"/>
</file>

<file path=xl/ctrlProps/ctrlProp870.xml><?xml version="1.0" encoding="utf-8"?>
<formControlPr xmlns="http://schemas.microsoft.com/office/spreadsheetml/2009/9/main" objectType="Spin" dx="15" fmlaLink="NeoBer1700!$F$22" max="30000" page="10" val="0"/>
</file>

<file path=xl/ctrlProps/ctrlProp871.xml><?xml version="1.0" encoding="utf-8"?>
<formControlPr xmlns="http://schemas.microsoft.com/office/spreadsheetml/2009/9/main" objectType="Spin" dx="15" fmlaLink="NeoBer1700!$F$23" max="30000" page="10" val="0"/>
</file>

<file path=xl/ctrlProps/ctrlProp872.xml><?xml version="1.0" encoding="utf-8"?>
<formControlPr xmlns="http://schemas.microsoft.com/office/spreadsheetml/2009/9/main" objectType="Spin" dx="15" fmlaLink="NeoBer1700!$F$24" max="30000" page="10" val="0"/>
</file>

<file path=xl/ctrlProps/ctrlProp873.xml><?xml version="1.0" encoding="utf-8"?>
<formControlPr xmlns="http://schemas.microsoft.com/office/spreadsheetml/2009/9/main" objectType="Spin" dx="15" fmlaLink="NeoBer1700!$F$25" max="30000" page="10" val="0"/>
</file>

<file path=xl/ctrlProps/ctrlProp874.xml><?xml version="1.0" encoding="utf-8"?>
<formControlPr xmlns="http://schemas.microsoft.com/office/spreadsheetml/2009/9/main" objectType="Spin" dx="15" fmlaLink="NeoBer1700!$F$26" max="30000" page="10" val="0"/>
</file>

<file path=xl/ctrlProps/ctrlProp875.xml><?xml version="1.0" encoding="utf-8"?>
<formControlPr xmlns="http://schemas.microsoft.com/office/spreadsheetml/2009/9/main" objectType="Spin" dx="15" fmlaLink="NeoBer1700!$F$27" max="30000" page="10" val="0"/>
</file>

<file path=xl/ctrlProps/ctrlProp876.xml><?xml version="1.0" encoding="utf-8"?>
<formControlPr xmlns="http://schemas.microsoft.com/office/spreadsheetml/2009/9/main" objectType="Spin" dx="15" fmlaLink="NeoBer1700!$F$28" max="30000" page="10" val="0"/>
</file>

<file path=xl/ctrlProps/ctrlProp877.xml><?xml version="1.0" encoding="utf-8"?>
<formControlPr xmlns="http://schemas.microsoft.com/office/spreadsheetml/2009/9/main" objectType="Drop" dropStyle="combo" dx="16" fmlaLink="NeoBer1700!$F$35" fmlaRange="tbl_Neo_IntralipidSmof" sel="0" val="0"/>
</file>

<file path=xl/ctrlProps/ctrlProp878.xml><?xml version="1.0" encoding="utf-8"?>
<formControlPr xmlns="http://schemas.microsoft.com/office/spreadsheetml/2009/9/main" objectType="Spin" dx="15" fmlaLink="PatDetails!$B$7" max="200" min="25" page="10" val="25"/>
</file>

<file path=xl/ctrlProps/ctrlProp879.xml><?xml version="1.0" encoding="utf-8"?>
<formControlPr xmlns="http://schemas.microsoft.com/office/spreadsheetml/2009/9/main" objectType="CheckBox" fmlaLink="NeoBerAfspr!$F$7" lockText="1"/>
</file>

<file path=xl/ctrlProps/ctrlProp880.xml><?xml version="1.0" encoding="utf-8"?>
<formControlPr xmlns="http://schemas.microsoft.com/office/spreadsheetml/2009/9/main" objectType="CheckBox" fmlaLink="NeoBerAfspr!$F$8" lockText="1"/>
</file>

<file path=xl/ctrlProps/ctrlProp881.xml><?xml version="1.0" encoding="utf-8"?>
<formControlPr xmlns="http://schemas.microsoft.com/office/spreadsheetml/2009/9/main" objectType="CheckBox" fmlaLink="NeoBerAfspr!$F$13" lockText="1"/>
</file>

<file path=xl/ctrlProps/ctrlProp882.xml><?xml version="1.0" encoding="utf-8"?>
<formControlPr xmlns="http://schemas.microsoft.com/office/spreadsheetml/2009/9/main" objectType="CheckBox" fmlaLink="NeoBerAfspr!$F$14" lockText="1"/>
</file>

<file path=xl/ctrlProps/ctrlProp883.xml><?xml version="1.0" encoding="utf-8"?>
<formControlPr xmlns="http://schemas.microsoft.com/office/spreadsheetml/2009/9/main" objectType="CheckBox" fmlaLink="NeoBerAfspr!$F$15" lockText="1"/>
</file>

<file path=xl/ctrlProps/ctrlProp884.xml><?xml version="1.0" encoding="utf-8"?>
<formControlPr xmlns="http://schemas.microsoft.com/office/spreadsheetml/2009/9/main" objectType="CheckBox" fmlaLink="NeoBerAfspr!$F$17" lockText="1"/>
</file>

<file path=xl/ctrlProps/ctrlProp885.xml><?xml version="1.0" encoding="utf-8"?>
<formControlPr xmlns="http://schemas.microsoft.com/office/spreadsheetml/2009/9/main" objectType="CheckBox" fmlaLink="NeoBerAfspr!$F$18" lockText="1"/>
</file>

<file path=xl/ctrlProps/ctrlProp886.xml><?xml version="1.0" encoding="utf-8"?>
<formControlPr xmlns="http://schemas.microsoft.com/office/spreadsheetml/2009/9/main" objectType="CheckBox" fmlaLink="NeoBerAfspr!$F$21" lockText="1"/>
</file>

<file path=xl/ctrlProps/ctrlProp887.xml><?xml version="1.0" encoding="utf-8"?>
<formControlPr xmlns="http://schemas.microsoft.com/office/spreadsheetml/2009/9/main" objectType="CheckBox" fmlaLink="NeoBerAfspr!$F$22" lockText="1"/>
</file>

<file path=xl/ctrlProps/ctrlProp888.xml><?xml version="1.0" encoding="utf-8"?>
<formControlPr xmlns="http://schemas.microsoft.com/office/spreadsheetml/2009/9/main" objectType="CheckBox" fmlaLink="NeoBerAfspr!$H$9" lockText="1"/>
</file>

<file path=xl/ctrlProps/ctrlProp889.xml><?xml version="1.0" encoding="utf-8"?>
<formControlPr xmlns="http://schemas.microsoft.com/office/spreadsheetml/2009/9/main" objectType="CheckBox" fmlaLink="NeoBerAfspr!$H$10" lockText="1"/>
</file>

<file path=xl/ctrlProps/ctrlProp890.xml><?xml version="1.0" encoding="utf-8"?>
<formControlPr xmlns="http://schemas.microsoft.com/office/spreadsheetml/2009/9/main" objectType="CheckBox" fmlaLink="NeoBerAfspr!$H$11" lockText="1"/>
</file>

<file path=xl/ctrlProps/ctrlProp891.xml><?xml version="1.0" encoding="utf-8"?>
<formControlPr xmlns="http://schemas.microsoft.com/office/spreadsheetml/2009/9/main" objectType="CheckBox" fmlaLink="NeoBerAfspr!$H$8" lockText="1"/>
</file>

<file path=xl/ctrlProps/ctrlProp892.xml><?xml version="1.0" encoding="utf-8"?>
<formControlPr xmlns="http://schemas.microsoft.com/office/spreadsheetml/2009/9/main" objectType="CheckBox" fmlaLink="NeoBerAfspr!$F$12" lockText="1"/>
</file>

<file path=xl/ctrlProps/ctrlProp893.xml><?xml version="1.0" encoding="utf-8"?>
<formControlPr xmlns="http://schemas.microsoft.com/office/spreadsheetml/2009/9/main" objectType="CheckBox" fmlaLink="NeoBerAfspr!$H$13" lockText="1"/>
</file>

<file path=xl/ctrlProps/ctrlProp894.xml><?xml version="1.0" encoding="utf-8"?>
<formControlPr xmlns="http://schemas.microsoft.com/office/spreadsheetml/2009/9/main" objectType="CheckBox" fmlaLink="NeoBerAfspr!$H$15" lockText="1"/>
</file>

<file path=xl/ctrlProps/ctrlProp895.xml><?xml version="1.0" encoding="utf-8"?>
<formControlPr xmlns="http://schemas.microsoft.com/office/spreadsheetml/2009/9/main" objectType="CheckBox" fmlaLink="NeoBerAfspr!$H$16" lockText="1"/>
</file>

<file path=xl/ctrlProps/ctrlProp896.xml><?xml version="1.0" encoding="utf-8"?>
<formControlPr xmlns="http://schemas.microsoft.com/office/spreadsheetml/2009/9/main" objectType="CheckBox" fmlaLink="NeoBerAfspr!$H$18" lockText="1"/>
</file>

<file path=xl/ctrlProps/ctrlProp897.xml><?xml version="1.0" encoding="utf-8"?>
<formControlPr xmlns="http://schemas.microsoft.com/office/spreadsheetml/2009/9/main" objectType="CheckBox" fmlaLink="NeoBerAfspr!$H$20" lockText="1"/>
</file>

<file path=xl/ctrlProps/ctrlProp898.xml><?xml version="1.0" encoding="utf-8"?>
<formControlPr xmlns="http://schemas.microsoft.com/office/spreadsheetml/2009/9/main" objectType="CheckBox" fmlaLink="NeoBerAfspr!$H$19" lockText="1"/>
</file>

<file path=xl/ctrlProps/ctrlProp899.xml><?xml version="1.0" encoding="utf-8"?>
<formControlPr xmlns="http://schemas.microsoft.com/office/spreadsheetml/2009/9/main" objectType="CheckBox" fmlaLink="NeoBerAfspr!$H$22" lockText="1"/>
</file>

<file path=xl/ctrlProps/ctrlProp900.xml><?xml version="1.0" encoding="utf-8"?>
<formControlPr xmlns="http://schemas.microsoft.com/office/spreadsheetml/2009/9/main" objectType="CheckBox" fmlaLink="NeoBerAfspr!$F$23" lockText="1"/>
</file>

<file path=xl/ctrlProps/ctrlProp901.xml><?xml version="1.0" encoding="utf-8"?>
<formControlPr xmlns="http://schemas.microsoft.com/office/spreadsheetml/2009/9/main" objectType="CheckBox" fmlaLink="NeoBerAfspr!$H$23" lockText="1"/>
</file>

<file path=xl/ctrlProps/ctrlProp902.xml><?xml version="1.0" encoding="utf-8"?>
<formControlPr xmlns="http://schemas.microsoft.com/office/spreadsheetml/2009/9/main" objectType="CheckBox" fmlaLink="NeoBerAfspr!$H$24" lockText="1"/>
</file>

<file path=xl/ctrlProps/ctrlProp903.xml><?xml version="1.0" encoding="utf-8"?>
<formControlPr xmlns="http://schemas.microsoft.com/office/spreadsheetml/2009/9/main" objectType="CheckBox" fmlaLink="NeoBerAfspr!$H$25" lockText="1"/>
</file>

<file path=xl/ctrlProps/ctrlProp904.xml><?xml version="1.0" encoding="utf-8"?>
<formControlPr xmlns="http://schemas.microsoft.com/office/spreadsheetml/2009/9/main" objectType="CheckBox" fmlaLink="NeoBerAfspr!$H$26" lockText="1"/>
</file>

<file path=xl/ctrlProps/ctrlProp905.xml><?xml version="1.0" encoding="utf-8"?>
<formControlPr xmlns="http://schemas.microsoft.com/office/spreadsheetml/2009/9/main" objectType="CheckBox" fmlaLink="NeoBerAfspr!$H$27" lockText="1"/>
</file>

<file path=xl/ctrlProps/ctrlProp906.xml><?xml version="1.0" encoding="utf-8"?>
<formControlPr xmlns="http://schemas.microsoft.com/office/spreadsheetml/2009/9/main" objectType="CheckBox" fmlaLink="NeoBerAfspr!$H$28" lockText="1"/>
</file>

<file path=xl/ctrlProps/ctrlProp907.xml><?xml version="1.0" encoding="utf-8"?>
<formControlPr xmlns="http://schemas.microsoft.com/office/spreadsheetml/2009/9/main" objectType="CheckBox" fmlaLink="NeoBerAfspr!$H$29" lockText="1"/>
</file>

<file path=xl/ctrlProps/ctrlProp908.xml><?xml version="1.0" encoding="utf-8"?>
<formControlPr xmlns="http://schemas.microsoft.com/office/spreadsheetml/2009/9/main" objectType="CheckBox" fmlaLink="NeoBerAfspr!$H$30" lockText="1"/>
</file>

<file path=xl/ctrlProps/ctrlProp909.xml><?xml version="1.0" encoding="utf-8"?>
<formControlPr xmlns="http://schemas.microsoft.com/office/spreadsheetml/2009/9/main" objectType="CheckBox" fmlaLink="NeoBerAfspr!$F$31" lockText="1"/>
</file>

<file path=xl/ctrlProps/ctrlProp910.xml><?xml version="1.0" encoding="utf-8"?>
<formControlPr xmlns="http://schemas.microsoft.com/office/spreadsheetml/2009/9/main" objectType="CheckBox" fmlaLink="NeoBerAfspr!$J$7" lockText="1"/>
</file>

<file path=xl/ctrlProps/ctrlProp911.xml><?xml version="1.0" encoding="utf-8"?>
<formControlPr xmlns="http://schemas.microsoft.com/office/spreadsheetml/2009/9/main" objectType="CheckBox" fmlaLink="NeoBerAfspr!$J$8" lockText="1"/>
</file>

<file path=xl/ctrlProps/ctrlProp912.xml><?xml version="1.0" encoding="utf-8"?>
<formControlPr xmlns="http://schemas.microsoft.com/office/spreadsheetml/2009/9/main" objectType="CheckBox" fmlaLink="NeoBerAfspr!$J$9" lockText="1"/>
</file>

<file path=xl/ctrlProps/ctrlProp913.xml><?xml version="1.0" encoding="utf-8"?>
<formControlPr xmlns="http://schemas.microsoft.com/office/spreadsheetml/2009/9/main" objectType="CheckBox" fmlaLink="NeoBerAfspr!$J$10" lockText="1"/>
</file>

<file path=xl/ctrlProps/ctrlProp914.xml><?xml version="1.0" encoding="utf-8"?>
<formControlPr xmlns="http://schemas.microsoft.com/office/spreadsheetml/2009/9/main" objectType="CheckBox" fmlaLink="NeoBerAfspr!$J$12" lockText="1"/>
</file>

<file path=xl/ctrlProps/ctrlProp915.xml><?xml version="1.0" encoding="utf-8"?>
<formControlPr xmlns="http://schemas.microsoft.com/office/spreadsheetml/2009/9/main" objectType="CheckBox" fmlaLink="NeoBerAfspr!$J$13" lockText="1"/>
</file>

<file path=xl/ctrlProps/ctrlProp916.xml><?xml version="1.0" encoding="utf-8"?>
<formControlPr xmlns="http://schemas.microsoft.com/office/spreadsheetml/2009/9/main" objectType="CheckBox" fmlaLink="NeoBerAfspr!$J$14" lockText="1"/>
</file>

<file path=xl/ctrlProps/ctrlProp917.xml><?xml version="1.0" encoding="utf-8"?>
<formControlPr xmlns="http://schemas.microsoft.com/office/spreadsheetml/2009/9/main" objectType="CheckBox" fmlaLink="NeoBerAfspr!$J$15" lockText="1"/>
</file>

<file path=xl/ctrlProps/ctrlProp918.xml><?xml version="1.0" encoding="utf-8"?>
<formControlPr xmlns="http://schemas.microsoft.com/office/spreadsheetml/2009/9/main" objectType="CheckBox" fmlaLink="NeoBerAfspr!$J$16" lockText="1"/>
</file>

<file path=xl/ctrlProps/ctrlProp919.xml><?xml version="1.0" encoding="utf-8"?>
<formControlPr xmlns="http://schemas.microsoft.com/office/spreadsheetml/2009/9/main" objectType="CheckBox" fmlaLink="NeoBerAfspr!$J$19" lockText="1"/>
</file>

<file path=xl/ctrlProps/ctrlProp920.xml><?xml version="1.0" encoding="utf-8"?>
<formControlPr xmlns="http://schemas.microsoft.com/office/spreadsheetml/2009/9/main" objectType="CheckBox" fmlaLink="NeoBerAfspr!$J$17" lockText="1"/>
</file>

<file path=xl/ctrlProps/ctrlProp921.xml><?xml version="1.0" encoding="utf-8"?>
<formControlPr xmlns="http://schemas.microsoft.com/office/spreadsheetml/2009/9/main" objectType="CheckBox" fmlaLink="NeoBerAfspr!$J$24" lockText="1"/>
</file>

<file path=xl/ctrlProps/ctrlProp922.xml><?xml version="1.0" encoding="utf-8"?>
<formControlPr xmlns="http://schemas.microsoft.com/office/spreadsheetml/2009/9/main" objectType="CheckBox" fmlaLink="NeoBerAfspr!$L$24" lockText="1"/>
</file>

<file path=xl/ctrlProps/ctrlProp923.xml><?xml version="1.0" encoding="utf-8"?>
<formControlPr xmlns="http://schemas.microsoft.com/office/spreadsheetml/2009/9/main" objectType="CheckBox" fmlaLink="NeoBerAfspr!$L$25" lockText="1"/>
</file>

<file path=xl/ctrlProps/ctrlProp924.xml><?xml version="1.0" encoding="utf-8"?>
<formControlPr xmlns="http://schemas.microsoft.com/office/spreadsheetml/2009/9/main" objectType="CheckBox" fmlaLink="NeoBerAfspr!$L$26" lockText="1"/>
</file>

<file path=xl/ctrlProps/ctrlProp925.xml><?xml version="1.0" encoding="utf-8"?>
<formControlPr xmlns="http://schemas.microsoft.com/office/spreadsheetml/2009/9/main" objectType="CheckBox" fmlaLink="NeoBerAfspr!$L$27" lockText="1"/>
</file>

<file path=xl/ctrlProps/ctrlProp926.xml><?xml version="1.0" encoding="utf-8"?>
<formControlPr xmlns="http://schemas.microsoft.com/office/spreadsheetml/2009/9/main" objectType="CheckBox" fmlaLink="NeoBerAfspr!$J$20" lockText="1"/>
</file>

<file path=xl/ctrlProps/ctrlProp927.xml><?xml version="1.0" encoding="utf-8"?>
<formControlPr xmlns="http://schemas.microsoft.com/office/spreadsheetml/2009/9/main" objectType="CheckBox" fmlaLink="NeoBerAfspr!$L$21" lockText="1"/>
</file>

<file path=xl/ctrlProps/ctrlProp928.xml><?xml version="1.0" encoding="utf-8"?>
<formControlPr xmlns="http://schemas.microsoft.com/office/spreadsheetml/2009/9/main" objectType="CheckBox" fmlaLink="NeoBerAfspr!$L$22" lockText="1"/>
</file>

<file path=xl/ctrlProps/ctrlProp929.xml><?xml version="1.0" encoding="utf-8"?>
<formControlPr xmlns="http://schemas.microsoft.com/office/spreadsheetml/2009/9/main" objectType="CheckBox" fmlaLink="NeoBerAfspr!$L$23" lockText="1"/>
</file>

<file path=xl/ctrlProps/ctrlProp930.xml><?xml version="1.0" encoding="utf-8"?>
<formControlPr xmlns="http://schemas.microsoft.com/office/spreadsheetml/2009/9/main" objectType="Spin" dx="15" fmlaLink="NeoBerAfspr!$B$12" max="24" page="10" val="0"/>
</file>

<file path=xl/ctrlProps/ctrlProp931.xml><?xml version="1.0" encoding="utf-8"?>
<formControlPr xmlns="http://schemas.microsoft.com/office/spreadsheetml/2009/9/main" objectType="Spin" dx="15" fmlaLink="NeoBerAfspr!$K$17" max="24" page="10" val="0"/>
</file>

<file path=xl/ctrlProps/ctrlProp932.xml><?xml version="1.0" encoding="utf-8"?>
<formControlPr xmlns="http://schemas.microsoft.com/office/spreadsheetml/2009/9/main" objectType="Spin" dx="15" fmlaLink="NeoBerAfspr!$L$17" max="1000" page="10" val="0"/>
</file>

<file path=xl/ctrlProps/ctrlProp933.xml><?xml version="1.0" encoding="utf-8"?>
<formControlPr xmlns="http://schemas.microsoft.com/office/spreadsheetml/2009/9/main" objectType="CheckBox" fmlaLink="NeoBerAfspr!$B$27" lockText="1"/>
</file>

<file path=xl/ctrlProps/ctrlProp934.xml><?xml version="1.0" encoding="utf-8"?>
<formControlPr xmlns="http://schemas.microsoft.com/office/spreadsheetml/2009/9/main" objectType="CheckBox" fmlaLink="NeoBerAfspr!$B$28" lockText="1"/>
</file>

<file path=xl/ctrlProps/ctrlProp935.xml><?xml version="1.0" encoding="utf-8"?>
<formControlPr xmlns="http://schemas.microsoft.com/office/spreadsheetml/2009/9/main" objectType="CheckBox" fmlaLink="NeoBerAfspr!$B$29" lockText="1"/>
</file>

<file path=xl/ctrlProps/ctrlProp936.xml><?xml version="1.0" encoding="utf-8"?>
<formControlPr xmlns="http://schemas.microsoft.com/office/spreadsheetml/2009/9/main" objectType="CheckBox" fmlaLink="NeoBerAfspr!$B$30" lockText="1"/>
</file>

<file path=xl/ctrlProps/ctrlProp937.xml><?xml version="1.0" encoding="utf-8"?>
<formControlPr xmlns="http://schemas.microsoft.com/office/spreadsheetml/2009/9/main" objectType="CheckBox" fmlaLink="NeoBerAfspr!$B$34" lockText="1"/>
</file>

<file path=xl/ctrlProps/ctrlProp938.xml><?xml version="1.0" encoding="utf-8"?>
<formControlPr xmlns="http://schemas.microsoft.com/office/spreadsheetml/2009/9/main" objectType="CheckBox" checked="Checked" fmlaLink="NeoBerAfspr!$D$35" lockText="1"/>
</file>

<file path=xl/ctrlProps/ctrlProp939.xml><?xml version="1.0" encoding="utf-8"?>
<formControlPr xmlns="http://schemas.microsoft.com/office/spreadsheetml/2009/9/main" objectType="CheckBox" checked="Checked" fmlaLink="NeoBerAfspr!$D$36" lockText="1"/>
</file>

<file path=xl/ctrlProps/ctrlProp940.xml><?xml version="1.0" encoding="utf-8"?>
<formControlPr xmlns="http://schemas.microsoft.com/office/spreadsheetml/2009/9/main" objectType="Drop" dropStyle="combo" dx="16" fmlaLink="NeoBerAfspr!$D$34" fmlaRange="tbl_Ped_DrainLokatie" noThreeD="1" sel="1" val="0"/>
</file>

<file path=xl/ctrlProps/ctrlProp941.xml><?xml version="1.0" encoding="utf-8"?>
<formControlPr xmlns="http://schemas.microsoft.com/office/spreadsheetml/2009/9/main" objectType="CheckBox" fmlaLink="NeoBerAfspr!$B$37" lockText="1"/>
</file>

<file path=xl/ctrlProps/ctrlProp942.xml><?xml version="1.0" encoding="utf-8"?>
<formControlPr xmlns="http://schemas.microsoft.com/office/spreadsheetml/2009/9/main" objectType="Drop" dropStyle="combo" dx="16" fmlaLink="NeoBerAfspr!$D$37" fmlaRange="tbl_Ped_DrainLokatie" noThreeD="1" sel="1" val="0"/>
</file>

<file path=xl/ctrlProps/ctrlProp943.xml><?xml version="1.0" encoding="utf-8"?>
<formControlPr xmlns="http://schemas.microsoft.com/office/spreadsheetml/2009/9/main" objectType="CheckBox" fmlaLink="NeoBerAfspr!$B$7" lockText="1"/>
</file>

<file path=xl/ctrlProps/ctrlProp944.xml><?xml version="1.0" encoding="utf-8"?>
<formControlPr xmlns="http://schemas.microsoft.com/office/spreadsheetml/2009/9/main" objectType="CheckBox" fmlaLink="NeoBerAfspr!$B$8" lockText="1"/>
</file>

<file path=xl/ctrlProps/ctrlProp945.xml><?xml version="1.0" encoding="utf-8"?>
<formControlPr xmlns="http://schemas.microsoft.com/office/spreadsheetml/2009/9/main" objectType="CheckBox" fmlaLink="NeoBerAfspr!$B$9" lockText="1"/>
</file>

<file path=xl/ctrlProps/ctrlProp946.xml><?xml version="1.0" encoding="utf-8"?>
<formControlPr xmlns="http://schemas.microsoft.com/office/spreadsheetml/2009/9/main" objectType="CheckBox" fmlaLink="NeoBerAfspr!$B$10" lockText="1"/>
</file>

<file path=xl/ctrlProps/ctrlProp947.xml><?xml version="1.0" encoding="utf-8"?>
<formControlPr xmlns="http://schemas.microsoft.com/office/spreadsheetml/2009/9/main" objectType="CheckBox" fmlaLink="NeoBerAfspr!$B$22" lockText="1"/>
</file>

<file path=xl/ctrlProps/ctrlProp948.xml><?xml version="1.0" encoding="utf-8"?>
<formControlPr xmlns="http://schemas.microsoft.com/office/spreadsheetml/2009/9/main" objectType="Drop" dropStyle="combo" dx="16" fmlaLink="NeoBerAfspr!$D$22" fmlaRange="tbl_Ped_aEEG" noThreeD="1" sel="1" val="0"/>
</file>

<file path=xl/ctrlProps/ctrlProp949.xml><?xml version="1.0" encoding="utf-8"?>
<formControlPr xmlns="http://schemas.microsoft.com/office/spreadsheetml/2009/9/main" objectType="CheckBox" fmlaLink="NeoBerAfspr!$B$23" lockText="1"/>
</file>

<file path=xl/ctrlProps/ctrlProp950.xml><?xml version="1.0" encoding="utf-8"?>
<formControlPr xmlns="http://schemas.microsoft.com/office/spreadsheetml/2009/9/main" objectType="CheckBox" fmlaLink="NeoBerAfspr!$B$25" lockText="1"/>
</file>

<file path=xl/ctrlProps/ctrlProp951.xml><?xml version="1.0" encoding="utf-8"?>
<formControlPr xmlns="http://schemas.microsoft.com/office/spreadsheetml/2009/9/main" objectType="CheckBox" fmlaLink="NeoBerAfspr!$B$26" lockText="1"/>
</file>

<file path=xl/ctrlProps/ctrlProp952.xml><?xml version="1.0" encoding="utf-8"?>
<formControlPr xmlns="http://schemas.microsoft.com/office/spreadsheetml/2009/9/main" objectType="CheckBox" fmlaLink="NeoBerAfspr!$B$24" lockText="1"/>
</file>

<file path=xl/ctrlProps/ctrlProp953.xml><?xml version="1.0" encoding="utf-8"?>
<formControlPr xmlns="http://schemas.microsoft.com/office/spreadsheetml/2009/9/main" objectType="CheckBox" fmlaLink="NeoBerAfspr!$B$31" lockText="1"/>
</file>

<file path=xl/ctrlProps/ctrlProp954.xml><?xml version="1.0" encoding="utf-8"?>
<formControlPr xmlns="http://schemas.microsoft.com/office/spreadsheetml/2009/9/main" objectType="CheckBox" fmlaLink="NeoBerAfspr!$B$32" lockText="1"/>
</file>

<file path=xl/ctrlProps/ctrlProp955.xml><?xml version="1.0" encoding="utf-8"?>
<formControlPr xmlns="http://schemas.microsoft.com/office/spreadsheetml/2009/9/main" objectType="CheckBox" fmlaLink="NeoBerAfspr!$B$11" lockText="1"/>
</file>

<file path=xl/ctrlProps/ctrlProp956.xml><?xml version="1.0" encoding="utf-8"?>
<formControlPr xmlns="http://schemas.microsoft.com/office/spreadsheetml/2009/9/main" objectType="CheckBox" fmlaLink="NeoBerAfspr!$B$15" lockText="1"/>
</file>

<file path=xl/ctrlProps/ctrlProp957.xml><?xml version="1.0" encoding="utf-8"?>
<formControlPr xmlns="http://schemas.microsoft.com/office/spreadsheetml/2009/9/main" objectType="CheckBox" fmlaLink="NeoBerAfspr!$B$16" lockText="1"/>
</file>

<file path=xl/ctrlProps/ctrlProp958.xml><?xml version="1.0" encoding="utf-8"?>
<formControlPr xmlns="http://schemas.microsoft.com/office/spreadsheetml/2009/9/main" objectType="CheckBox" fmlaLink="NeoBerAfspr!$B$17" lockText="1"/>
</file>

<file path=xl/ctrlProps/ctrlProp959.xml><?xml version="1.0" encoding="utf-8"?>
<formControlPr xmlns="http://schemas.microsoft.com/office/spreadsheetml/2009/9/main" objectType="CheckBox" fmlaLink="NeoBerAfspr!$B$19" lockText="1"/>
</file>

<file path=xl/ctrlProps/ctrlProp960.xml><?xml version="1.0" encoding="utf-8"?>
<formControlPr xmlns="http://schemas.microsoft.com/office/spreadsheetml/2009/9/main" objectType="CheckBox" fmlaLink="NeoBerAfspr!$D$11" lockText="1"/>
</file>

<file path=xl/ctrlProps/ctrlProp961.xml><?xml version="1.0" encoding="utf-8"?>
<formControlPr xmlns="http://schemas.microsoft.com/office/spreadsheetml/2009/9/main" objectType="CheckBox" fmlaLink="NeoBerAfspr!$D$12" lockText="1"/>
</file>

<file path=xl/ctrlProps/ctrlProp962.xml><?xml version="1.0" encoding="utf-8"?>
<formControlPr xmlns="http://schemas.microsoft.com/office/spreadsheetml/2009/9/main" objectType="CheckBox" fmlaLink="NeoBerAfspr!$D$13" lockText="1"/>
</file>

<file path=xl/ctrlProps/ctrlProp963.xml><?xml version="1.0" encoding="utf-8"?>
<formControlPr xmlns="http://schemas.microsoft.com/office/spreadsheetml/2009/9/main" objectType="CheckBox" fmlaLink="NeoBerAfspr!$D$14" lockText="1"/>
</file>

<file path=xl/ctrlProps/ctrlProp964.xml><?xml version="1.0" encoding="utf-8"?>
<formControlPr xmlns="http://schemas.microsoft.com/office/spreadsheetml/2009/9/main" objectType="Spin" dx="15" fmlaLink="NeoBerAfspr!$D$27" max="97" min="1" page="10" val="50"/>
</file>

<file path=xl/ctrlProps/ctrlProp965.xml><?xml version="1.0" encoding="utf-8"?>
<formControlPr xmlns="http://schemas.microsoft.com/office/spreadsheetml/2009/9/main" objectType="Drop" dropStyle="combo" dx="16" fmlaLink="NeoBerAfspr!$D$36" fmlaRange="tbl_Ped_DrainZuig" noThreeD="1" sel="1" val="0"/>
</file>

<file path=xl/ctrlProps/ctrlProp966.xml><?xml version="1.0" encoding="utf-8"?>
<formControlPr xmlns="http://schemas.microsoft.com/office/spreadsheetml/2009/9/main" objectType="Drop" dropStyle="combo" dx="16" fmlaLink="NeoBerAfspr!$D$39" fmlaRange="tbl_Ped_DrainZuig" noThreeD="1" sel="1" val="0"/>
</file>

<file path=xl/ctrlProps/ctrlProp967.xml><?xml version="1.0" encoding="utf-8"?>
<formControlPr xmlns="http://schemas.microsoft.com/office/spreadsheetml/2009/9/main" objectType="Drop" dropStyle="combo" dx="16" fmlaLink="NeoBerAfspr!$D$35" fmlaRange="tbl_Ped_DrainModus" noThreeD="1" sel="1" val="0"/>
</file>

<file path=xl/ctrlProps/ctrlProp968.xml><?xml version="1.0" encoding="utf-8"?>
<formControlPr xmlns="http://schemas.microsoft.com/office/spreadsheetml/2009/9/main" objectType="Drop" dropStyle="combo" dx="16" fmlaLink="NeoBerAfspr!$D$38" fmlaRange="tbl_Ped_DrainModus" noThreeD="1" sel="1" val="0"/>
</file>

<file path=xl/ctrlProps/ctrlProp969.xml><?xml version="1.0" encoding="utf-8"?>
<formControlPr xmlns="http://schemas.microsoft.com/office/spreadsheetml/2009/9/main" objectType="CheckBox" checked="Checked" fmlaLink="NeoBerAfspr!$D$35" lockText="1"/>
</file>

<file path=xl/ctrlProps/ctrlProp970.xml><?xml version="1.0" encoding="utf-8"?>
<formControlPr xmlns="http://schemas.microsoft.com/office/spreadsheetml/2009/9/main" objectType="CheckBox" checked="Checked" fmlaLink="NeoBerAfspr!$D$36" lockText="1"/>
</file>

<file path=xl/ctrlProps/ctrlProp971.xml><?xml version="1.0" encoding="utf-8"?>
<formControlPr xmlns="http://schemas.microsoft.com/office/spreadsheetml/2009/9/main" objectType="CheckBox" fmlaLink="NeoBerAfspr!$B$40" lockText="1"/>
</file>

<file path=xl/ctrlProps/ctrlProp972.xml><?xml version="1.0" encoding="utf-8"?>
<formControlPr xmlns="http://schemas.microsoft.com/office/spreadsheetml/2009/9/main" objectType="Drop" dropStyle="combo" dx="16" fmlaLink="NeoBerAfspr!$D$40" fmlaRange="tbl_Ped_DrainLokatie" noThreeD="1" sel="1" val="0"/>
</file>

<file path=xl/ctrlProps/ctrlProp973.xml><?xml version="1.0" encoding="utf-8"?>
<formControlPr xmlns="http://schemas.microsoft.com/office/spreadsheetml/2009/9/main" objectType="Drop" dropStyle="combo" dx="16" fmlaLink="NeoBerAfspr!$D$42" fmlaRange="tbl_Ped_DrainZuig" noThreeD="1" sel="1" val="0"/>
</file>

<file path=xl/ctrlProps/ctrlProp974.xml><?xml version="1.0" encoding="utf-8"?>
<formControlPr xmlns="http://schemas.microsoft.com/office/spreadsheetml/2009/9/main" objectType="Drop" dropStyle="combo" dx="16" fmlaLink="NeoBerAfspr!$D$41" fmlaRange="tbl_Ped_DrainModus" noThreeD="1" sel="1" val="0"/>
</file>

<file path=xl/ctrlProps/ctrlProp975.xml><?xml version="1.0" encoding="utf-8"?>
<formControlPr xmlns="http://schemas.microsoft.com/office/spreadsheetml/2009/9/main" objectType="CheckBox" fmlaLink="NeoBerAfspr!$B$43" lockText="1"/>
</file>

<file path=xl/ctrlProps/ctrlProp976.xml><?xml version="1.0" encoding="utf-8"?>
<formControlPr xmlns="http://schemas.microsoft.com/office/spreadsheetml/2009/9/main" objectType="CheckBox" fmlaLink="NeoBerAfspr!$B$45" lockText="1"/>
</file>

<file path=xl/ctrlProps/ctrlProp977.xml><?xml version="1.0" encoding="utf-8"?>
<formControlPr xmlns="http://schemas.microsoft.com/office/spreadsheetml/2009/9/main" objectType="CheckBox" fmlaLink="NeoBerAfspr!$B$44" lockText="1"/>
</file>

<file path=xl/ctrlProps/ctrlProp978.xml><?xml version="1.0" encoding="utf-8"?>
<formControlPr xmlns="http://schemas.microsoft.com/office/spreadsheetml/2009/9/main" objectType="CheckBox" fmlaLink="NeoBerAfspr!$D$43" lockText="1"/>
</file>

<file path=xl/ctrlProps/ctrlProp979.xml><?xml version="1.0" encoding="utf-8"?>
<formControlPr xmlns="http://schemas.microsoft.com/office/spreadsheetml/2009/9/main" objectType="CheckBox" fmlaLink="NeoBerAfspr!$D$44" lockText="1"/>
</file>

<file path=xl/ctrlProps/ctrlProp980.xml><?xml version="1.0" encoding="utf-8"?>
<formControlPr xmlns="http://schemas.microsoft.com/office/spreadsheetml/2009/9/main" objectType="CheckBox" fmlaLink="NeoBerAfspr!$D$45" lockText="1"/>
</file>

<file path=xl/ctrlProps/ctrlProp981.xml><?xml version="1.0" encoding="utf-8"?>
<formControlPr xmlns="http://schemas.microsoft.com/office/spreadsheetml/2009/9/main" objectType="Drop" dropStyle="combo" dx="16" fmlaLink="NeoBerAfspr!$D$46" fmlaRange="tbl_Ped_LiquorDrain" noThreeD="1" sel="1" val="0"/>
</file>

<file path=xl/ctrlProps/ctrlProp982.xml><?xml version="1.0" encoding="utf-8"?>
<formControlPr xmlns="http://schemas.microsoft.com/office/spreadsheetml/2009/9/main" objectType="Spin" dx="15" fmlaLink="NeoBerAfspr!$D$47" max="100" page="10" val="0"/>
</file>

<file path=xl/ctrlProps/ctrlProp983.xml><?xml version="1.0" encoding="utf-8"?>
<formControlPr xmlns="http://schemas.microsoft.com/office/spreadsheetml/2009/9/main" objectType="CheckBox" fmlaLink="NeoBerAfspr!$B$46" lockText="1"/>
</file>

<file path=xl/ctrlProps/ctrlProp984.xml><?xml version="1.0" encoding="utf-8"?>
<formControlPr xmlns="http://schemas.microsoft.com/office/spreadsheetml/2009/9/main" objectType="CheckBox" fmlaLink="NeoBerAfspr!$L$28" lockText="1"/>
</file>

<file path=xl/ctrlProps/ctrlProp985.xml><?xml version="1.0" encoding="utf-8"?>
<formControlPr xmlns="http://schemas.microsoft.com/office/spreadsheetml/2009/9/main" objectType="Spin" dx="15" fmlaLink="NeoBerAfspr!$C$8" max="10" page="10" val="0"/>
</file>

<file path=xl/ctrlProps/ctrlProp986.xml><?xml version="1.0" encoding="utf-8"?>
<formControlPr xmlns="http://schemas.microsoft.com/office/spreadsheetml/2009/9/main" objectType="Spin" dx="15" fmlaLink="PedBerAfspr!$C$8" max="10" page="10" val="0"/>
</file>

<file path=xl/ctrlProps/ctrlProp987.xml><?xml version="1.0" encoding="utf-8"?>
<formControlPr xmlns="http://schemas.microsoft.com/office/spreadsheetml/2009/9/main" objectType="Drop" dropStyle="combo" dx="16" fmlaLink="NeoBerAfspr!$D$8" fmlaRange="tbl_Ped_Periode" noThreeD="1" sel="1" val="0"/>
</file>

<file path=xl/ctrlProps/ctrlProp988.xml><?xml version="1.0" encoding="utf-8"?>
<formControlPr xmlns="http://schemas.microsoft.com/office/spreadsheetml/2009/9/main" objectType="Drop" dropStyle="combo" dx="16" fmlaLink="NeoBerAfspr!$D$9" fmlaRange="tbl_Ped_Periode" noThreeD="1" sel="1" val="0"/>
</file>

<file path=xl/ctrlProps/ctrlProp989.xml><?xml version="1.0" encoding="utf-8"?>
<formControlPr xmlns="http://schemas.microsoft.com/office/spreadsheetml/2009/9/main" objectType="Spin" dx="15" fmlaLink="PedBerAfspr!$C$8" max="10" page="10" val="0"/>
</file>

<file path=xl/ctrlProps/ctrlProp990.xml><?xml version="1.0" encoding="utf-8"?>
<formControlPr xmlns="http://schemas.microsoft.com/office/spreadsheetml/2009/9/main" objectType="Spin" dx="15" fmlaLink="NeoBerAfspr!$C$9" max="10" page="10" val="0"/>
</file>

<file path=xl/ctrlProps/ctrlProp991.xml><?xml version="1.0" encoding="utf-8"?>
<formControlPr xmlns="http://schemas.microsoft.com/office/spreadsheetml/2009/9/main" objectType="Spin" dx="15" fmlaLink="NeoBerAfspr!$K$20" max="24" page="10" val="0"/>
</file>

<file path=xl/ctrlProps/ctrlProp992.xml><?xml version="1.0" encoding="utf-8"?>
<formControlPr xmlns="http://schemas.microsoft.com/office/spreadsheetml/2009/9/main" objectType="CheckBox" fmlaLink="NeoBerAfspr!$J$29" lockText="1"/>
</file>

<file path=xl/ctrlProps/ctrlProp993.xml><?xml version="1.0" encoding="utf-8"?>
<formControlPr xmlns="http://schemas.microsoft.com/office/spreadsheetml/2009/9/main" objectType="Spin" dx="15" fmlaLink="NeoBerAfspr!$K$29" max="3" page="10" val="0"/>
</file>

<file path=xl/ctrlProps/ctrlProp994.xml><?xml version="1.0" encoding="utf-8"?>
<formControlPr xmlns="http://schemas.microsoft.com/office/spreadsheetml/2009/9/main" objectType="CheckBox" fmlaLink="NeoBerAfspr!$B$18" lockText="1"/>
</file>

<file path=xl/ctrlProps/ctrlProp995.xml><?xml version="1.0" encoding="utf-8"?>
<formControlPr xmlns="http://schemas.microsoft.com/office/spreadsheetml/2009/9/main" objectType="Spin" dx="15" fmlaLink="PedBerAfspr!$C$8" max="10" page="10" val="0"/>
</file>

<file path=xl/ctrlProps/ctrlProp996.xml><?xml version="1.0" encoding="utf-8"?>
<formControlPr xmlns="http://schemas.microsoft.com/office/spreadsheetml/2009/9/main" objectType="Drop" dropStyle="combo" dx="16" fmlaLink="NeoBerAfspr!$D$18" fmlaRange="tbl_Ped_Periode" noThreeD="1" sel="1" val="0"/>
</file>

<file path=xl/ctrlProps/ctrlProp997.xml><?xml version="1.0" encoding="utf-8"?>
<formControlPr xmlns="http://schemas.microsoft.com/office/spreadsheetml/2009/9/main" objectType="Spin" dx="15" fmlaLink="PedBerAfspr!$C$8" max="10" page="10" val="0"/>
</file>

<file path=xl/ctrlProps/ctrlProp998.xml><?xml version="1.0" encoding="utf-8"?>
<formControlPr xmlns="http://schemas.microsoft.com/office/spreadsheetml/2009/9/main" objectType="Spin" dx="15" fmlaLink="NeoBerAfspr!$C$18" max="10" page="10" val="0"/>
</file>

<file path=xl/ctrlProps/ctrlProp999.xml><?xml version="1.0" encoding="utf-8"?>
<formControlPr xmlns="http://schemas.microsoft.com/office/spreadsheetml/2009/9/main" objectType="CheckBox" fmlaLink="NeoBerLab!$C$4" lockText="1"/>
</file>

<file path=xl/ctrlProps/ctrlProp1000.xml><?xml version="1.0" encoding="utf-8"?>
<formControlPr xmlns="http://schemas.microsoft.com/office/spreadsheetml/2009/9/main" objectType="CheckBox" fmlaLink="NeoBerLab!C5" lockText="1"/>
</file>

<file path=xl/ctrlProps/ctrlProp1001.xml><?xml version="1.0" encoding="utf-8"?>
<formControlPr xmlns="http://schemas.microsoft.com/office/spreadsheetml/2009/9/main" objectType="CheckBox" fmlaLink="NeoBerLab!C7" lockText="1"/>
</file>

<file path=xl/ctrlProps/ctrlProp1002.xml><?xml version="1.0" encoding="utf-8"?>
<formControlPr xmlns="http://schemas.microsoft.com/office/spreadsheetml/2009/9/main" objectType="CheckBox" fmlaLink="NeoBerLab!C8" lockText="1"/>
</file>

<file path=xl/ctrlProps/ctrlProp1003.xml><?xml version="1.0" encoding="utf-8"?>
<formControlPr xmlns="http://schemas.microsoft.com/office/spreadsheetml/2009/9/main" objectType="CheckBox" fmlaLink="NeoBerLab!C14" lockText="1"/>
</file>

<file path=xl/ctrlProps/ctrlProp1004.xml><?xml version="1.0" encoding="utf-8"?>
<formControlPr xmlns="http://schemas.microsoft.com/office/spreadsheetml/2009/9/main" objectType="CheckBox" fmlaLink="NeoBerLab!C13" lockText="1"/>
</file>

<file path=xl/ctrlProps/ctrlProp1005.xml><?xml version="1.0" encoding="utf-8"?>
<formControlPr xmlns="http://schemas.microsoft.com/office/spreadsheetml/2009/9/main" objectType="CheckBox" fmlaLink="NeoBerLab!C30" lockText="1"/>
</file>

<file path=xl/ctrlProps/ctrlProp1006.xml><?xml version="1.0" encoding="utf-8"?>
<formControlPr xmlns="http://schemas.microsoft.com/office/spreadsheetml/2009/9/main" objectType="CheckBox" fmlaLink="NeoBerLab!C16" lockText="1"/>
</file>

<file path=xl/ctrlProps/ctrlProp1007.xml><?xml version="1.0" encoding="utf-8"?>
<formControlPr xmlns="http://schemas.microsoft.com/office/spreadsheetml/2009/9/main" objectType="CheckBox" fmlaLink="NeoBerLab!C19" lockText="1"/>
</file>

<file path=xl/ctrlProps/ctrlProp1008.xml><?xml version="1.0" encoding="utf-8"?>
<formControlPr xmlns="http://schemas.microsoft.com/office/spreadsheetml/2009/9/main" objectType="CheckBox" fmlaLink="NeoBerLab!C20" lockText="1"/>
</file>

<file path=xl/ctrlProps/ctrlProp1009.xml><?xml version="1.0" encoding="utf-8"?>
<formControlPr xmlns="http://schemas.microsoft.com/office/spreadsheetml/2009/9/main" objectType="CheckBox" fmlaLink="NeoBerLab!C21" lockText="1"/>
</file>

<file path=xl/ctrlProps/ctrlProp1010.xml><?xml version="1.0" encoding="utf-8"?>
<formControlPr xmlns="http://schemas.microsoft.com/office/spreadsheetml/2009/9/main" objectType="CheckBox" fmlaLink="NeoBerLab!C12" lockText="1"/>
</file>

<file path=xl/ctrlProps/ctrlProp1011.xml><?xml version="1.0" encoding="utf-8"?>
<formControlPr xmlns="http://schemas.microsoft.com/office/spreadsheetml/2009/9/main" objectType="CheckBox" fmlaLink="NeoBerLab!C28" lockText="1"/>
</file>

<file path=xl/ctrlProps/ctrlProp1012.xml><?xml version="1.0" encoding="utf-8"?>
<formControlPr xmlns="http://schemas.microsoft.com/office/spreadsheetml/2009/9/main" objectType="CheckBox" fmlaLink="NeoBerLab!$G$4" lockText="1"/>
</file>

<file path=xl/ctrlProps/ctrlProp1013.xml><?xml version="1.0" encoding="utf-8"?>
<formControlPr xmlns="http://schemas.microsoft.com/office/spreadsheetml/2009/9/main" objectType="CheckBox" fmlaLink="NeoBerLab!G5" lockText="1"/>
</file>

<file path=xl/ctrlProps/ctrlProp1014.xml><?xml version="1.0" encoding="utf-8"?>
<formControlPr xmlns="http://schemas.microsoft.com/office/spreadsheetml/2009/9/main" objectType="CheckBox" fmlaLink="NeoBerLab!G7" lockText="1"/>
</file>

<file path=xl/ctrlProps/ctrlProp1015.xml><?xml version="1.0" encoding="utf-8"?>
<formControlPr xmlns="http://schemas.microsoft.com/office/spreadsheetml/2009/9/main" objectType="CheckBox" fmlaLink="NeoBerLab!G8" lockText="1"/>
</file>

<file path=xl/ctrlProps/ctrlProp1016.xml><?xml version="1.0" encoding="utf-8"?>
<formControlPr xmlns="http://schemas.microsoft.com/office/spreadsheetml/2009/9/main" objectType="CheckBox" fmlaLink="NeoBerLab!G14" lockText="1"/>
</file>

<file path=xl/ctrlProps/ctrlProp1017.xml><?xml version="1.0" encoding="utf-8"?>
<formControlPr xmlns="http://schemas.microsoft.com/office/spreadsheetml/2009/9/main" objectType="CheckBox" fmlaLink="NeoBerLab!G13" lockText="1"/>
</file>

<file path=xl/ctrlProps/ctrlProp1018.xml><?xml version="1.0" encoding="utf-8"?>
<formControlPr xmlns="http://schemas.microsoft.com/office/spreadsheetml/2009/9/main" objectType="CheckBox" fmlaLink="NeoBerLab!G30" lockText="1"/>
</file>

<file path=xl/ctrlProps/ctrlProp1019.xml><?xml version="1.0" encoding="utf-8"?>
<formControlPr xmlns="http://schemas.microsoft.com/office/spreadsheetml/2009/9/main" objectType="CheckBox" fmlaLink="NeoBerLab!G16" lockText="1"/>
</file>

<file path=xl/ctrlProps/ctrlProp1020.xml><?xml version="1.0" encoding="utf-8"?>
<formControlPr xmlns="http://schemas.microsoft.com/office/spreadsheetml/2009/9/main" objectType="CheckBox" fmlaLink="NeoBerLab!G19" lockText="1"/>
</file>

<file path=xl/ctrlProps/ctrlProp1021.xml><?xml version="1.0" encoding="utf-8"?>
<formControlPr xmlns="http://schemas.microsoft.com/office/spreadsheetml/2009/9/main" objectType="CheckBox" fmlaLink="NeoBerLab!G20" lockText="1"/>
</file>

<file path=xl/ctrlProps/ctrlProp1022.xml><?xml version="1.0" encoding="utf-8"?>
<formControlPr xmlns="http://schemas.microsoft.com/office/spreadsheetml/2009/9/main" objectType="CheckBox" fmlaLink="NeoBerLab!G21" lockText="1"/>
</file>

<file path=xl/ctrlProps/ctrlProp1023.xml><?xml version="1.0" encoding="utf-8"?>
<formControlPr xmlns="http://schemas.microsoft.com/office/spreadsheetml/2009/9/main" objectType="CheckBox" fmlaLink="NeoBerLab!G12" lockText="1"/>
</file>

<file path=xl/ctrlProps/ctrlProp1024.xml><?xml version="1.0" encoding="utf-8"?>
<formControlPr xmlns="http://schemas.microsoft.com/office/spreadsheetml/2009/9/main" objectType="CheckBox" fmlaLink="NeoBerLab!G28" lockText="1"/>
</file>

<file path=xl/ctrlProps/ctrlProp1025.xml><?xml version="1.0" encoding="utf-8"?>
<formControlPr xmlns="http://schemas.microsoft.com/office/spreadsheetml/2009/9/main" objectType="CheckBox" fmlaLink="NeoBerLab!$I$4" lockText="1"/>
</file>

<file path=xl/ctrlProps/ctrlProp1026.xml><?xml version="1.0" encoding="utf-8"?>
<formControlPr xmlns="http://schemas.microsoft.com/office/spreadsheetml/2009/9/main" objectType="CheckBox" fmlaLink="NeoBerLab!I5" lockText="1"/>
</file>

<file path=xl/ctrlProps/ctrlProp1027.xml><?xml version="1.0" encoding="utf-8"?>
<formControlPr xmlns="http://schemas.microsoft.com/office/spreadsheetml/2009/9/main" objectType="CheckBox" fmlaLink="NeoBerLab!I7" lockText="1"/>
</file>

<file path=xl/ctrlProps/ctrlProp1028.xml><?xml version="1.0" encoding="utf-8"?>
<formControlPr xmlns="http://schemas.microsoft.com/office/spreadsheetml/2009/9/main" objectType="CheckBox" fmlaLink="NeoBerLab!I8" lockText="1"/>
</file>

<file path=xl/ctrlProps/ctrlProp1029.xml><?xml version="1.0" encoding="utf-8"?>
<formControlPr xmlns="http://schemas.microsoft.com/office/spreadsheetml/2009/9/main" objectType="CheckBox" fmlaLink="NeoBerLab!I14" lockText="1"/>
</file>

<file path=xl/ctrlProps/ctrlProp1030.xml><?xml version="1.0" encoding="utf-8"?>
<formControlPr xmlns="http://schemas.microsoft.com/office/spreadsheetml/2009/9/main" objectType="CheckBox" fmlaLink="NeoBerLab!I13" lockText="1"/>
</file>

<file path=xl/ctrlProps/ctrlProp1031.xml><?xml version="1.0" encoding="utf-8"?>
<formControlPr xmlns="http://schemas.microsoft.com/office/spreadsheetml/2009/9/main" objectType="CheckBox" fmlaLink="NeoBerLab!I30" lockText="1"/>
</file>

<file path=xl/ctrlProps/ctrlProp1032.xml><?xml version="1.0" encoding="utf-8"?>
<formControlPr xmlns="http://schemas.microsoft.com/office/spreadsheetml/2009/9/main" objectType="CheckBox" fmlaLink="NeoBerLab!I16" lockText="1"/>
</file>

<file path=xl/ctrlProps/ctrlProp1033.xml><?xml version="1.0" encoding="utf-8"?>
<formControlPr xmlns="http://schemas.microsoft.com/office/spreadsheetml/2009/9/main" objectType="CheckBox" fmlaLink="NeoBerLab!I19" lockText="1"/>
</file>

<file path=xl/ctrlProps/ctrlProp1034.xml><?xml version="1.0" encoding="utf-8"?>
<formControlPr xmlns="http://schemas.microsoft.com/office/spreadsheetml/2009/9/main" objectType="CheckBox" fmlaLink="NeoBerLab!I20" lockText="1"/>
</file>

<file path=xl/ctrlProps/ctrlProp1035.xml><?xml version="1.0" encoding="utf-8"?>
<formControlPr xmlns="http://schemas.microsoft.com/office/spreadsheetml/2009/9/main" objectType="CheckBox" fmlaLink="NeoBerLab!I21" lockText="1"/>
</file>

<file path=xl/ctrlProps/ctrlProp1036.xml><?xml version="1.0" encoding="utf-8"?>
<formControlPr xmlns="http://schemas.microsoft.com/office/spreadsheetml/2009/9/main" objectType="CheckBox" fmlaLink="NeoBerLab!I12" lockText="1"/>
</file>

<file path=xl/ctrlProps/ctrlProp1037.xml><?xml version="1.0" encoding="utf-8"?>
<formControlPr xmlns="http://schemas.microsoft.com/office/spreadsheetml/2009/9/main" objectType="CheckBox" fmlaLink="NeoBerLab!I28" lockText="1"/>
</file>

<file path=xl/ctrlProps/ctrlProp1038.xml><?xml version="1.0" encoding="utf-8"?>
<formControlPr xmlns="http://schemas.microsoft.com/office/spreadsheetml/2009/9/main" objectType="CheckBox" fmlaLink="NeoBerLab!$O$4" lockText="1"/>
</file>

<file path=xl/ctrlProps/ctrlProp1039.xml><?xml version="1.0" encoding="utf-8"?>
<formControlPr xmlns="http://schemas.microsoft.com/office/spreadsheetml/2009/9/main" objectType="CheckBox" fmlaLink="NeoBerLab!O5" lockText="1"/>
</file>

<file path=xl/ctrlProps/ctrlProp1040.xml><?xml version="1.0" encoding="utf-8"?>
<formControlPr xmlns="http://schemas.microsoft.com/office/spreadsheetml/2009/9/main" objectType="CheckBox" fmlaLink="NeoBerLab!O7" lockText="1"/>
</file>

<file path=xl/ctrlProps/ctrlProp1041.xml><?xml version="1.0" encoding="utf-8"?>
<formControlPr xmlns="http://schemas.microsoft.com/office/spreadsheetml/2009/9/main" objectType="CheckBox" fmlaLink="NeoBerLab!O8" lockText="1"/>
</file>

<file path=xl/ctrlProps/ctrlProp1042.xml><?xml version="1.0" encoding="utf-8"?>
<formControlPr xmlns="http://schemas.microsoft.com/office/spreadsheetml/2009/9/main" objectType="CheckBox" fmlaLink="NeoBerLab!O14" lockText="1"/>
</file>

<file path=xl/ctrlProps/ctrlProp1043.xml><?xml version="1.0" encoding="utf-8"?>
<formControlPr xmlns="http://schemas.microsoft.com/office/spreadsheetml/2009/9/main" objectType="CheckBox" fmlaLink="NeoBerLab!O13" lockText="1"/>
</file>

<file path=xl/ctrlProps/ctrlProp1044.xml><?xml version="1.0" encoding="utf-8"?>
<formControlPr xmlns="http://schemas.microsoft.com/office/spreadsheetml/2009/9/main" objectType="CheckBox" fmlaLink="NeoBerLab!O30" lockText="1"/>
</file>

<file path=xl/ctrlProps/ctrlProp1045.xml><?xml version="1.0" encoding="utf-8"?>
<formControlPr xmlns="http://schemas.microsoft.com/office/spreadsheetml/2009/9/main" objectType="CheckBox" fmlaLink="NeoBerLab!O16" lockText="1"/>
</file>

<file path=xl/ctrlProps/ctrlProp1046.xml><?xml version="1.0" encoding="utf-8"?>
<formControlPr xmlns="http://schemas.microsoft.com/office/spreadsheetml/2009/9/main" objectType="CheckBox" fmlaLink="NeoBerLab!O19" lockText="1"/>
</file>

<file path=xl/ctrlProps/ctrlProp1047.xml><?xml version="1.0" encoding="utf-8"?>
<formControlPr xmlns="http://schemas.microsoft.com/office/spreadsheetml/2009/9/main" objectType="CheckBox" fmlaLink="NeoBerLab!O20" lockText="1"/>
</file>

<file path=xl/ctrlProps/ctrlProp1048.xml><?xml version="1.0" encoding="utf-8"?>
<formControlPr xmlns="http://schemas.microsoft.com/office/spreadsheetml/2009/9/main" objectType="CheckBox" fmlaLink="NeoBerLab!O21" lockText="1"/>
</file>

<file path=xl/ctrlProps/ctrlProp1049.xml><?xml version="1.0" encoding="utf-8"?>
<formControlPr xmlns="http://schemas.microsoft.com/office/spreadsheetml/2009/9/main" objectType="CheckBox" fmlaLink="NeoBerLab!O12" lockText="1"/>
</file>

<file path=xl/ctrlProps/ctrlProp1050.xml><?xml version="1.0" encoding="utf-8"?>
<formControlPr xmlns="http://schemas.microsoft.com/office/spreadsheetml/2009/9/main" objectType="CheckBox" fmlaLink="NeoBerLab!O28" lockText="1"/>
</file>

<file path=xl/ctrlProps/ctrlProp1051.xml><?xml version="1.0" encoding="utf-8"?>
<formControlPr xmlns="http://schemas.microsoft.com/office/spreadsheetml/2009/9/main" objectType="CheckBox" fmlaLink="NeoBerLab!C32" lockText="1"/>
</file>

<file path=xl/ctrlProps/ctrlProp1052.xml><?xml version="1.0" encoding="utf-8"?>
<formControlPr xmlns="http://schemas.microsoft.com/office/spreadsheetml/2009/9/main" objectType="CheckBox" fmlaLink="NeoBerLab!G32" lockText="1"/>
</file>

<file path=xl/ctrlProps/ctrlProp1053.xml><?xml version="1.0" encoding="utf-8"?>
<formControlPr xmlns="http://schemas.microsoft.com/office/spreadsheetml/2009/9/main" objectType="CheckBox" fmlaLink="NeoBerLab!I32" lockText="1"/>
</file>

<file path=xl/ctrlProps/ctrlProp1054.xml><?xml version="1.0" encoding="utf-8"?>
<formControlPr xmlns="http://schemas.microsoft.com/office/spreadsheetml/2009/9/main" objectType="CheckBox" fmlaLink="NeoBerLab!O32" lockText="1"/>
</file>

<file path=xl/ctrlProps/ctrlProp1055.xml><?xml version="1.0" encoding="utf-8"?>
<formControlPr xmlns="http://schemas.microsoft.com/office/spreadsheetml/2009/9/main" objectType="CheckBox" fmlaLink="NeoBerLab!C6" lockText="1"/>
</file>

<file path=xl/ctrlProps/ctrlProp1056.xml><?xml version="1.0" encoding="utf-8"?>
<formControlPr xmlns="http://schemas.microsoft.com/office/spreadsheetml/2009/9/main" objectType="CheckBox" fmlaLink="NeoBerLab!G6" lockText="1"/>
</file>

<file path=xl/ctrlProps/ctrlProp1057.xml><?xml version="1.0" encoding="utf-8"?>
<formControlPr xmlns="http://schemas.microsoft.com/office/spreadsheetml/2009/9/main" objectType="CheckBox" fmlaLink="NeoBerLab!I6" lockText="1"/>
</file>

<file path=xl/ctrlProps/ctrlProp1058.xml><?xml version="1.0" encoding="utf-8"?>
<formControlPr xmlns="http://schemas.microsoft.com/office/spreadsheetml/2009/9/main" objectType="CheckBox" fmlaLink="NeoBerLab!O6" lockText="1"/>
</file>

<file path=xl/ctrlProps/ctrlProp1059.xml><?xml version="1.0" encoding="utf-8"?>
<formControlPr xmlns="http://schemas.microsoft.com/office/spreadsheetml/2009/9/main" objectType="CheckBox" fmlaLink="NeoBerLab!C17" lockText="1"/>
</file>

<file path=xl/ctrlProps/ctrlProp1060.xml><?xml version="1.0" encoding="utf-8"?>
<formControlPr xmlns="http://schemas.microsoft.com/office/spreadsheetml/2009/9/main" objectType="CheckBox" fmlaLink="NeoBerLab!G17" lockText="1"/>
</file>

<file path=xl/ctrlProps/ctrlProp1061.xml><?xml version="1.0" encoding="utf-8"?>
<formControlPr xmlns="http://schemas.microsoft.com/office/spreadsheetml/2009/9/main" objectType="CheckBox" fmlaLink="NeoBerLab!I17" lockText="1"/>
</file>

<file path=xl/ctrlProps/ctrlProp1062.xml><?xml version="1.0" encoding="utf-8"?>
<formControlPr xmlns="http://schemas.microsoft.com/office/spreadsheetml/2009/9/main" objectType="CheckBox" fmlaLink="NeoBerLab!O17" lockText="1"/>
</file>

<file path=xl/ctrlProps/ctrlProp1063.xml><?xml version="1.0" encoding="utf-8"?>
<formControlPr xmlns="http://schemas.microsoft.com/office/spreadsheetml/2009/9/main" objectType="CheckBox" fmlaLink="NeoBerLab!$E$4" lockText="1"/>
</file>

<file path=xl/ctrlProps/ctrlProp1064.xml><?xml version="1.0" encoding="utf-8"?>
<formControlPr xmlns="http://schemas.microsoft.com/office/spreadsheetml/2009/9/main" objectType="CheckBox" fmlaLink="NeoBerLab!E5" lockText="1"/>
</file>

<file path=xl/ctrlProps/ctrlProp1065.xml><?xml version="1.0" encoding="utf-8"?>
<formControlPr xmlns="http://schemas.microsoft.com/office/spreadsheetml/2009/9/main" objectType="CheckBox" fmlaLink="NeoBerLab!E7" lockText="1"/>
</file>

<file path=xl/ctrlProps/ctrlProp1066.xml><?xml version="1.0" encoding="utf-8"?>
<formControlPr xmlns="http://schemas.microsoft.com/office/spreadsheetml/2009/9/main" objectType="CheckBox" fmlaLink="NeoBerLab!E8" lockText="1"/>
</file>

<file path=xl/ctrlProps/ctrlProp1067.xml><?xml version="1.0" encoding="utf-8"?>
<formControlPr xmlns="http://schemas.microsoft.com/office/spreadsheetml/2009/9/main" objectType="CheckBox" fmlaLink="NeoBerLab!E14" lockText="1"/>
</file>

<file path=xl/ctrlProps/ctrlProp1068.xml><?xml version="1.0" encoding="utf-8"?>
<formControlPr xmlns="http://schemas.microsoft.com/office/spreadsheetml/2009/9/main" objectType="CheckBox" fmlaLink="NeoBerLab!E13" lockText="1"/>
</file>

<file path=xl/ctrlProps/ctrlProp1069.xml><?xml version="1.0" encoding="utf-8"?>
<formControlPr xmlns="http://schemas.microsoft.com/office/spreadsheetml/2009/9/main" objectType="CheckBox" fmlaLink="NeoBerLab!E30" lockText="1"/>
</file>

<file path=xl/ctrlProps/ctrlProp1070.xml><?xml version="1.0" encoding="utf-8"?>
<formControlPr xmlns="http://schemas.microsoft.com/office/spreadsheetml/2009/9/main" objectType="CheckBox" fmlaLink="NeoBerLab!E16" lockText="1"/>
</file>

<file path=xl/ctrlProps/ctrlProp1071.xml><?xml version="1.0" encoding="utf-8"?>
<formControlPr xmlns="http://schemas.microsoft.com/office/spreadsheetml/2009/9/main" objectType="CheckBox" fmlaLink="NeoBerLab!E19" lockText="1"/>
</file>

<file path=xl/ctrlProps/ctrlProp1072.xml><?xml version="1.0" encoding="utf-8"?>
<formControlPr xmlns="http://schemas.microsoft.com/office/spreadsheetml/2009/9/main" objectType="CheckBox" fmlaLink="NeoBerLab!E20" lockText="1"/>
</file>

<file path=xl/ctrlProps/ctrlProp1073.xml><?xml version="1.0" encoding="utf-8"?>
<formControlPr xmlns="http://schemas.microsoft.com/office/spreadsheetml/2009/9/main" objectType="CheckBox" fmlaLink="NeoBerLab!E21" lockText="1"/>
</file>

<file path=xl/ctrlProps/ctrlProp1074.xml><?xml version="1.0" encoding="utf-8"?>
<formControlPr xmlns="http://schemas.microsoft.com/office/spreadsheetml/2009/9/main" objectType="CheckBox" fmlaLink="NeoBerLab!E12" lockText="1"/>
</file>

<file path=xl/ctrlProps/ctrlProp1075.xml><?xml version="1.0" encoding="utf-8"?>
<formControlPr xmlns="http://schemas.microsoft.com/office/spreadsheetml/2009/9/main" objectType="CheckBox" fmlaLink="NeoBerLab!E28" lockText="1"/>
</file>

<file path=xl/ctrlProps/ctrlProp1076.xml><?xml version="1.0" encoding="utf-8"?>
<formControlPr xmlns="http://schemas.microsoft.com/office/spreadsheetml/2009/9/main" objectType="CheckBox" fmlaLink="NeoBerLab!E32" lockText="1"/>
</file>

<file path=xl/ctrlProps/ctrlProp1077.xml><?xml version="1.0" encoding="utf-8"?>
<formControlPr xmlns="http://schemas.microsoft.com/office/spreadsheetml/2009/9/main" objectType="CheckBox" fmlaLink="NeoBerLab!E6" lockText="1"/>
</file>

<file path=xl/ctrlProps/ctrlProp1078.xml><?xml version="1.0" encoding="utf-8"?>
<formControlPr xmlns="http://schemas.microsoft.com/office/spreadsheetml/2009/9/main" objectType="CheckBox" fmlaLink="NeoBerLab!E17" lockText="1"/>
</file>

<file path=xl/ctrlProps/ctrlProp1079.xml><?xml version="1.0" encoding="utf-8"?>
<formControlPr xmlns="http://schemas.microsoft.com/office/spreadsheetml/2009/9/main" objectType="CheckBox" fmlaLink="NeoBerLab!C33" lockText="1"/>
</file>

<file path=xl/ctrlProps/ctrlProp1080.xml><?xml version="1.0" encoding="utf-8"?>
<formControlPr xmlns="http://schemas.microsoft.com/office/spreadsheetml/2009/9/main" objectType="CheckBox" fmlaLink="NeoBerLab!G33" lockText="1"/>
</file>

<file path=xl/ctrlProps/ctrlProp1081.xml><?xml version="1.0" encoding="utf-8"?>
<formControlPr xmlns="http://schemas.microsoft.com/office/spreadsheetml/2009/9/main" objectType="CheckBox" fmlaLink="NeoBerLab!I33" lockText="1"/>
</file>

<file path=xl/ctrlProps/ctrlProp1082.xml><?xml version="1.0" encoding="utf-8"?>
<formControlPr xmlns="http://schemas.microsoft.com/office/spreadsheetml/2009/9/main" objectType="CheckBox" fmlaLink="NeoBerLab!O33" lockText="1"/>
</file>

<file path=xl/ctrlProps/ctrlProp1083.xml><?xml version="1.0" encoding="utf-8"?>
<formControlPr xmlns="http://schemas.microsoft.com/office/spreadsheetml/2009/9/main" objectType="CheckBox" fmlaLink="NeoBerLab!E33" lockText="1"/>
</file>

<file path=xl/ctrlProps/ctrlProp1084.xml><?xml version="1.0" encoding="utf-8"?>
<formControlPr xmlns="http://schemas.microsoft.com/office/spreadsheetml/2009/9/main" objectType="CheckBox" fmlaLink="NeoBerLab!C34" lockText="1"/>
</file>

<file path=xl/ctrlProps/ctrlProp1085.xml><?xml version="1.0" encoding="utf-8"?>
<formControlPr xmlns="http://schemas.microsoft.com/office/spreadsheetml/2009/9/main" objectType="CheckBox" fmlaLink="NeoBerLab!G34" lockText="1"/>
</file>

<file path=xl/ctrlProps/ctrlProp1086.xml><?xml version="1.0" encoding="utf-8"?>
<formControlPr xmlns="http://schemas.microsoft.com/office/spreadsheetml/2009/9/main" objectType="CheckBox" fmlaLink="NeoBerLab!I34" lockText="1"/>
</file>

<file path=xl/ctrlProps/ctrlProp1087.xml><?xml version="1.0" encoding="utf-8"?>
<formControlPr xmlns="http://schemas.microsoft.com/office/spreadsheetml/2009/9/main" objectType="CheckBox" fmlaLink="NeoBerLab!O34" lockText="1"/>
</file>

<file path=xl/ctrlProps/ctrlProp1088.xml><?xml version="1.0" encoding="utf-8"?>
<formControlPr xmlns="http://schemas.microsoft.com/office/spreadsheetml/2009/9/main" objectType="CheckBox" fmlaLink="NeoBerLab!E34" lockText="1"/>
</file>

<file path=xl/ctrlProps/ctrlProp1089.xml><?xml version="1.0" encoding="utf-8"?>
<formControlPr xmlns="http://schemas.microsoft.com/office/spreadsheetml/2009/9/main" objectType="CheckBox" fmlaLink="NeoBerLab!C9" lockText="1"/>
</file>

<file path=xl/ctrlProps/ctrlProp1090.xml><?xml version="1.0" encoding="utf-8"?>
<formControlPr xmlns="http://schemas.microsoft.com/office/spreadsheetml/2009/9/main" objectType="CheckBox" fmlaLink="NeoBerLab!G9" lockText="1"/>
</file>

<file path=xl/ctrlProps/ctrlProp1091.xml><?xml version="1.0" encoding="utf-8"?>
<formControlPr xmlns="http://schemas.microsoft.com/office/spreadsheetml/2009/9/main" objectType="CheckBox" fmlaLink="NeoBerLab!I9" lockText="1"/>
</file>

<file path=xl/ctrlProps/ctrlProp1092.xml><?xml version="1.0" encoding="utf-8"?>
<formControlPr xmlns="http://schemas.microsoft.com/office/spreadsheetml/2009/9/main" objectType="CheckBox" fmlaLink="NeoBerLab!O9" lockText="1"/>
</file>

<file path=xl/ctrlProps/ctrlProp1093.xml><?xml version="1.0" encoding="utf-8"?>
<formControlPr xmlns="http://schemas.microsoft.com/office/spreadsheetml/2009/9/main" objectType="CheckBox" fmlaLink="NeoBerLab!E9" lockText="1"/>
</file>

<file path=xl/ctrlProps/ctrlProp1094.xml><?xml version="1.0" encoding="utf-8"?>
<formControlPr xmlns="http://schemas.microsoft.com/office/spreadsheetml/2009/9/main" objectType="CheckBox" fmlaLink="NeoBerLab!C11" lockText="1"/>
</file>

<file path=xl/ctrlProps/ctrlProp1095.xml><?xml version="1.0" encoding="utf-8"?>
<formControlPr xmlns="http://schemas.microsoft.com/office/spreadsheetml/2009/9/main" objectType="CheckBox" fmlaLink="NeoBerLab!G11" lockText="1"/>
</file>

<file path=xl/ctrlProps/ctrlProp1096.xml><?xml version="1.0" encoding="utf-8"?>
<formControlPr xmlns="http://schemas.microsoft.com/office/spreadsheetml/2009/9/main" objectType="CheckBox" fmlaLink="NeoBerLab!I11" lockText="1"/>
</file>

<file path=xl/ctrlProps/ctrlProp1097.xml><?xml version="1.0" encoding="utf-8"?>
<formControlPr xmlns="http://schemas.microsoft.com/office/spreadsheetml/2009/9/main" objectType="CheckBox" fmlaLink="NeoBerLab!O11" lockText="1"/>
</file>

<file path=xl/ctrlProps/ctrlProp1098.xml><?xml version="1.0" encoding="utf-8"?>
<formControlPr xmlns="http://schemas.microsoft.com/office/spreadsheetml/2009/9/main" objectType="CheckBox" fmlaLink="NeoBerLab!E11" lockText="1"/>
</file>

<file path=xl/ctrlProps/ctrlProp1099.xml><?xml version="1.0" encoding="utf-8"?>
<formControlPr xmlns="http://schemas.microsoft.com/office/spreadsheetml/2009/9/main" objectType="CheckBox" fmlaLink="NeoBerLab!C15" lockText="1"/>
</file>

<file path=xl/ctrlProps/ctrlProp1100.xml><?xml version="1.0" encoding="utf-8"?>
<formControlPr xmlns="http://schemas.microsoft.com/office/spreadsheetml/2009/9/main" objectType="CheckBox" fmlaLink="NeoBerLab!G15" lockText="1"/>
</file>

<file path=xl/ctrlProps/ctrlProp1101.xml><?xml version="1.0" encoding="utf-8"?>
<formControlPr xmlns="http://schemas.microsoft.com/office/spreadsheetml/2009/9/main" objectType="CheckBox" fmlaLink="NeoBerLab!I15" lockText="1"/>
</file>

<file path=xl/ctrlProps/ctrlProp1102.xml><?xml version="1.0" encoding="utf-8"?>
<formControlPr xmlns="http://schemas.microsoft.com/office/spreadsheetml/2009/9/main" objectType="CheckBox" fmlaLink="NeoBerLab!O15" lockText="1"/>
</file>

<file path=xl/ctrlProps/ctrlProp1103.xml><?xml version="1.0" encoding="utf-8"?>
<formControlPr xmlns="http://schemas.microsoft.com/office/spreadsheetml/2009/9/main" objectType="CheckBox" fmlaLink="NeoBerLab!E15" lockText="1"/>
</file>

<file path=xl/ctrlProps/ctrlProp1104.xml><?xml version="1.0" encoding="utf-8"?>
<formControlPr xmlns="http://schemas.microsoft.com/office/spreadsheetml/2009/9/main" objectType="CheckBox" fmlaLink="NeoBerLab!C22" lockText="1"/>
</file>

<file path=xl/ctrlProps/ctrlProp1105.xml><?xml version="1.0" encoding="utf-8"?>
<formControlPr xmlns="http://schemas.microsoft.com/office/spreadsheetml/2009/9/main" objectType="CheckBox" fmlaLink="NeoBerLab!G22" lockText="1"/>
</file>

<file path=xl/ctrlProps/ctrlProp1106.xml><?xml version="1.0" encoding="utf-8"?>
<formControlPr xmlns="http://schemas.microsoft.com/office/spreadsheetml/2009/9/main" objectType="CheckBox" fmlaLink="NeoBerLab!I22" lockText="1"/>
</file>

<file path=xl/ctrlProps/ctrlProp1107.xml><?xml version="1.0" encoding="utf-8"?>
<formControlPr xmlns="http://schemas.microsoft.com/office/spreadsheetml/2009/9/main" objectType="CheckBox" fmlaLink="NeoBerLab!O22" lockText="1"/>
</file>

<file path=xl/ctrlProps/ctrlProp1108.xml><?xml version="1.0" encoding="utf-8"?>
<formControlPr xmlns="http://schemas.microsoft.com/office/spreadsheetml/2009/9/main" objectType="CheckBox" fmlaLink="NeoBerLab!E22" lockText="1"/>
</file>

<file path=xl/ctrlProps/ctrlProp1109.xml><?xml version="1.0" encoding="utf-8"?>
<formControlPr xmlns="http://schemas.microsoft.com/office/spreadsheetml/2009/9/main" objectType="CheckBox" fmlaLink="NeoBerLab!C23" lockText="1"/>
</file>

<file path=xl/ctrlProps/ctrlProp1110.xml><?xml version="1.0" encoding="utf-8"?>
<formControlPr xmlns="http://schemas.microsoft.com/office/spreadsheetml/2009/9/main" objectType="CheckBox" fmlaLink="NeoBerLab!G23" lockText="1"/>
</file>

<file path=xl/ctrlProps/ctrlProp1111.xml><?xml version="1.0" encoding="utf-8"?>
<formControlPr xmlns="http://schemas.microsoft.com/office/spreadsheetml/2009/9/main" objectType="CheckBox" fmlaLink="NeoBerLab!I23" lockText="1"/>
</file>

<file path=xl/ctrlProps/ctrlProp1112.xml><?xml version="1.0" encoding="utf-8"?>
<formControlPr xmlns="http://schemas.microsoft.com/office/spreadsheetml/2009/9/main" objectType="CheckBox" fmlaLink="NeoBerLab!O23" lockText="1"/>
</file>

<file path=xl/ctrlProps/ctrlProp1113.xml><?xml version="1.0" encoding="utf-8"?>
<formControlPr xmlns="http://schemas.microsoft.com/office/spreadsheetml/2009/9/main" objectType="CheckBox" fmlaLink="NeoBerLab!E23" lockText="1"/>
</file>

<file path=xl/ctrlProps/ctrlProp1114.xml><?xml version="1.0" encoding="utf-8"?>
<formControlPr xmlns="http://schemas.microsoft.com/office/spreadsheetml/2009/9/main" objectType="CheckBox" fmlaLink="NeoBerLab!C24" lockText="1"/>
</file>

<file path=xl/ctrlProps/ctrlProp1115.xml><?xml version="1.0" encoding="utf-8"?>
<formControlPr xmlns="http://schemas.microsoft.com/office/spreadsheetml/2009/9/main" objectType="CheckBox" fmlaLink="NeoBerLab!G24" lockText="1"/>
</file>

<file path=xl/ctrlProps/ctrlProp1116.xml><?xml version="1.0" encoding="utf-8"?>
<formControlPr xmlns="http://schemas.microsoft.com/office/spreadsheetml/2009/9/main" objectType="CheckBox" fmlaLink="NeoBerLab!I24" lockText="1"/>
</file>

<file path=xl/ctrlProps/ctrlProp1117.xml><?xml version="1.0" encoding="utf-8"?>
<formControlPr xmlns="http://schemas.microsoft.com/office/spreadsheetml/2009/9/main" objectType="CheckBox" fmlaLink="NeoBerLab!O24" lockText="1"/>
</file>

<file path=xl/ctrlProps/ctrlProp1118.xml><?xml version="1.0" encoding="utf-8"?>
<formControlPr xmlns="http://schemas.microsoft.com/office/spreadsheetml/2009/9/main" objectType="CheckBox" fmlaLink="NeoBerLab!E24" lockText="1"/>
</file>

<file path=xl/ctrlProps/ctrlProp1119.xml><?xml version="1.0" encoding="utf-8"?>
<formControlPr xmlns="http://schemas.microsoft.com/office/spreadsheetml/2009/9/main" objectType="CheckBox" fmlaLink="NeoBerLab!C25" lockText="1"/>
</file>

<file path=xl/ctrlProps/ctrlProp1120.xml><?xml version="1.0" encoding="utf-8"?>
<formControlPr xmlns="http://schemas.microsoft.com/office/spreadsheetml/2009/9/main" objectType="CheckBox" fmlaLink="NeoBerLab!G25" lockText="1"/>
</file>

<file path=xl/ctrlProps/ctrlProp1121.xml><?xml version="1.0" encoding="utf-8"?>
<formControlPr xmlns="http://schemas.microsoft.com/office/spreadsheetml/2009/9/main" objectType="CheckBox" fmlaLink="NeoBerLab!I25" lockText="1"/>
</file>

<file path=xl/ctrlProps/ctrlProp1122.xml><?xml version="1.0" encoding="utf-8"?>
<formControlPr xmlns="http://schemas.microsoft.com/office/spreadsheetml/2009/9/main" objectType="CheckBox" fmlaLink="NeoBerLab!O25" lockText="1"/>
</file>

<file path=xl/ctrlProps/ctrlProp1123.xml><?xml version="1.0" encoding="utf-8"?>
<formControlPr xmlns="http://schemas.microsoft.com/office/spreadsheetml/2009/9/main" objectType="CheckBox" fmlaLink="NeoBerLab!E25" lockText="1"/>
</file>

<file path=xl/ctrlProps/ctrlProp1124.xml><?xml version="1.0" encoding="utf-8"?>
<formControlPr xmlns="http://schemas.microsoft.com/office/spreadsheetml/2009/9/main" objectType="CheckBox" fmlaLink="NeoBerLab!C26" lockText="1"/>
</file>

<file path=xl/ctrlProps/ctrlProp1125.xml><?xml version="1.0" encoding="utf-8"?>
<formControlPr xmlns="http://schemas.microsoft.com/office/spreadsheetml/2009/9/main" objectType="CheckBox" fmlaLink="NeoBerLab!G26" lockText="1"/>
</file>

<file path=xl/ctrlProps/ctrlProp1126.xml><?xml version="1.0" encoding="utf-8"?>
<formControlPr xmlns="http://schemas.microsoft.com/office/spreadsheetml/2009/9/main" objectType="CheckBox" fmlaLink="NeoBerLab!I26" lockText="1"/>
</file>

<file path=xl/ctrlProps/ctrlProp1127.xml><?xml version="1.0" encoding="utf-8"?>
<formControlPr xmlns="http://schemas.microsoft.com/office/spreadsheetml/2009/9/main" objectType="CheckBox" fmlaLink="NeoBerLab!O26" lockText="1"/>
</file>

<file path=xl/ctrlProps/ctrlProp1128.xml><?xml version="1.0" encoding="utf-8"?>
<formControlPr xmlns="http://schemas.microsoft.com/office/spreadsheetml/2009/9/main" objectType="CheckBox" fmlaLink="NeoBerLab!E26" lockText="1"/>
</file>

<file path=xl/ctrlProps/ctrlProp1129.xml><?xml version="1.0" encoding="utf-8"?>
<formControlPr xmlns="http://schemas.microsoft.com/office/spreadsheetml/2009/9/main" objectType="CheckBox" fmlaLink="NeoBerLab!C29" lockText="1"/>
</file>

<file path=xl/ctrlProps/ctrlProp1130.xml><?xml version="1.0" encoding="utf-8"?>
<formControlPr xmlns="http://schemas.microsoft.com/office/spreadsheetml/2009/9/main" objectType="CheckBox" fmlaLink="NeoBerLab!G29" lockText="1"/>
</file>

<file path=xl/ctrlProps/ctrlProp1131.xml><?xml version="1.0" encoding="utf-8"?>
<formControlPr xmlns="http://schemas.microsoft.com/office/spreadsheetml/2009/9/main" objectType="CheckBox" fmlaLink="NeoBerLab!I29" lockText="1"/>
</file>

<file path=xl/ctrlProps/ctrlProp1132.xml><?xml version="1.0" encoding="utf-8"?>
<formControlPr xmlns="http://schemas.microsoft.com/office/spreadsheetml/2009/9/main" objectType="CheckBox" fmlaLink="NeoBerLab!O29" lockText="1"/>
</file>

<file path=xl/ctrlProps/ctrlProp1133.xml><?xml version="1.0" encoding="utf-8"?>
<formControlPr xmlns="http://schemas.microsoft.com/office/spreadsheetml/2009/9/main" objectType="CheckBox" fmlaLink="NeoBerLab!E29" lockText="1"/>
</file>

<file path=xl/ctrlProps/ctrlProp1134.xml><?xml version="1.0" encoding="utf-8"?>
<formControlPr xmlns="http://schemas.microsoft.com/office/spreadsheetml/2009/9/main" objectType="CheckBox" fmlaLink="NeoBerLab!C18" lockText="1"/>
</file>

<file path=xl/ctrlProps/ctrlProp1135.xml><?xml version="1.0" encoding="utf-8"?>
<formControlPr xmlns="http://schemas.microsoft.com/office/spreadsheetml/2009/9/main" objectType="CheckBox" fmlaLink="NeoBerLab!G18" lockText="1"/>
</file>

<file path=xl/ctrlProps/ctrlProp1136.xml><?xml version="1.0" encoding="utf-8"?>
<formControlPr xmlns="http://schemas.microsoft.com/office/spreadsheetml/2009/9/main" objectType="CheckBox" fmlaLink="NeoBerLab!I18" lockText="1"/>
</file>

<file path=xl/ctrlProps/ctrlProp1137.xml><?xml version="1.0" encoding="utf-8"?>
<formControlPr xmlns="http://schemas.microsoft.com/office/spreadsheetml/2009/9/main" objectType="CheckBox" fmlaLink="NeoBerLab!O18" lockText="1"/>
</file>

<file path=xl/ctrlProps/ctrlProp1138.xml><?xml version="1.0" encoding="utf-8"?>
<formControlPr xmlns="http://schemas.microsoft.com/office/spreadsheetml/2009/9/main" objectType="CheckBox" fmlaLink="NeoBerLab!E18" lockText="1"/>
</file>

<file path=xl/ctrlProps/ctrlProp1139.xml><?xml version="1.0" encoding="utf-8"?>
<formControlPr xmlns="http://schemas.microsoft.com/office/spreadsheetml/2009/9/main" objectType="CheckBox" fmlaLink="NeoBerLab!$K$4" lockText="1"/>
</file>

<file path=xl/ctrlProps/ctrlProp1140.xml><?xml version="1.0" encoding="utf-8"?>
<formControlPr xmlns="http://schemas.microsoft.com/office/spreadsheetml/2009/9/main" objectType="CheckBox" fmlaLink="NeoBerLab!K5" lockText="1"/>
</file>

<file path=xl/ctrlProps/ctrlProp1141.xml><?xml version="1.0" encoding="utf-8"?>
<formControlPr xmlns="http://schemas.microsoft.com/office/spreadsheetml/2009/9/main" objectType="CheckBox" fmlaLink="NeoBerLab!K7" lockText="1"/>
</file>

<file path=xl/ctrlProps/ctrlProp1142.xml><?xml version="1.0" encoding="utf-8"?>
<formControlPr xmlns="http://schemas.microsoft.com/office/spreadsheetml/2009/9/main" objectType="CheckBox" fmlaLink="NeoBerLab!K8" lockText="1"/>
</file>

<file path=xl/ctrlProps/ctrlProp1143.xml><?xml version="1.0" encoding="utf-8"?>
<formControlPr xmlns="http://schemas.microsoft.com/office/spreadsheetml/2009/9/main" objectType="CheckBox" fmlaLink="NeoBerLab!K14" lockText="1"/>
</file>

<file path=xl/ctrlProps/ctrlProp1144.xml><?xml version="1.0" encoding="utf-8"?>
<formControlPr xmlns="http://schemas.microsoft.com/office/spreadsheetml/2009/9/main" objectType="CheckBox" fmlaLink="NeoBerLab!K13" lockText="1"/>
</file>

<file path=xl/ctrlProps/ctrlProp1145.xml><?xml version="1.0" encoding="utf-8"?>
<formControlPr xmlns="http://schemas.microsoft.com/office/spreadsheetml/2009/9/main" objectType="CheckBox" fmlaLink="NeoBerLab!K30" lockText="1"/>
</file>

<file path=xl/ctrlProps/ctrlProp1146.xml><?xml version="1.0" encoding="utf-8"?>
<formControlPr xmlns="http://schemas.microsoft.com/office/spreadsheetml/2009/9/main" objectType="CheckBox" fmlaLink="NeoBerLab!K16" lockText="1"/>
</file>

<file path=xl/ctrlProps/ctrlProp1147.xml><?xml version="1.0" encoding="utf-8"?>
<formControlPr xmlns="http://schemas.microsoft.com/office/spreadsheetml/2009/9/main" objectType="CheckBox" fmlaLink="NeoBerLab!K19" lockText="1"/>
</file>

<file path=xl/ctrlProps/ctrlProp1148.xml><?xml version="1.0" encoding="utf-8"?>
<formControlPr xmlns="http://schemas.microsoft.com/office/spreadsheetml/2009/9/main" objectType="CheckBox" fmlaLink="NeoBerLab!K20" lockText="1"/>
</file>

<file path=xl/ctrlProps/ctrlProp1149.xml><?xml version="1.0" encoding="utf-8"?>
<formControlPr xmlns="http://schemas.microsoft.com/office/spreadsheetml/2009/9/main" objectType="CheckBox" fmlaLink="NeoBerLab!K21" lockText="1"/>
</file>

<file path=xl/ctrlProps/ctrlProp1150.xml><?xml version="1.0" encoding="utf-8"?>
<formControlPr xmlns="http://schemas.microsoft.com/office/spreadsheetml/2009/9/main" objectType="CheckBox" fmlaLink="NeoBerLab!K12" lockText="1"/>
</file>

<file path=xl/ctrlProps/ctrlProp1151.xml><?xml version="1.0" encoding="utf-8"?>
<formControlPr xmlns="http://schemas.microsoft.com/office/spreadsheetml/2009/9/main" objectType="CheckBox" fmlaLink="NeoBerLab!K28" lockText="1"/>
</file>

<file path=xl/ctrlProps/ctrlProp1152.xml><?xml version="1.0" encoding="utf-8"?>
<formControlPr xmlns="http://schemas.microsoft.com/office/spreadsheetml/2009/9/main" objectType="CheckBox" fmlaLink="NeoBerLab!$M$4" lockText="1"/>
</file>

<file path=xl/ctrlProps/ctrlProp1153.xml><?xml version="1.0" encoding="utf-8"?>
<formControlPr xmlns="http://schemas.microsoft.com/office/spreadsheetml/2009/9/main" objectType="CheckBox" fmlaLink="NeoBerLab!M5" lockText="1"/>
</file>

<file path=xl/ctrlProps/ctrlProp1154.xml><?xml version="1.0" encoding="utf-8"?>
<formControlPr xmlns="http://schemas.microsoft.com/office/spreadsheetml/2009/9/main" objectType="CheckBox" fmlaLink="NeoBerLab!M7" lockText="1"/>
</file>

<file path=xl/ctrlProps/ctrlProp1155.xml><?xml version="1.0" encoding="utf-8"?>
<formControlPr xmlns="http://schemas.microsoft.com/office/spreadsheetml/2009/9/main" objectType="CheckBox" fmlaLink="NeoBerLab!M8" lockText="1"/>
</file>

<file path=xl/ctrlProps/ctrlProp1156.xml><?xml version="1.0" encoding="utf-8"?>
<formControlPr xmlns="http://schemas.microsoft.com/office/spreadsheetml/2009/9/main" objectType="CheckBox" fmlaLink="NeoBerLab!M14" lockText="1"/>
</file>

<file path=xl/ctrlProps/ctrlProp1157.xml><?xml version="1.0" encoding="utf-8"?>
<formControlPr xmlns="http://schemas.microsoft.com/office/spreadsheetml/2009/9/main" objectType="CheckBox" fmlaLink="NeoBerLab!M13" lockText="1"/>
</file>

<file path=xl/ctrlProps/ctrlProp1158.xml><?xml version="1.0" encoding="utf-8"?>
<formControlPr xmlns="http://schemas.microsoft.com/office/spreadsheetml/2009/9/main" objectType="CheckBox" fmlaLink="NeoBerLab!M30" lockText="1"/>
</file>

<file path=xl/ctrlProps/ctrlProp1159.xml><?xml version="1.0" encoding="utf-8"?>
<formControlPr xmlns="http://schemas.microsoft.com/office/spreadsheetml/2009/9/main" objectType="CheckBox" fmlaLink="NeoBerLab!M16" lockText="1"/>
</file>

<file path=xl/ctrlProps/ctrlProp1160.xml><?xml version="1.0" encoding="utf-8"?>
<formControlPr xmlns="http://schemas.microsoft.com/office/spreadsheetml/2009/9/main" objectType="CheckBox" fmlaLink="NeoBerLab!M19" lockText="1"/>
</file>

<file path=xl/ctrlProps/ctrlProp1161.xml><?xml version="1.0" encoding="utf-8"?>
<formControlPr xmlns="http://schemas.microsoft.com/office/spreadsheetml/2009/9/main" objectType="CheckBox" fmlaLink="NeoBerLab!M20" lockText="1"/>
</file>

<file path=xl/ctrlProps/ctrlProp1162.xml><?xml version="1.0" encoding="utf-8"?>
<formControlPr xmlns="http://schemas.microsoft.com/office/spreadsheetml/2009/9/main" objectType="CheckBox" fmlaLink="NeoBerLab!M21" lockText="1"/>
</file>

<file path=xl/ctrlProps/ctrlProp1163.xml><?xml version="1.0" encoding="utf-8"?>
<formControlPr xmlns="http://schemas.microsoft.com/office/spreadsheetml/2009/9/main" objectType="CheckBox" fmlaLink="NeoBerLab!M12" lockText="1"/>
</file>

<file path=xl/ctrlProps/ctrlProp1164.xml><?xml version="1.0" encoding="utf-8"?>
<formControlPr xmlns="http://schemas.microsoft.com/office/spreadsheetml/2009/9/main" objectType="CheckBox" fmlaLink="NeoBerLab!M28" lockText="1"/>
</file>

<file path=xl/ctrlProps/ctrlProp1165.xml><?xml version="1.0" encoding="utf-8"?>
<formControlPr xmlns="http://schemas.microsoft.com/office/spreadsheetml/2009/9/main" objectType="CheckBox" fmlaLink="NeoBerLab!K32" lockText="1"/>
</file>

<file path=xl/ctrlProps/ctrlProp1166.xml><?xml version="1.0" encoding="utf-8"?>
<formControlPr xmlns="http://schemas.microsoft.com/office/spreadsheetml/2009/9/main" objectType="CheckBox" fmlaLink="NeoBerLab!M32" lockText="1"/>
</file>

<file path=xl/ctrlProps/ctrlProp1167.xml><?xml version="1.0" encoding="utf-8"?>
<formControlPr xmlns="http://schemas.microsoft.com/office/spreadsheetml/2009/9/main" objectType="CheckBox" fmlaLink="NeoBerLab!K6" lockText="1"/>
</file>

<file path=xl/ctrlProps/ctrlProp1168.xml><?xml version="1.0" encoding="utf-8"?>
<formControlPr xmlns="http://schemas.microsoft.com/office/spreadsheetml/2009/9/main" objectType="CheckBox" fmlaLink="NeoBerLab!M6" lockText="1"/>
</file>

<file path=xl/ctrlProps/ctrlProp1169.xml><?xml version="1.0" encoding="utf-8"?>
<formControlPr xmlns="http://schemas.microsoft.com/office/spreadsheetml/2009/9/main" objectType="CheckBox" fmlaLink="NeoBerLab!K17" lockText="1"/>
</file>

<file path=xl/ctrlProps/ctrlProp1170.xml><?xml version="1.0" encoding="utf-8"?>
<formControlPr xmlns="http://schemas.microsoft.com/office/spreadsheetml/2009/9/main" objectType="CheckBox" fmlaLink="NeoBerLab!M17" lockText="1"/>
</file>

<file path=xl/ctrlProps/ctrlProp1171.xml><?xml version="1.0" encoding="utf-8"?>
<formControlPr xmlns="http://schemas.microsoft.com/office/spreadsheetml/2009/9/main" objectType="CheckBox" fmlaLink="NeoBerLab!K33" lockText="1"/>
</file>

<file path=xl/ctrlProps/ctrlProp1172.xml><?xml version="1.0" encoding="utf-8"?>
<formControlPr xmlns="http://schemas.microsoft.com/office/spreadsheetml/2009/9/main" objectType="CheckBox" fmlaLink="NeoBerLab!M33" lockText="1"/>
</file>

<file path=xl/ctrlProps/ctrlProp1173.xml><?xml version="1.0" encoding="utf-8"?>
<formControlPr xmlns="http://schemas.microsoft.com/office/spreadsheetml/2009/9/main" objectType="CheckBox" fmlaLink="NeoBerLab!K34" lockText="1"/>
</file>

<file path=xl/ctrlProps/ctrlProp1174.xml><?xml version="1.0" encoding="utf-8"?>
<formControlPr xmlns="http://schemas.microsoft.com/office/spreadsheetml/2009/9/main" objectType="CheckBox" fmlaLink="NeoBerLab!M34" lockText="1"/>
</file>

<file path=xl/ctrlProps/ctrlProp1175.xml><?xml version="1.0" encoding="utf-8"?>
<formControlPr xmlns="http://schemas.microsoft.com/office/spreadsheetml/2009/9/main" objectType="CheckBox" fmlaLink="NeoBerLab!K9" lockText="1"/>
</file>

<file path=xl/ctrlProps/ctrlProp1176.xml><?xml version="1.0" encoding="utf-8"?>
<formControlPr xmlns="http://schemas.microsoft.com/office/spreadsheetml/2009/9/main" objectType="CheckBox" fmlaLink="NeoBerLab!M9" lockText="1"/>
</file>

<file path=xl/ctrlProps/ctrlProp1177.xml><?xml version="1.0" encoding="utf-8"?>
<formControlPr xmlns="http://schemas.microsoft.com/office/spreadsheetml/2009/9/main" objectType="CheckBox" fmlaLink="NeoBerLab!K11" lockText="1"/>
</file>

<file path=xl/ctrlProps/ctrlProp1178.xml><?xml version="1.0" encoding="utf-8"?>
<formControlPr xmlns="http://schemas.microsoft.com/office/spreadsheetml/2009/9/main" objectType="CheckBox" fmlaLink="NeoBerLab!M11" lockText="1"/>
</file>

<file path=xl/ctrlProps/ctrlProp1179.xml><?xml version="1.0" encoding="utf-8"?>
<formControlPr xmlns="http://schemas.microsoft.com/office/spreadsheetml/2009/9/main" objectType="CheckBox" fmlaLink="NeoBerLab!K15" lockText="1"/>
</file>

<file path=xl/ctrlProps/ctrlProp1180.xml><?xml version="1.0" encoding="utf-8"?>
<formControlPr xmlns="http://schemas.microsoft.com/office/spreadsheetml/2009/9/main" objectType="CheckBox" fmlaLink="NeoBerLab!M15" lockText="1"/>
</file>

<file path=xl/ctrlProps/ctrlProp1181.xml><?xml version="1.0" encoding="utf-8"?>
<formControlPr xmlns="http://schemas.microsoft.com/office/spreadsheetml/2009/9/main" objectType="CheckBox" fmlaLink="NeoBerLab!K22" lockText="1"/>
</file>

<file path=xl/ctrlProps/ctrlProp1182.xml><?xml version="1.0" encoding="utf-8"?>
<formControlPr xmlns="http://schemas.microsoft.com/office/spreadsheetml/2009/9/main" objectType="CheckBox" fmlaLink="NeoBerLab!M22" lockText="1"/>
</file>

<file path=xl/ctrlProps/ctrlProp1183.xml><?xml version="1.0" encoding="utf-8"?>
<formControlPr xmlns="http://schemas.microsoft.com/office/spreadsheetml/2009/9/main" objectType="CheckBox" fmlaLink="NeoBerLab!K23" lockText="1"/>
</file>

<file path=xl/ctrlProps/ctrlProp1184.xml><?xml version="1.0" encoding="utf-8"?>
<formControlPr xmlns="http://schemas.microsoft.com/office/spreadsheetml/2009/9/main" objectType="CheckBox" fmlaLink="NeoBerLab!M23" lockText="1"/>
</file>

<file path=xl/ctrlProps/ctrlProp1185.xml><?xml version="1.0" encoding="utf-8"?>
<formControlPr xmlns="http://schemas.microsoft.com/office/spreadsheetml/2009/9/main" objectType="CheckBox" fmlaLink="NeoBerLab!K24" lockText="1"/>
</file>

<file path=xl/ctrlProps/ctrlProp1186.xml><?xml version="1.0" encoding="utf-8"?>
<formControlPr xmlns="http://schemas.microsoft.com/office/spreadsheetml/2009/9/main" objectType="CheckBox" fmlaLink="NeoBerLab!M24" lockText="1"/>
</file>

<file path=xl/ctrlProps/ctrlProp1187.xml><?xml version="1.0" encoding="utf-8"?>
<formControlPr xmlns="http://schemas.microsoft.com/office/spreadsheetml/2009/9/main" objectType="CheckBox" fmlaLink="NeoBerLab!K25" lockText="1"/>
</file>

<file path=xl/ctrlProps/ctrlProp1188.xml><?xml version="1.0" encoding="utf-8"?>
<formControlPr xmlns="http://schemas.microsoft.com/office/spreadsheetml/2009/9/main" objectType="CheckBox" fmlaLink="NeoBerLab!M25" lockText="1"/>
</file>

<file path=xl/ctrlProps/ctrlProp1189.xml><?xml version="1.0" encoding="utf-8"?>
<formControlPr xmlns="http://schemas.microsoft.com/office/spreadsheetml/2009/9/main" objectType="CheckBox" fmlaLink="NeoBerLab!K26" lockText="1"/>
</file>

<file path=xl/ctrlProps/ctrlProp1190.xml><?xml version="1.0" encoding="utf-8"?>
<formControlPr xmlns="http://schemas.microsoft.com/office/spreadsheetml/2009/9/main" objectType="CheckBox" fmlaLink="NeoBerLab!M26" lockText="1"/>
</file>

<file path=xl/ctrlProps/ctrlProp1191.xml><?xml version="1.0" encoding="utf-8"?>
<formControlPr xmlns="http://schemas.microsoft.com/office/spreadsheetml/2009/9/main" objectType="CheckBox" fmlaLink="NeoBerLab!K29" lockText="1"/>
</file>

<file path=xl/ctrlProps/ctrlProp1192.xml><?xml version="1.0" encoding="utf-8"?>
<formControlPr xmlns="http://schemas.microsoft.com/office/spreadsheetml/2009/9/main" objectType="CheckBox" fmlaLink="NeoBerLab!M29" lockText="1"/>
</file>

<file path=xl/ctrlProps/ctrlProp1193.xml><?xml version="1.0" encoding="utf-8"?>
<formControlPr xmlns="http://schemas.microsoft.com/office/spreadsheetml/2009/9/main" objectType="CheckBox" fmlaLink="NeoBerLab!K18" lockText="1"/>
</file>

<file path=xl/ctrlProps/ctrlProp1194.xml><?xml version="1.0" encoding="utf-8"?>
<formControlPr xmlns="http://schemas.microsoft.com/office/spreadsheetml/2009/9/main" objectType="CheckBox" fmlaLink="NeoBerLab!M18" lockText="1"/>
</file>

<file path=xl/ctrlProps/ctrlProp1195.xml><?xml version="1.0" encoding="utf-8"?>
<formControlPr xmlns="http://schemas.microsoft.com/office/spreadsheetml/2009/9/main" objectType="CheckBox" fmlaLink="NeoBerLab!C10" lockText="1"/>
</file>

<file path=xl/ctrlProps/ctrlProp1196.xml><?xml version="1.0" encoding="utf-8"?>
<formControlPr xmlns="http://schemas.microsoft.com/office/spreadsheetml/2009/9/main" objectType="CheckBox" fmlaLink="NeoBerLab!G10" lockText="1"/>
</file>

<file path=xl/ctrlProps/ctrlProp1197.xml><?xml version="1.0" encoding="utf-8"?>
<formControlPr xmlns="http://schemas.microsoft.com/office/spreadsheetml/2009/9/main" objectType="CheckBox" fmlaLink="NeoBerLab!I10" lockText="1"/>
</file>

<file path=xl/ctrlProps/ctrlProp1198.xml><?xml version="1.0" encoding="utf-8"?>
<formControlPr xmlns="http://schemas.microsoft.com/office/spreadsheetml/2009/9/main" objectType="CheckBox" fmlaLink="NeoBerLab!O10" lockText="1"/>
</file>

<file path=xl/ctrlProps/ctrlProp1199.xml><?xml version="1.0" encoding="utf-8"?>
<formControlPr xmlns="http://schemas.microsoft.com/office/spreadsheetml/2009/9/main" objectType="CheckBox" fmlaLink="NeoBerLab!E10" lockText="1"/>
</file>

<file path=xl/ctrlProps/ctrlProp1200.xml><?xml version="1.0" encoding="utf-8"?>
<formControlPr xmlns="http://schemas.microsoft.com/office/spreadsheetml/2009/9/main" objectType="CheckBox" fmlaLink="NeoBerLab!K10" lockText="1"/>
</file>

<file path=xl/ctrlProps/ctrlProp1201.xml><?xml version="1.0" encoding="utf-8"?>
<formControlPr xmlns="http://schemas.microsoft.com/office/spreadsheetml/2009/9/main" objectType="CheckBox" fmlaLink="NeoBerLab!M10" lockText="1"/>
</file>

<file path=xl/ctrlProps/ctrlProp1202.xml><?xml version="1.0" encoding="utf-8"?>
<formControlPr xmlns="http://schemas.microsoft.com/office/spreadsheetml/2009/9/main" objectType="CheckBox" fmlaLink="NeoBerLab!C31" lockText="1"/>
</file>

<file path=xl/ctrlProps/ctrlProp1203.xml><?xml version="1.0" encoding="utf-8"?>
<formControlPr xmlns="http://schemas.microsoft.com/office/spreadsheetml/2009/9/main" objectType="CheckBox" fmlaLink="NeoBerLab!G31" lockText="1"/>
</file>

<file path=xl/ctrlProps/ctrlProp1204.xml><?xml version="1.0" encoding="utf-8"?>
<formControlPr xmlns="http://schemas.microsoft.com/office/spreadsheetml/2009/9/main" objectType="CheckBox" fmlaLink="NeoBerLab!I31" lockText="1"/>
</file>

<file path=xl/ctrlProps/ctrlProp1205.xml><?xml version="1.0" encoding="utf-8"?>
<formControlPr xmlns="http://schemas.microsoft.com/office/spreadsheetml/2009/9/main" objectType="CheckBox" fmlaLink="NeoBerLab!O31" lockText="1"/>
</file>

<file path=xl/ctrlProps/ctrlProp1206.xml><?xml version="1.0" encoding="utf-8"?>
<formControlPr xmlns="http://schemas.microsoft.com/office/spreadsheetml/2009/9/main" objectType="CheckBox" fmlaLink="NeoBerLab!E31" lockText="1"/>
</file>

<file path=xl/ctrlProps/ctrlProp1207.xml><?xml version="1.0" encoding="utf-8"?>
<formControlPr xmlns="http://schemas.microsoft.com/office/spreadsheetml/2009/9/main" objectType="CheckBox" fmlaLink="NeoBerLab!K31" lockText="1"/>
</file>

<file path=xl/ctrlProps/ctrlProp1208.xml><?xml version="1.0" encoding="utf-8"?>
<formControlPr xmlns="http://schemas.microsoft.com/office/spreadsheetml/2009/9/main" objectType="CheckBox" fmlaLink="NeoBerLab!M31" lockText="1"/>
</file>

<file path=xl/ctrlProps/ctrlProp1209.xml><?xml version="1.0" encoding="utf-8"?>
<formControlPr xmlns="http://schemas.microsoft.com/office/spreadsheetml/2009/9/main" objectType="CheckBox" fmlaLink="NeoBerLab!C27" lockText="1"/>
</file>

<file path=xl/ctrlProps/ctrlProp1210.xml><?xml version="1.0" encoding="utf-8"?>
<formControlPr xmlns="http://schemas.microsoft.com/office/spreadsheetml/2009/9/main" objectType="CheckBox" fmlaLink="NeoBerLab!G27" lockText="1"/>
</file>

<file path=xl/ctrlProps/ctrlProp1211.xml><?xml version="1.0" encoding="utf-8"?>
<formControlPr xmlns="http://schemas.microsoft.com/office/spreadsheetml/2009/9/main" objectType="CheckBox" fmlaLink="NeoBerLab!I27" lockText="1"/>
</file>

<file path=xl/ctrlProps/ctrlProp1212.xml><?xml version="1.0" encoding="utf-8"?>
<formControlPr xmlns="http://schemas.microsoft.com/office/spreadsheetml/2009/9/main" objectType="CheckBox" fmlaLink="NeoBerLab!O27" lockText="1"/>
</file>

<file path=xl/ctrlProps/ctrlProp1213.xml><?xml version="1.0" encoding="utf-8"?>
<formControlPr xmlns="http://schemas.microsoft.com/office/spreadsheetml/2009/9/main" objectType="CheckBox" fmlaLink="NeoBerLab!E27" lockText="1"/>
</file>

<file path=xl/ctrlProps/ctrlProp1214.xml><?xml version="1.0" encoding="utf-8"?>
<formControlPr xmlns="http://schemas.microsoft.com/office/spreadsheetml/2009/9/main" objectType="CheckBox" fmlaLink="NeoBerLab!K27" lockText="1"/>
</file>

<file path=xl/ctrlProps/ctrlProp1215.xml><?xml version="1.0" encoding="utf-8"?>
<formControlPr xmlns="http://schemas.microsoft.com/office/spreadsheetml/2009/9/main" objectType="CheckBox" fmlaLink="NeoBerLab!M27" lockText="1"/>
</file>

<file path=xl/ctrlProps/ctrlProp1216.xml><?xml version="1.0" encoding="utf-8"?>
<formControlPr xmlns="http://schemas.microsoft.com/office/spreadsheetml/2009/9/main" objectType="CheckBox" fmlaLink="NeoBerLab!C35" lockText="1"/>
</file>

<file path=xl/ctrlProps/ctrlProp1217.xml><?xml version="1.0" encoding="utf-8"?>
<formControlPr xmlns="http://schemas.microsoft.com/office/spreadsheetml/2009/9/main" objectType="CheckBox" fmlaLink="NeoBerLab!$Q$4" lockText="1"/>
</file>

<file path=xl/ctrlProps/ctrlProp1218.xml><?xml version="1.0" encoding="utf-8"?>
<formControlPr xmlns="http://schemas.microsoft.com/office/spreadsheetml/2009/9/main" objectType="CheckBox" fmlaLink="NeoBerLab!Q5" lockText="1"/>
</file>

<file path=xl/ctrlProps/ctrlProp1219.xml><?xml version="1.0" encoding="utf-8"?>
<formControlPr xmlns="http://schemas.microsoft.com/office/spreadsheetml/2009/9/main" objectType="CheckBox" fmlaLink="NeoBerLab!Q7" lockText="1"/>
</file>

<file path=xl/ctrlProps/ctrlProp1220.xml><?xml version="1.0" encoding="utf-8"?>
<formControlPr xmlns="http://schemas.microsoft.com/office/spreadsheetml/2009/9/main" objectType="CheckBox" fmlaLink="NeoBerLab!Q8" lockText="1"/>
</file>

<file path=xl/ctrlProps/ctrlProp1221.xml><?xml version="1.0" encoding="utf-8"?>
<formControlPr xmlns="http://schemas.microsoft.com/office/spreadsheetml/2009/9/main" objectType="CheckBox" fmlaLink="NeoBerLab!Q14" lockText="1"/>
</file>

<file path=xl/ctrlProps/ctrlProp1222.xml><?xml version="1.0" encoding="utf-8"?>
<formControlPr xmlns="http://schemas.microsoft.com/office/spreadsheetml/2009/9/main" objectType="CheckBox" fmlaLink="NeoBerLab!Q13" lockText="1"/>
</file>

<file path=xl/ctrlProps/ctrlProp1223.xml><?xml version="1.0" encoding="utf-8"?>
<formControlPr xmlns="http://schemas.microsoft.com/office/spreadsheetml/2009/9/main" objectType="CheckBox" fmlaLink="NeoBerLab!Q30" lockText="1"/>
</file>

<file path=xl/ctrlProps/ctrlProp1224.xml><?xml version="1.0" encoding="utf-8"?>
<formControlPr xmlns="http://schemas.microsoft.com/office/spreadsheetml/2009/9/main" objectType="CheckBox" fmlaLink="NeoBerLab!Q16" lockText="1"/>
</file>

<file path=xl/ctrlProps/ctrlProp1225.xml><?xml version="1.0" encoding="utf-8"?>
<formControlPr xmlns="http://schemas.microsoft.com/office/spreadsheetml/2009/9/main" objectType="CheckBox" fmlaLink="NeoBerLab!Q19" lockText="1"/>
</file>

<file path=xl/ctrlProps/ctrlProp1226.xml><?xml version="1.0" encoding="utf-8"?>
<formControlPr xmlns="http://schemas.microsoft.com/office/spreadsheetml/2009/9/main" objectType="CheckBox" fmlaLink="NeoBerLab!Q20" lockText="1"/>
</file>

<file path=xl/ctrlProps/ctrlProp1227.xml><?xml version="1.0" encoding="utf-8"?>
<formControlPr xmlns="http://schemas.microsoft.com/office/spreadsheetml/2009/9/main" objectType="CheckBox" fmlaLink="NeoBerLab!Q21" lockText="1"/>
</file>

<file path=xl/ctrlProps/ctrlProp1228.xml><?xml version="1.0" encoding="utf-8"?>
<formControlPr xmlns="http://schemas.microsoft.com/office/spreadsheetml/2009/9/main" objectType="CheckBox" fmlaLink="NeoBerLab!Q12" lockText="1"/>
</file>

<file path=xl/ctrlProps/ctrlProp1229.xml><?xml version="1.0" encoding="utf-8"?>
<formControlPr xmlns="http://schemas.microsoft.com/office/spreadsheetml/2009/9/main" objectType="CheckBox" fmlaLink="NeoBerLab!Q28" lockText="1"/>
</file>

<file path=xl/ctrlProps/ctrlProp1230.xml><?xml version="1.0" encoding="utf-8"?>
<formControlPr xmlns="http://schemas.microsoft.com/office/spreadsheetml/2009/9/main" objectType="CheckBox" fmlaLink="NeoBerLab!Q32" lockText="1"/>
</file>

<file path=xl/ctrlProps/ctrlProp1231.xml><?xml version="1.0" encoding="utf-8"?>
<formControlPr xmlns="http://schemas.microsoft.com/office/spreadsheetml/2009/9/main" objectType="CheckBox" fmlaLink="NeoBerLab!Q6" lockText="1"/>
</file>

<file path=xl/ctrlProps/ctrlProp1232.xml><?xml version="1.0" encoding="utf-8"?>
<formControlPr xmlns="http://schemas.microsoft.com/office/spreadsheetml/2009/9/main" objectType="CheckBox" fmlaLink="NeoBerLab!Q17" lockText="1"/>
</file>

<file path=xl/ctrlProps/ctrlProp1233.xml><?xml version="1.0" encoding="utf-8"?>
<formControlPr xmlns="http://schemas.microsoft.com/office/spreadsheetml/2009/9/main" objectType="CheckBox" fmlaLink="NeoBerLab!Q33" lockText="1"/>
</file>

<file path=xl/ctrlProps/ctrlProp1234.xml><?xml version="1.0" encoding="utf-8"?>
<formControlPr xmlns="http://schemas.microsoft.com/office/spreadsheetml/2009/9/main" objectType="CheckBox" fmlaLink="NeoBerLab!Q34" lockText="1"/>
</file>

<file path=xl/ctrlProps/ctrlProp1235.xml><?xml version="1.0" encoding="utf-8"?>
<formControlPr xmlns="http://schemas.microsoft.com/office/spreadsheetml/2009/9/main" objectType="CheckBox" fmlaLink="NeoBerLab!Q9" lockText="1"/>
</file>

<file path=xl/ctrlProps/ctrlProp1236.xml><?xml version="1.0" encoding="utf-8"?>
<formControlPr xmlns="http://schemas.microsoft.com/office/spreadsheetml/2009/9/main" objectType="CheckBox" fmlaLink="NeoBerLab!Q11" lockText="1"/>
</file>

<file path=xl/ctrlProps/ctrlProp1237.xml><?xml version="1.0" encoding="utf-8"?>
<formControlPr xmlns="http://schemas.microsoft.com/office/spreadsheetml/2009/9/main" objectType="CheckBox" fmlaLink="NeoBerLab!Q15" lockText="1"/>
</file>

<file path=xl/ctrlProps/ctrlProp1238.xml><?xml version="1.0" encoding="utf-8"?>
<formControlPr xmlns="http://schemas.microsoft.com/office/spreadsheetml/2009/9/main" objectType="CheckBox" fmlaLink="NeoBerLab!Q22" lockText="1"/>
</file>

<file path=xl/ctrlProps/ctrlProp1239.xml><?xml version="1.0" encoding="utf-8"?>
<formControlPr xmlns="http://schemas.microsoft.com/office/spreadsheetml/2009/9/main" objectType="CheckBox" fmlaLink="NeoBerLab!Q23" lockText="1"/>
</file>

<file path=xl/ctrlProps/ctrlProp1240.xml><?xml version="1.0" encoding="utf-8"?>
<formControlPr xmlns="http://schemas.microsoft.com/office/spreadsheetml/2009/9/main" objectType="CheckBox" fmlaLink="NeoBerLab!Q24" lockText="1"/>
</file>

<file path=xl/ctrlProps/ctrlProp1241.xml><?xml version="1.0" encoding="utf-8"?>
<formControlPr xmlns="http://schemas.microsoft.com/office/spreadsheetml/2009/9/main" objectType="CheckBox" fmlaLink="NeoBerLab!Q25" lockText="1"/>
</file>

<file path=xl/ctrlProps/ctrlProp1242.xml><?xml version="1.0" encoding="utf-8"?>
<formControlPr xmlns="http://schemas.microsoft.com/office/spreadsheetml/2009/9/main" objectType="CheckBox" fmlaLink="NeoBerLab!Q26" lockText="1"/>
</file>

<file path=xl/ctrlProps/ctrlProp1243.xml><?xml version="1.0" encoding="utf-8"?>
<formControlPr xmlns="http://schemas.microsoft.com/office/spreadsheetml/2009/9/main" objectType="CheckBox" fmlaLink="NeoBerLab!Q29" lockText="1"/>
</file>

<file path=xl/ctrlProps/ctrlProp1244.xml><?xml version="1.0" encoding="utf-8"?>
<formControlPr xmlns="http://schemas.microsoft.com/office/spreadsheetml/2009/9/main" objectType="CheckBox" fmlaLink="NeoBerLab!Q18" lockText="1"/>
</file>

<file path=xl/ctrlProps/ctrlProp1245.xml><?xml version="1.0" encoding="utf-8"?>
<formControlPr xmlns="http://schemas.microsoft.com/office/spreadsheetml/2009/9/main" objectType="CheckBox" fmlaLink="NeoBerLab!Q10" lockText="1"/>
</file>

<file path=xl/ctrlProps/ctrlProp1246.xml><?xml version="1.0" encoding="utf-8"?>
<formControlPr xmlns="http://schemas.microsoft.com/office/spreadsheetml/2009/9/main" objectType="CheckBox" fmlaLink="NeoBerLab!Q31" lockText="1"/>
</file>

<file path=xl/ctrlProps/ctrlProp1247.xml><?xml version="1.0" encoding="utf-8"?>
<formControlPr xmlns="http://schemas.microsoft.com/office/spreadsheetml/2009/9/main" objectType="CheckBox" fmlaLink="NeoBerLab!Q27" lockText="1"/>
</file>

<file path=xl/ctrlProps/ctrlProp1248.xml><?xml version="1.0" encoding="utf-8"?>
<formControlPr xmlns="http://schemas.microsoft.com/office/spreadsheetml/2009/9/main" objectType="CheckBox" fmlaLink="NeoBerLab!$S$4" lockText="1"/>
</file>

<file path=xl/ctrlProps/ctrlProp1249.xml><?xml version="1.0" encoding="utf-8"?>
<formControlPr xmlns="http://schemas.microsoft.com/office/spreadsheetml/2009/9/main" objectType="CheckBox" fmlaLink="NeoBerLab!S5" lockText="1"/>
</file>

<file path=xl/ctrlProps/ctrlProp1250.xml><?xml version="1.0" encoding="utf-8"?>
<formControlPr xmlns="http://schemas.microsoft.com/office/spreadsheetml/2009/9/main" objectType="CheckBox" fmlaLink="NeoBerLab!S7" lockText="1"/>
</file>

<file path=xl/ctrlProps/ctrlProp1251.xml><?xml version="1.0" encoding="utf-8"?>
<formControlPr xmlns="http://schemas.microsoft.com/office/spreadsheetml/2009/9/main" objectType="CheckBox" fmlaLink="NeoBerLab!S8" lockText="1"/>
</file>

<file path=xl/ctrlProps/ctrlProp1252.xml><?xml version="1.0" encoding="utf-8"?>
<formControlPr xmlns="http://schemas.microsoft.com/office/spreadsheetml/2009/9/main" objectType="CheckBox" fmlaLink="NeoBerLab!S14" lockText="1"/>
</file>

<file path=xl/ctrlProps/ctrlProp1253.xml><?xml version="1.0" encoding="utf-8"?>
<formControlPr xmlns="http://schemas.microsoft.com/office/spreadsheetml/2009/9/main" objectType="CheckBox" fmlaLink="NeoBerLab!S13" lockText="1"/>
</file>

<file path=xl/ctrlProps/ctrlProp1254.xml><?xml version="1.0" encoding="utf-8"?>
<formControlPr xmlns="http://schemas.microsoft.com/office/spreadsheetml/2009/9/main" objectType="CheckBox" fmlaLink="NeoBerLab!S30" lockText="1"/>
</file>

<file path=xl/ctrlProps/ctrlProp1255.xml><?xml version="1.0" encoding="utf-8"?>
<formControlPr xmlns="http://schemas.microsoft.com/office/spreadsheetml/2009/9/main" objectType="CheckBox" fmlaLink="NeoBerLab!S16" lockText="1"/>
</file>

<file path=xl/ctrlProps/ctrlProp1256.xml><?xml version="1.0" encoding="utf-8"?>
<formControlPr xmlns="http://schemas.microsoft.com/office/spreadsheetml/2009/9/main" objectType="CheckBox" fmlaLink="NeoBerLab!S19" lockText="1"/>
</file>

<file path=xl/ctrlProps/ctrlProp1257.xml><?xml version="1.0" encoding="utf-8"?>
<formControlPr xmlns="http://schemas.microsoft.com/office/spreadsheetml/2009/9/main" objectType="CheckBox" fmlaLink="NeoBerLab!S20" lockText="1"/>
</file>

<file path=xl/ctrlProps/ctrlProp1258.xml><?xml version="1.0" encoding="utf-8"?>
<formControlPr xmlns="http://schemas.microsoft.com/office/spreadsheetml/2009/9/main" objectType="CheckBox" fmlaLink="NeoBerLab!S21" lockText="1"/>
</file>

<file path=xl/ctrlProps/ctrlProp1259.xml><?xml version="1.0" encoding="utf-8"?>
<formControlPr xmlns="http://schemas.microsoft.com/office/spreadsheetml/2009/9/main" objectType="CheckBox" fmlaLink="NeoBerLab!S12" lockText="1"/>
</file>

<file path=xl/ctrlProps/ctrlProp1260.xml><?xml version="1.0" encoding="utf-8"?>
<formControlPr xmlns="http://schemas.microsoft.com/office/spreadsheetml/2009/9/main" objectType="CheckBox" fmlaLink="NeoBerLab!S28" lockText="1"/>
</file>

<file path=xl/ctrlProps/ctrlProp1261.xml><?xml version="1.0" encoding="utf-8"?>
<formControlPr xmlns="http://schemas.microsoft.com/office/spreadsheetml/2009/9/main" objectType="CheckBox" fmlaLink="NeoBerLab!S32" lockText="1"/>
</file>

<file path=xl/ctrlProps/ctrlProp1262.xml><?xml version="1.0" encoding="utf-8"?>
<formControlPr xmlns="http://schemas.microsoft.com/office/spreadsheetml/2009/9/main" objectType="CheckBox" fmlaLink="NeoBerLab!S6" lockText="1"/>
</file>

<file path=xl/ctrlProps/ctrlProp1263.xml><?xml version="1.0" encoding="utf-8"?>
<formControlPr xmlns="http://schemas.microsoft.com/office/spreadsheetml/2009/9/main" objectType="CheckBox" fmlaLink="NeoBerLab!S17" lockText="1"/>
</file>

<file path=xl/ctrlProps/ctrlProp1264.xml><?xml version="1.0" encoding="utf-8"?>
<formControlPr xmlns="http://schemas.microsoft.com/office/spreadsheetml/2009/9/main" objectType="CheckBox" fmlaLink="NeoBerLab!S33" lockText="1"/>
</file>

<file path=xl/ctrlProps/ctrlProp1265.xml><?xml version="1.0" encoding="utf-8"?>
<formControlPr xmlns="http://schemas.microsoft.com/office/spreadsheetml/2009/9/main" objectType="CheckBox" fmlaLink="NeoBerLab!S34" lockText="1"/>
</file>

<file path=xl/ctrlProps/ctrlProp1266.xml><?xml version="1.0" encoding="utf-8"?>
<formControlPr xmlns="http://schemas.microsoft.com/office/spreadsheetml/2009/9/main" objectType="CheckBox" fmlaLink="NeoBerLab!S9" lockText="1"/>
</file>

<file path=xl/ctrlProps/ctrlProp1267.xml><?xml version="1.0" encoding="utf-8"?>
<formControlPr xmlns="http://schemas.microsoft.com/office/spreadsheetml/2009/9/main" objectType="CheckBox" fmlaLink="NeoBerLab!S11" lockText="1"/>
</file>

<file path=xl/ctrlProps/ctrlProp1268.xml><?xml version="1.0" encoding="utf-8"?>
<formControlPr xmlns="http://schemas.microsoft.com/office/spreadsheetml/2009/9/main" objectType="CheckBox" fmlaLink="NeoBerLab!S15" lockText="1"/>
</file>

<file path=xl/ctrlProps/ctrlProp1269.xml><?xml version="1.0" encoding="utf-8"?>
<formControlPr xmlns="http://schemas.microsoft.com/office/spreadsheetml/2009/9/main" objectType="CheckBox" fmlaLink="NeoBerLab!S22" lockText="1"/>
</file>

<file path=xl/ctrlProps/ctrlProp1270.xml><?xml version="1.0" encoding="utf-8"?>
<formControlPr xmlns="http://schemas.microsoft.com/office/spreadsheetml/2009/9/main" objectType="CheckBox" fmlaLink="NeoBerLab!S23" lockText="1"/>
</file>

<file path=xl/ctrlProps/ctrlProp1271.xml><?xml version="1.0" encoding="utf-8"?>
<formControlPr xmlns="http://schemas.microsoft.com/office/spreadsheetml/2009/9/main" objectType="CheckBox" fmlaLink="NeoBerLab!S24" lockText="1"/>
</file>

<file path=xl/ctrlProps/ctrlProp1272.xml><?xml version="1.0" encoding="utf-8"?>
<formControlPr xmlns="http://schemas.microsoft.com/office/spreadsheetml/2009/9/main" objectType="CheckBox" fmlaLink="NeoBerLab!S25" lockText="1"/>
</file>

<file path=xl/ctrlProps/ctrlProp1273.xml><?xml version="1.0" encoding="utf-8"?>
<formControlPr xmlns="http://schemas.microsoft.com/office/spreadsheetml/2009/9/main" objectType="CheckBox" fmlaLink="NeoBerLab!S26" lockText="1"/>
</file>

<file path=xl/ctrlProps/ctrlProp1274.xml><?xml version="1.0" encoding="utf-8"?>
<formControlPr xmlns="http://schemas.microsoft.com/office/spreadsheetml/2009/9/main" objectType="CheckBox" fmlaLink="NeoBerLab!S29" lockText="1"/>
</file>

<file path=xl/ctrlProps/ctrlProp1275.xml><?xml version="1.0" encoding="utf-8"?>
<formControlPr xmlns="http://schemas.microsoft.com/office/spreadsheetml/2009/9/main" objectType="CheckBox" fmlaLink="NeoBerLab!S18" lockText="1"/>
</file>

<file path=xl/ctrlProps/ctrlProp1276.xml><?xml version="1.0" encoding="utf-8"?>
<formControlPr xmlns="http://schemas.microsoft.com/office/spreadsheetml/2009/9/main" objectType="CheckBox" fmlaLink="NeoBerLab!S10" lockText="1"/>
</file>

<file path=xl/ctrlProps/ctrlProp1277.xml><?xml version="1.0" encoding="utf-8"?>
<formControlPr xmlns="http://schemas.microsoft.com/office/spreadsheetml/2009/9/main" objectType="CheckBox" fmlaLink="NeoBerLab!S31" lockText="1"/>
</file>

<file path=xl/ctrlProps/ctrlProp1278.xml><?xml version="1.0" encoding="utf-8"?>
<formControlPr xmlns="http://schemas.microsoft.com/office/spreadsheetml/2009/9/main" objectType="CheckBox" fmlaLink="NeoBerLab!S27" lockText="1"/>
</file>

<file path=xl/ctrlProps/ctrlProp1279.xml><?xml version="1.0" encoding="utf-8"?>
<formControlPr xmlns="http://schemas.microsoft.com/office/spreadsheetml/2009/9/main" objectType="Spin" dx="15" fmlaLink="PatDetails!$B$7" max="200" min="25" page="10" val="25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10</xdr:row>
          <xdr:rowOff>28575</xdr:rowOff>
        </xdr:from>
        <xdr:to>
          <xdr:col>15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23</xdr:row>
      <xdr:rowOff>9525</xdr:rowOff>
    </xdr:from>
    <xdr:to>
      <xdr:col>8</xdr:col>
      <xdr:colOff>0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636629" y="493579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24</xdr:row>
      <xdr:rowOff>9525</xdr:rowOff>
    </xdr:from>
    <xdr:to>
      <xdr:col>8</xdr:col>
      <xdr:colOff>0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636629" y="518952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25</xdr:row>
      <xdr:rowOff>9525</xdr:rowOff>
    </xdr:from>
    <xdr:to>
      <xdr:col>8</xdr:col>
      <xdr:colOff>0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636629" y="544326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26</xdr:row>
      <xdr:rowOff>9525</xdr:rowOff>
    </xdr:from>
    <xdr:to>
      <xdr:col>8</xdr:col>
      <xdr:colOff>0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636629" y="569699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27</xdr:row>
      <xdr:rowOff>9525</xdr:rowOff>
    </xdr:from>
    <xdr:to>
      <xdr:col>8</xdr:col>
      <xdr:colOff>0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636629" y="595073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19</xdr:col>
      <xdr:colOff>0</xdr:colOff>
      <xdr:row>8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590550</xdr:colOff>
      <xdr:row>8</xdr:row>
      <xdr:rowOff>0</xdr:rowOff>
    </xdr:from>
    <xdr:to>
      <xdr:col>19</xdr:col>
      <xdr:colOff>0</xdr:colOff>
      <xdr:row>8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552450</xdr:colOff>
      <xdr:row>8</xdr:row>
      <xdr:rowOff>0</xdr:rowOff>
    </xdr:from>
    <xdr:to>
      <xdr:col>7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561975</xdr:colOff>
      <xdr:row>8</xdr:row>
      <xdr:rowOff>0</xdr:rowOff>
    </xdr:from>
    <xdr:to>
      <xdr:col>11</xdr:col>
      <xdr:colOff>533400</xdr:colOff>
      <xdr:row>8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22</xdr:row>
      <xdr:rowOff>9525</xdr:rowOff>
    </xdr:from>
    <xdr:to>
      <xdr:col>8</xdr:col>
      <xdr:colOff>0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636629" y="468206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21</xdr:row>
      <xdr:rowOff>9525</xdr:rowOff>
    </xdr:from>
    <xdr:to>
      <xdr:col>8</xdr:col>
      <xdr:colOff>0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636629" y="442832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20</xdr:row>
      <xdr:rowOff>9525</xdr:rowOff>
    </xdr:from>
    <xdr:to>
      <xdr:col>8</xdr:col>
      <xdr:colOff>0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636629" y="417459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9525</xdr:rowOff>
    </xdr:from>
    <xdr:to>
      <xdr:col>8</xdr:col>
      <xdr:colOff>0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636629" y="392085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18</xdr:row>
      <xdr:rowOff>9525</xdr:rowOff>
    </xdr:from>
    <xdr:to>
      <xdr:col>8</xdr:col>
      <xdr:colOff>0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636629" y="366712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17</xdr:row>
      <xdr:rowOff>9525</xdr:rowOff>
    </xdr:from>
    <xdr:to>
      <xdr:col>8</xdr:col>
      <xdr:colOff>0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636629" y="341339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16</xdr:row>
      <xdr:rowOff>9525</xdr:rowOff>
    </xdr:from>
    <xdr:to>
      <xdr:col>8</xdr:col>
      <xdr:colOff>0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636629" y="315965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15</xdr:row>
      <xdr:rowOff>9525</xdr:rowOff>
    </xdr:from>
    <xdr:to>
      <xdr:col>8</xdr:col>
      <xdr:colOff>0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636629" y="290592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14</xdr:row>
      <xdr:rowOff>9525</xdr:rowOff>
    </xdr:from>
    <xdr:to>
      <xdr:col>8</xdr:col>
      <xdr:colOff>0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636629" y="265218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13</xdr:row>
      <xdr:rowOff>9525</xdr:rowOff>
    </xdr:from>
    <xdr:to>
      <xdr:col>8</xdr:col>
      <xdr:colOff>0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636629" y="239845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12</xdr:row>
      <xdr:rowOff>9525</xdr:rowOff>
    </xdr:from>
    <xdr:to>
      <xdr:col>8</xdr:col>
      <xdr:colOff>0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636629" y="214472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11</xdr:row>
      <xdr:rowOff>9525</xdr:rowOff>
    </xdr:from>
    <xdr:to>
      <xdr:col>8</xdr:col>
      <xdr:colOff>0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636629" y="189098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10</xdr:row>
      <xdr:rowOff>9525</xdr:rowOff>
    </xdr:from>
    <xdr:to>
      <xdr:col>8</xdr:col>
      <xdr:colOff>0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636629" y="163725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9</xdr:row>
      <xdr:rowOff>9525</xdr:rowOff>
    </xdr:from>
    <xdr:to>
      <xdr:col>8</xdr:col>
      <xdr:colOff>0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636629" y="138351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8</xdr:row>
      <xdr:rowOff>9525</xdr:rowOff>
    </xdr:from>
    <xdr:to>
      <xdr:col>8</xdr:col>
      <xdr:colOff>0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636629" y="112978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19150</xdr:colOff>
      <xdr:row>1</xdr:row>
      <xdr:rowOff>62234</xdr:rowOff>
    </xdr:from>
    <xdr:to>
      <xdr:col>10</xdr:col>
      <xdr:colOff>523875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952600" y="157484"/>
          <a:ext cx="434330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28</xdr:row>
      <xdr:rowOff>9525</xdr:rowOff>
    </xdr:from>
    <xdr:to>
      <xdr:col>8</xdr:col>
      <xdr:colOff>0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636629" y="620446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29</xdr:row>
      <xdr:rowOff>9525</xdr:rowOff>
    </xdr:from>
    <xdr:to>
      <xdr:col>8</xdr:col>
      <xdr:colOff>0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636629" y="645819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30</xdr:row>
      <xdr:rowOff>9525</xdr:rowOff>
    </xdr:from>
    <xdr:to>
      <xdr:col>8</xdr:col>
      <xdr:colOff>0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636629" y="671193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31</xdr:row>
      <xdr:rowOff>9525</xdr:rowOff>
    </xdr:from>
    <xdr:to>
      <xdr:col>8</xdr:col>
      <xdr:colOff>0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636629" y="696566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32</xdr:row>
      <xdr:rowOff>9525</xdr:rowOff>
    </xdr:from>
    <xdr:to>
      <xdr:col>8</xdr:col>
      <xdr:colOff>0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636629" y="721940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33</xdr:row>
      <xdr:rowOff>9525</xdr:rowOff>
    </xdr:from>
    <xdr:to>
      <xdr:col>8</xdr:col>
      <xdr:colOff>0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636629" y="747313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34</xdr:row>
      <xdr:rowOff>9524</xdr:rowOff>
    </xdr:from>
    <xdr:to>
      <xdr:col>8</xdr:col>
      <xdr:colOff>0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636629" y="772686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35</xdr:row>
      <xdr:rowOff>9524</xdr:rowOff>
    </xdr:from>
    <xdr:to>
      <xdr:col>8</xdr:col>
      <xdr:colOff>0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636629" y="798060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36</xdr:row>
      <xdr:rowOff>9524</xdr:rowOff>
    </xdr:from>
    <xdr:to>
      <xdr:col>8</xdr:col>
      <xdr:colOff>0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636629" y="823433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497892</xdr:colOff>
          <xdr:row>8</xdr:row>
          <xdr:rowOff>3</xdr:rowOff>
        </xdr:from>
        <xdr:to>
          <xdr:col>15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8098842" y="1409703"/>
              <a:ext cx="727022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 bwMode="auto">
              <a:xfrm>
                <a:off x="8272686" y="114898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 bwMode="auto">
              <a:xfrm>
                <a:off x="8272686" y="140172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 bwMode="auto">
              <a:xfrm>
                <a:off x="8272686" y="1907216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 bwMode="auto">
              <a:xfrm>
                <a:off x="8272686" y="215996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 bwMode="auto">
              <a:xfrm>
                <a:off x="8272686" y="241270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 bwMode="auto">
              <a:xfrm>
                <a:off x="8272686" y="266544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 bwMode="auto">
              <a:xfrm>
                <a:off x="8272686" y="291819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 bwMode="auto">
              <a:xfrm>
                <a:off x="8272686" y="3170937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 bwMode="auto">
              <a:xfrm>
                <a:off x="8272686" y="342368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 bwMode="auto">
              <a:xfrm>
                <a:off x="8272686" y="367642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 bwMode="auto">
              <a:xfrm>
                <a:off x="8272686" y="392916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 bwMode="auto">
              <a:xfrm>
                <a:off x="8272686" y="418191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 bwMode="auto">
              <a:xfrm>
                <a:off x="8272686" y="4434657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 bwMode="auto">
              <a:xfrm>
                <a:off x="8272686" y="468740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 bwMode="auto">
              <a:xfrm>
                <a:off x="8272686" y="4940146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 bwMode="auto">
              <a:xfrm>
                <a:off x="8272686" y="5192888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 bwMode="auto">
              <a:xfrm>
                <a:off x="8272686" y="544563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 bwMode="auto">
              <a:xfrm>
                <a:off x="8272686" y="5698377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 bwMode="auto">
              <a:xfrm>
                <a:off x="8272686" y="595112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 bwMode="auto">
              <a:xfrm>
                <a:off x="8272686" y="165447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 bwMode="auto">
              <a:xfrm>
                <a:off x="8272686" y="620386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 bwMode="auto">
              <a:xfrm>
                <a:off x="8272686" y="645660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 bwMode="auto">
              <a:xfrm>
                <a:off x="8272686" y="670935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 bwMode="auto">
              <a:xfrm>
                <a:off x="8272686" y="6962097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 bwMode="auto">
              <a:xfrm>
                <a:off x="8272686" y="721484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 bwMode="auto">
              <a:xfrm>
                <a:off x="8272686" y="746758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 bwMode="auto">
              <a:xfrm>
                <a:off x="8272686" y="772032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 bwMode="auto">
              <a:xfrm>
                <a:off x="8272686" y="797307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 bwMode="auto">
              <a:xfrm>
                <a:off x="8272686" y="8225818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 bwMode="auto">
              <a:xfrm>
                <a:off x="8272686" y="847854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493394</xdr:colOff>
          <xdr:row>8</xdr:row>
          <xdr:rowOff>9575</xdr:rowOff>
        </xdr:from>
        <xdr:to>
          <xdr:col>8</xdr:col>
          <xdr:colOff>630554</xdr:colOff>
          <xdr:row>37</xdr:row>
          <xdr:rowOff>238175</xdr:rowOff>
        </xdr:to>
        <xdr:grpSp>
          <xdr:nvGrpSpPr>
            <xdr:cNvPr id="3" name="Group 2"/>
            <xdr:cNvGrpSpPr/>
          </xdr:nvGrpSpPr>
          <xdr:grpSpPr>
            <a:xfrm>
              <a:off x="4227194" y="1419275"/>
              <a:ext cx="137160" cy="7410450"/>
              <a:chOff x="3844300" y="1134621"/>
              <a:chExt cx="137160" cy="7586883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 bwMode="auto">
              <a:xfrm>
                <a:off x="3844300" y="113462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 bwMode="auto">
              <a:xfrm>
                <a:off x="3844300" y="164209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 bwMode="auto">
              <a:xfrm>
                <a:off x="3844300" y="189582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 bwMode="auto">
              <a:xfrm>
                <a:off x="3844300" y="214955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 bwMode="auto">
              <a:xfrm>
                <a:off x="3844300" y="240329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 bwMode="auto">
              <a:xfrm>
                <a:off x="3844300" y="265702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 bwMode="auto">
              <a:xfrm>
                <a:off x="3844300" y="291076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 bwMode="auto">
              <a:xfrm>
                <a:off x="3844300" y="3164496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 bwMode="auto">
              <a:xfrm>
                <a:off x="3844300" y="341822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 bwMode="auto">
              <a:xfrm>
                <a:off x="3844300" y="367196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 bwMode="auto">
              <a:xfrm>
                <a:off x="3844300" y="392569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 bwMode="auto">
              <a:xfrm>
                <a:off x="3844300" y="417943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 bwMode="auto">
              <a:xfrm>
                <a:off x="3844300" y="4433166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 bwMode="auto">
              <a:xfrm>
                <a:off x="3844300" y="468689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 bwMode="auto">
              <a:xfrm>
                <a:off x="3844300" y="494063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 bwMode="auto">
              <a:xfrm>
                <a:off x="3844300" y="519436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 bwMode="auto">
              <a:xfrm>
                <a:off x="3844300" y="544810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 bwMode="auto">
              <a:xfrm>
                <a:off x="3844300" y="570183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 bwMode="auto">
              <a:xfrm>
                <a:off x="3844300" y="595556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 bwMode="auto">
              <a:xfrm>
                <a:off x="3844300" y="138835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 bwMode="auto">
              <a:xfrm>
                <a:off x="3844300" y="620930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 bwMode="auto">
              <a:xfrm>
                <a:off x="3844300" y="646303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 bwMode="auto">
              <a:xfrm>
                <a:off x="3844300" y="671677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 bwMode="auto">
              <a:xfrm>
                <a:off x="3844300" y="6970504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 bwMode="auto">
              <a:xfrm>
                <a:off x="3844300" y="722423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 bwMode="auto">
              <a:xfrm>
                <a:off x="3844300" y="747797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 bwMode="auto">
              <a:xfrm>
                <a:off x="3844300" y="7731708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 bwMode="auto">
              <a:xfrm>
                <a:off x="3844300" y="7985442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 bwMode="auto">
              <a:xfrm>
                <a:off x="3844300" y="8239176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 bwMode="auto">
              <a:xfrm>
                <a:off x="3844300" y="8492904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9575</xdr:rowOff>
        </xdr:from>
        <xdr:to>
          <xdr:col>10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508635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 bwMode="auto">
              <a:xfrm>
                <a:off x="4753923" y="112983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 bwMode="auto">
              <a:xfrm>
                <a:off x="4753923" y="1383569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 bwMode="auto">
              <a:xfrm>
                <a:off x="4753923" y="1637303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 bwMode="auto">
              <a:xfrm>
                <a:off x="4753923" y="189103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 bwMode="auto">
              <a:xfrm>
                <a:off x="4753923" y="214477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 bwMode="auto">
              <a:xfrm>
                <a:off x="4753923" y="239850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 bwMode="auto">
              <a:xfrm>
                <a:off x="4753923" y="2652239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 bwMode="auto">
              <a:xfrm>
                <a:off x="4753923" y="2905974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 bwMode="auto">
              <a:xfrm>
                <a:off x="4753923" y="315970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 bwMode="auto">
              <a:xfrm>
                <a:off x="4753923" y="341344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 bwMode="auto">
              <a:xfrm>
                <a:off x="4753923" y="366717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 bwMode="auto">
              <a:xfrm>
                <a:off x="4753923" y="3920909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 bwMode="auto">
              <a:xfrm>
                <a:off x="4753923" y="4174643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 bwMode="auto">
              <a:xfrm>
                <a:off x="4753923" y="442837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 bwMode="auto">
              <a:xfrm>
                <a:off x="4753923" y="468211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 bwMode="auto">
              <a:xfrm>
                <a:off x="4753923" y="493584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 bwMode="auto">
              <a:xfrm>
                <a:off x="4753923" y="5189579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 bwMode="auto">
              <a:xfrm>
                <a:off x="4753923" y="5443313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 bwMode="auto">
              <a:xfrm>
                <a:off x="4753923" y="569704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 bwMode="auto">
              <a:xfrm>
                <a:off x="4753923" y="595078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 bwMode="auto">
              <a:xfrm>
                <a:off x="4753923" y="620451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 bwMode="auto">
              <a:xfrm>
                <a:off x="4753923" y="645825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 bwMode="auto">
              <a:xfrm>
                <a:off x="4753923" y="6711983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 bwMode="auto">
              <a:xfrm>
                <a:off x="4753923" y="696571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 bwMode="auto">
              <a:xfrm>
                <a:off x="4753923" y="721945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 bwMode="auto">
              <a:xfrm>
                <a:off x="4753923" y="747318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 bwMode="auto">
              <a:xfrm>
                <a:off x="4753923" y="7726920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 bwMode="auto">
              <a:xfrm>
                <a:off x="4753923" y="7980654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 bwMode="auto">
              <a:xfrm>
                <a:off x="4753923" y="8234388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 bwMode="auto">
              <a:xfrm>
                <a:off x="4753923" y="8488122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325593</xdr:colOff>
          <xdr:row>8</xdr:row>
          <xdr:rowOff>9575</xdr:rowOff>
        </xdr:from>
        <xdr:to>
          <xdr:col>14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79551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 bwMode="auto">
              <a:xfrm>
                <a:off x="8109913" y="115855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 bwMode="auto">
              <a:xfrm>
                <a:off x="8109913" y="141229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 bwMode="auto">
              <a:xfrm>
                <a:off x="8109913" y="166602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 bwMode="auto">
              <a:xfrm>
                <a:off x="8109913" y="191976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 bwMode="auto">
              <a:xfrm>
                <a:off x="8109913" y="217349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 bwMode="auto">
              <a:xfrm>
                <a:off x="8109913" y="242722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 bwMode="auto">
              <a:xfrm>
                <a:off x="8109913" y="268096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 bwMode="auto">
              <a:xfrm>
                <a:off x="8109913" y="293469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 bwMode="auto">
              <a:xfrm>
                <a:off x="8109913" y="318843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 bwMode="auto">
              <a:xfrm>
                <a:off x="8109913" y="344216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 bwMode="auto">
              <a:xfrm>
                <a:off x="8109913" y="369589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 bwMode="auto">
              <a:xfrm>
                <a:off x="8109913" y="394963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 bwMode="auto">
              <a:xfrm>
                <a:off x="8109913" y="420336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 bwMode="auto">
              <a:xfrm>
                <a:off x="8109913" y="445710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 bwMode="auto">
              <a:xfrm>
                <a:off x="8109913" y="471083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 bwMode="auto">
              <a:xfrm>
                <a:off x="8109913" y="496456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 bwMode="auto">
              <a:xfrm>
                <a:off x="8109913" y="521830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 bwMode="auto">
              <a:xfrm>
                <a:off x="8109913" y="547203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 bwMode="auto">
              <a:xfrm>
                <a:off x="8109913" y="572577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 bwMode="auto">
              <a:xfrm>
                <a:off x="8109913" y="5979506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 bwMode="auto">
              <a:xfrm>
                <a:off x="8109913" y="623323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 bwMode="auto">
              <a:xfrm>
                <a:off x="8109913" y="648697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 bwMode="auto">
              <a:xfrm>
                <a:off x="8109913" y="674070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 bwMode="auto">
              <a:xfrm>
                <a:off x="8109913" y="699444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 bwMode="auto">
              <a:xfrm>
                <a:off x="8109913" y="724817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 bwMode="auto">
              <a:xfrm>
                <a:off x="8109913" y="750190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 bwMode="auto">
              <a:xfrm>
                <a:off x="8109913" y="775564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 bwMode="auto">
              <a:xfrm>
                <a:off x="8109913" y="800937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 bwMode="auto">
              <a:xfrm>
                <a:off x="8109913" y="826311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 bwMode="auto">
              <a:xfrm>
                <a:off x="8109913" y="8516846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502698</xdr:colOff>
          <xdr:row>8</xdr:row>
          <xdr:rowOff>9575</xdr:rowOff>
        </xdr:from>
        <xdr:to>
          <xdr:col>18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000864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 bwMode="auto">
              <a:xfrm>
                <a:off x="9833390" y="115855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 bwMode="auto">
              <a:xfrm>
                <a:off x="9833390" y="141229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 bwMode="auto">
              <a:xfrm>
                <a:off x="9833390" y="166602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 bwMode="auto">
              <a:xfrm>
                <a:off x="9833390" y="191976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 bwMode="auto">
              <a:xfrm>
                <a:off x="9833390" y="2173495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 bwMode="auto">
              <a:xfrm>
                <a:off x="9833390" y="242722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 bwMode="auto">
              <a:xfrm>
                <a:off x="9833390" y="268096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 bwMode="auto">
              <a:xfrm>
                <a:off x="9833390" y="293469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 bwMode="auto">
              <a:xfrm>
                <a:off x="9833390" y="318843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 bwMode="auto">
              <a:xfrm>
                <a:off x="9833390" y="3442165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 bwMode="auto">
              <a:xfrm>
                <a:off x="9833390" y="369589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 bwMode="auto">
              <a:xfrm>
                <a:off x="9833390" y="394963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 bwMode="auto">
              <a:xfrm>
                <a:off x="9833390" y="420336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 bwMode="auto">
              <a:xfrm>
                <a:off x="9833390" y="445710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 bwMode="auto">
              <a:xfrm>
                <a:off x="9833390" y="4710835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 bwMode="auto">
              <a:xfrm>
                <a:off x="9833390" y="496456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 bwMode="auto">
              <a:xfrm>
                <a:off x="9833390" y="521830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 bwMode="auto">
              <a:xfrm>
                <a:off x="9833390" y="547203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 bwMode="auto">
              <a:xfrm>
                <a:off x="9833390" y="572577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 bwMode="auto">
              <a:xfrm>
                <a:off x="9833390" y="5979506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 bwMode="auto">
              <a:xfrm>
                <a:off x="9833390" y="623323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 bwMode="auto">
              <a:xfrm>
                <a:off x="9833390" y="648697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 bwMode="auto">
              <a:xfrm>
                <a:off x="9833390" y="674070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 bwMode="auto">
              <a:xfrm>
                <a:off x="9833390" y="699444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 bwMode="auto">
              <a:xfrm>
                <a:off x="9833390" y="7248175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 bwMode="auto">
              <a:xfrm>
                <a:off x="9833390" y="750190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 bwMode="auto">
              <a:xfrm>
                <a:off x="9833390" y="775564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 bwMode="auto">
              <a:xfrm>
                <a:off x="9833390" y="800937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 bwMode="auto">
              <a:xfrm>
                <a:off x="9833390" y="826311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 bwMode="auto">
              <a:xfrm>
                <a:off x="9833390" y="8516846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xdr:twoCellAnchor>
    <xdr:from>
      <xdr:col>4</xdr:col>
      <xdr:colOff>19050</xdr:colOff>
      <xdr:row>37</xdr:row>
      <xdr:rowOff>9525</xdr:rowOff>
    </xdr:from>
    <xdr:to>
      <xdr:col>8</xdr:col>
      <xdr:colOff>0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636629" y="8488072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45</xdr:col>
      <xdr:colOff>358857</xdr:colOff>
      <xdr:row>3</xdr:row>
      <xdr:rowOff>109565</xdr:rowOff>
    </xdr:from>
    <xdr:to>
      <xdr:col>49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27</xdr:row>
      <xdr:rowOff>32474</xdr:rowOff>
    </xdr:from>
    <xdr:to>
      <xdr:col>18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28</xdr:row>
      <xdr:rowOff>33960</xdr:rowOff>
    </xdr:from>
    <xdr:to>
      <xdr:col>18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29</xdr:row>
      <xdr:rowOff>35446</xdr:rowOff>
    </xdr:from>
    <xdr:to>
      <xdr:col>18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30</xdr:row>
      <xdr:rowOff>36932</xdr:rowOff>
    </xdr:from>
    <xdr:to>
      <xdr:col>18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31</xdr:row>
      <xdr:rowOff>38418</xdr:rowOff>
    </xdr:from>
    <xdr:to>
      <xdr:col>18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32</xdr:row>
      <xdr:rowOff>39904</xdr:rowOff>
    </xdr:from>
    <xdr:to>
      <xdr:col>18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33</xdr:row>
      <xdr:rowOff>41390</xdr:rowOff>
    </xdr:from>
    <xdr:to>
      <xdr:col>18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34</xdr:row>
      <xdr:rowOff>42875</xdr:rowOff>
    </xdr:from>
    <xdr:to>
      <xdr:col>18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35</xdr:row>
      <xdr:rowOff>44361</xdr:rowOff>
    </xdr:from>
    <xdr:to>
      <xdr:col>18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36</xdr:row>
      <xdr:rowOff>45847</xdr:rowOff>
    </xdr:from>
    <xdr:to>
      <xdr:col>18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37</xdr:row>
      <xdr:rowOff>47327</xdr:rowOff>
    </xdr:from>
    <xdr:to>
      <xdr:col>18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19</xdr:row>
      <xdr:rowOff>20586</xdr:rowOff>
    </xdr:from>
    <xdr:to>
      <xdr:col>18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20</xdr:row>
      <xdr:rowOff>22072</xdr:rowOff>
    </xdr:from>
    <xdr:to>
      <xdr:col>18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21</xdr:row>
      <xdr:rowOff>23558</xdr:rowOff>
    </xdr:from>
    <xdr:to>
      <xdr:col>18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22</xdr:row>
      <xdr:rowOff>25044</xdr:rowOff>
    </xdr:from>
    <xdr:to>
      <xdr:col>18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23</xdr:row>
      <xdr:rowOff>26530</xdr:rowOff>
    </xdr:from>
    <xdr:to>
      <xdr:col>18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24</xdr:row>
      <xdr:rowOff>28016</xdr:rowOff>
    </xdr:from>
    <xdr:to>
      <xdr:col>18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25</xdr:row>
      <xdr:rowOff>29502</xdr:rowOff>
    </xdr:from>
    <xdr:to>
      <xdr:col>18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26</xdr:row>
      <xdr:rowOff>30988</xdr:rowOff>
    </xdr:from>
    <xdr:to>
      <xdr:col>18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8</xdr:row>
      <xdr:rowOff>28178</xdr:rowOff>
    </xdr:from>
    <xdr:to>
      <xdr:col>18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9</xdr:row>
      <xdr:rowOff>28521</xdr:rowOff>
    </xdr:from>
    <xdr:to>
      <xdr:col>18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10</xdr:row>
      <xdr:rowOff>28865</xdr:rowOff>
    </xdr:from>
    <xdr:to>
      <xdr:col>18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11</xdr:row>
      <xdr:rowOff>29209</xdr:rowOff>
    </xdr:from>
    <xdr:to>
      <xdr:col>18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12</xdr:row>
      <xdr:rowOff>29552</xdr:rowOff>
    </xdr:from>
    <xdr:to>
      <xdr:col>18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13</xdr:row>
      <xdr:rowOff>29896</xdr:rowOff>
    </xdr:from>
    <xdr:to>
      <xdr:col>18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14</xdr:row>
      <xdr:rowOff>30240</xdr:rowOff>
    </xdr:from>
    <xdr:to>
      <xdr:col>18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15</xdr:row>
      <xdr:rowOff>30583</xdr:rowOff>
    </xdr:from>
    <xdr:to>
      <xdr:col>18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16</xdr:row>
      <xdr:rowOff>30927</xdr:rowOff>
    </xdr:from>
    <xdr:to>
      <xdr:col>18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17</xdr:row>
      <xdr:rowOff>31271</xdr:rowOff>
    </xdr:from>
    <xdr:to>
      <xdr:col>18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18</xdr:row>
      <xdr:rowOff>19100</xdr:rowOff>
    </xdr:from>
    <xdr:to>
      <xdr:col>18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8</xdr:row>
      <xdr:rowOff>4240</xdr:rowOff>
    </xdr:from>
    <xdr:to>
      <xdr:col>18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9</xdr:row>
      <xdr:rowOff>5726</xdr:rowOff>
    </xdr:from>
    <xdr:to>
      <xdr:col>18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10</xdr:row>
      <xdr:rowOff>7212</xdr:rowOff>
    </xdr:from>
    <xdr:to>
      <xdr:col>18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11</xdr:row>
      <xdr:rowOff>8698</xdr:rowOff>
    </xdr:from>
    <xdr:to>
      <xdr:col>18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12</xdr:row>
      <xdr:rowOff>10184</xdr:rowOff>
    </xdr:from>
    <xdr:to>
      <xdr:col>18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13</xdr:row>
      <xdr:rowOff>11670</xdr:rowOff>
    </xdr:from>
    <xdr:to>
      <xdr:col>18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14</xdr:row>
      <xdr:rowOff>13156</xdr:rowOff>
    </xdr:from>
    <xdr:to>
      <xdr:col>18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15</xdr:row>
      <xdr:rowOff>14642</xdr:rowOff>
    </xdr:from>
    <xdr:to>
      <xdr:col>18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16</xdr:row>
      <xdr:rowOff>16128</xdr:rowOff>
    </xdr:from>
    <xdr:to>
      <xdr:col>18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17</xdr:row>
      <xdr:rowOff>17614</xdr:rowOff>
    </xdr:from>
    <xdr:to>
      <xdr:col>18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23886</xdr:colOff>
      <xdr:row>1</xdr:row>
      <xdr:rowOff>86166</xdr:rowOff>
    </xdr:from>
    <xdr:to>
      <xdr:col>13</xdr:col>
      <xdr:colOff>353651</xdr:colOff>
      <xdr:row>1</xdr:row>
      <xdr:rowOff>205071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5405511" y="181416"/>
          <a:ext cx="94889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23886</xdr:colOff>
      <xdr:row>2</xdr:row>
      <xdr:rowOff>40175</xdr:rowOff>
    </xdr:from>
    <xdr:to>
      <xdr:col>13</xdr:col>
      <xdr:colOff>353651</xdr:colOff>
      <xdr:row>2</xdr:row>
      <xdr:rowOff>188685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5405511" y="354500"/>
          <a:ext cx="948890" cy="1485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9525</xdr:colOff>
      <xdr:row>2</xdr:row>
      <xdr:rowOff>38149</xdr:rowOff>
    </xdr:from>
    <xdr:to>
      <xdr:col>9</xdr:col>
      <xdr:colOff>1015365</xdr:colOff>
      <xdr:row>3</xdr:row>
      <xdr:rowOff>47674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7172325" y="352474"/>
          <a:ext cx="100584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36</xdr:row>
      <xdr:rowOff>9525</xdr:rowOff>
    </xdr:from>
    <xdr:to>
      <xdr:col>14</xdr:col>
      <xdr:colOff>0</xdr:colOff>
      <xdr:row>39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0"/>
              <a:chExt cx="133350" cy="5181600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 bwMode="auto">
              <a:xfrm>
                <a:off x="7058025" y="574357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 bwMode="auto">
              <a:xfrm>
                <a:off x="7058025" y="599122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 bwMode="auto">
              <a:xfrm>
                <a:off x="7058025" y="623887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 bwMode="auto">
              <a:xfrm>
                <a:off x="7058025" y="524827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 bwMode="auto">
              <a:xfrm>
                <a:off x="7058025" y="549592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 bwMode="auto">
              <a:xfrm>
                <a:off x="7058025" y="12954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 bwMode="auto">
              <a:xfrm>
                <a:off x="7058025" y="15430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 bwMode="auto">
              <a:xfrm>
                <a:off x="7058025" y="17907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 bwMode="auto">
              <a:xfrm>
                <a:off x="7058025" y="20383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 bwMode="auto">
              <a:xfrm>
                <a:off x="7058025" y="22860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 bwMode="auto">
              <a:xfrm>
                <a:off x="7058025" y="25336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 bwMode="auto">
              <a:xfrm>
                <a:off x="7058025" y="27813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 bwMode="auto">
              <a:xfrm>
                <a:off x="7058025" y="30289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 bwMode="auto">
              <a:xfrm>
                <a:off x="7058025" y="32766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 bwMode="auto">
              <a:xfrm>
                <a:off x="7058025" y="35242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 bwMode="auto">
              <a:xfrm>
                <a:off x="7058025" y="37719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 bwMode="auto">
              <a:xfrm>
                <a:off x="7058025" y="40195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 bwMode="auto">
              <a:xfrm>
                <a:off x="7058025" y="42672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 bwMode="auto">
              <a:xfrm>
                <a:off x="7058025" y="45148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 bwMode="auto">
              <a:xfrm>
                <a:off x="7058025" y="47625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0"/>
              <a:chExt cx="142875" cy="3705225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 bwMode="auto">
              <a:xfrm>
                <a:off x="4095750" y="12954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 bwMode="auto">
              <a:xfrm>
                <a:off x="4095750" y="15430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 bwMode="auto">
              <a:xfrm>
                <a:off x="4095750" y="17907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 bwMode="auto">
              <a:xfrm>
                <a:off x="4095750" y="20383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 bwMode="auto">
              <a:xfrm>
                <a:off x="4095750" y="22860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 bwMode="auto">
              <a:xfrm>
                <a:off x="4095750" y="25336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 bwMode="auto">
              <a:xfrm>
                <a:off x="4095750" y="27813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 bwMode="auto">
              <a:xfrm>
                <a:off x="4095750" y="30289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 bwMode="auto">
              <a:xfrm>
                <a:off x="4095750" y="32766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 bwMode="auto">
              <a:xfrm>
                <a:off x="4095750" y="35242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 bwMode="auto">
              <a:xfrm>
                <a:off x="4095750" y="37719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 bwMode="auto">
              <a:xfrm>
                <a:off x="4095750" y="40195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 bwMode="auto">
              <a:xfrm>
                <a:off x="4095750" y="42672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 bwMode="auto">
              <a:xfrm>
                <a:off x="4095750" y="45148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 bwMode="auto">
              <a:xfrm>
                <a:off x="4095750" y="47625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22</xdr:row>
      <xdr:rowOff>223813</xdr:rowOff>
    </xdr:to>
    <xdr:grpSp>
      <xdr:nvGrpSpPr>
        <xdr:cNvPr id="7" name="Group 6"/>
        <xdr:cNvGrpSpPr/>
      </xdr:nvGrpSpPr>
      <xdr:grpSpPr>
        <a:xfrm>
          <a:off x="4281752" y="1462063"/>
          <a:ext cx="548640" cy="3638550"/>
          <a:chOff x="4224602" y="1462063"/>
          <a:chExt cx="548640" cy="3638550"/>
        </a:xfrm>
      </xdr:grpSpPr>
      <xdr:sp macro="[0]!PedContIV_SetSolution_01" textlink="">
        <xdr:nvSpPr>
          <xdr:cNvPr id="106" name="Rectangle 142"/>
          <xdr:cNvSpPr>
            <a:spLocks noChangeArrowheads="1"/>
          </xdr:cNvSpPr>
        </xdr:nvSpPr>
        <xdr:spPr bwMode="auto">
          <a:xfrm>
            <a:off x="4224602" y="1462063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2" textlink="">
        <xdr:nvSpPr>
          <xdr:cNvPr id="109" name="Rectangle 142"/>
          <xdr:cNvSpPr>
            <a:spLocks noChangeArrowheads="1"/>
          </xdr:cNvSpPr>
        </xdr:nvSpPr>
        <xdr:spPr bwMode="auto">
          <a:xfrm>
            <a:off x="4224602" y="1709713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3" textlink="">
        <xdr:nvSpPr>
          <xdr:cNvPr id="110" name="Rectangle 142"/>
          <xdr:cNvSpPr>
            <a:spLocks noChangeArrowheads="1"/>
          </xdr:cNvSpPr>
        </xdr:nvSpPr>
        <xdr:spPr bwMode="auto">
          <a:xfrm>
            <a:off x="4224602" y="19478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4" textlink="">
        <xdr:nvSpPr>
          <xdr:cNvPr id="111" name="Rectangle 142"/>
          <xdr:cNvSpPr>
            <a:spLocks noChangeArrowheads="1"/>
          </xdr:cNvSpPr>
        </xdr:nvSpPr>
        <xdr:spPr bwMode="auto">
          <a:xfrm>
            <a:off x="4224602" y="21954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5" textlink="">
        <xdr:nvSpPr>
          <xdr:cNvPr id="112" name="Rectangle 142"/>
          <xdr:cNvSpPr>
            <a:spLocks noChangeArrowheads="1"/>
          </xdr:cNvSpPr>
        </xdr:nvSpPr>
        <xdr:spPr bwMode="auto">
          <a:xfrm>
            <a:off x="4224602" y="2452663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6" textlink="">
        <xdr:nvSpPr>
          <xdr:cNvPr id="113" name="Rectangle 142"/>
          <xdr:cNvSpPr>
            <a:spLocks noChangeArrowheads="1"/>
          </xdr:cNvSpPr>
        </xdr:nvSpPr>
        <xdr:spPr bwMode="auto">
          <a:xfrm>
            <a:off x="4224602" y="26907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7" textlink="">
        <xdr:nvSpPr>
          <xdr:cNvPr id="114" name="Rectangle 142"/>
          <xdr:cNvSpPr>
            <a:spLocks noChangeArrowheads="1"/>
          </xdr:cNvSpPr>
        </xdr:nvSpPr>
        <xdr:spPr bwMode="auto">
          <a:xfrm>
            <a:off x="4224602" y="29193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8" textlink="">
        <xdr:nvSpPr>
          <xdr:cNvPr id="115" name="Rectangle 142"/>
          <xdr:cNvSpPr>
            <a:spLocks noChangeArrowheads="1"/>
          </xdr:cNvSpPr>
        </xdr:nvSpPr>
        <xdr:spPr bwMode="auto">
          <a:xfrm>
            <a:off x="4224602" y="31670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9" textlink="">
        <xdr:nvSpPr>
          <xdr:cNvPr id="116" name="Rectangle 142"/>
          <xdr:cNvSpPr>
            <a:spLocks noChangeArrowheads="1"/>
          </xdr:cNvSpPr>
        </xdr:nvSpPr>
        <xdr:spPr bwMode="auto">
          <a:xfrm>
            <a:off x="4224602" y="34337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0" textlink="">
        <xdr:nvSpPr>
          <xdr:cNvPr id="117" name="Rectangle 142"/>
          <xdr:cNvSpPr>
            <a:spLocks noChangeArrowheads="1"/>
          </xdr:cNvSpPr>
        </xdr:nvSpPr>
        <xdr:spPr bwMode="auto">
          <a:xfrm>
            <a:off x="4224602" y="36813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1" textlink="">
        <xdr:nvSpPr>
          <xdr:cNvPr id="143" name="Rectangle 142"/>
          <xdr:cNvSpPr>
            <a:spLocks noChangeArrowheads="1"/>
          </xdr:cNvSpPr>
        </xdr:nvSpPr>
        <xdr:spPr bwMode="auto">
          <a:xfrm>
            <a:off x="4224602" y="39290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2" textlink="">
        <xdr:nvSpPr>
          <xdr:cNvPr id="144" name="Rectangle 142"/>
          <xdr:cNvSpPr>
            <a:spLocks noChangeArrowheads="1"/>
          </xdr:cNvSpPr>
        </xdr:nvSpPr>
        <xdr:spPr bwMode="auto">
          <a:xfrm>
            <a:off x="4224602" y="41766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3" textlink="">
        <xdr:nvSpPr>
          <xdr:cNvPr id="152" name="Rectangle 142"/>
          <xdr:cNvSpPr>
            <a:spLocks noChangeArrowheads="1"/>
          </xdr:cNvSpPr>
        </xdr:nvSpPr>
        <xdr:spPr bwMode="auto">
          <a:xfrm>
            <a:off x="4224602" y="44243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4" textlink="">
        <xdr:nvSpPr>
          <xdr:cNvPr id="153" name="Rectangle 142"/>
          <xdr:cNvSpPr>
            <a:spLocks noChangeArrowheads="1"/>
          </xdr:cNvSpPr>
        </xdr:nvSpPr>
        <xdr:spPr bwMode="auto">
          <a:xfrm>
            <a:off x="4224602" y="46719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5" textlink="">
        <xdr:nvSpPr>
          <xdr:cNvPr id="164" name="Rectangle 142"/>
          <xdr:cNvSpPr>
            <a:spLocks noChangeArrowheads="1"/>
          </xdr:cNvSpPr>
        </xdr:nvSpPr>
        <xdr:spPr bwMode="auto">
          <a:xfrm>
            <a:off x="4224602" y="49196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9525</xdr:colOff>
      <xdr:row>1</xdr:row>
      <xdr:rowOff>0</xdr:rowOff>
    </xdr:from>
    <xdr:to>
      <xdr:col>9</xdr:col>
      <xdr:colOff>1015365</xdr:colOff>
      <xdr:row>2</xdr:row>
      <xdr:rowOff>9525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7172325" y="95250"/>
          <a:ext cx="100584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9525</xdr:colOff>
      <xdr:row>1</xdr:row>
      <xdr:rowOff>47625</xdr:rowOff>
    </xdr:from>
    <xdr:to>
      <xdr:col>7</xdr:col>
      <xdr:colOff>971550</xdr:colOff>
      <xdr:row>2</xdr:row>
      <xdr:rowOff>9525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5276850" y="142875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6505575" y="352425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0</xdr:rowOff>
        </xdr:from>
        <xdr:to>
          <xdr:col>3</xdr:col>
          <xdr:colOff>942975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11</xdr:row>
          <xdr:rowOff>0</xdr:rowOff>
        </xdr:from>
        <xdr:to>
          <xdr:col>5</xdr:col>
          <xdr:colOff>9525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7</xdr:col>
          <xdr:colOff>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21</xdr:row>
          <xdr:rowOff>0</xdr:rowOff>
        </xdr:from>
        <xdr:to>
          <xdr:col>5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24</xdr:row>
          <xdr:rowOff>238125</xdr:rowOff>
        </xdr:from>
        <xdr:to>
          <xdr:col>5</xdr:col>
          <xdr:colOff>781050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25</xdr:row>
          <xdr:rowOff>238125</xdr:rowOff>
        </xdr:from>
        <xdr:to>
          <xdr:col>5</xdr:col>
          <xdr:colOff>781050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28</xdr:row>
          <xdr:rowOff>0</xdr:rowOff>
        </xdr:from>
        <xdr:to>
          <xdr:col>5</xdr:col>
          <xdr:colOff>781050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33</xdr:row>
          <xdr:rowOff>0</xdr:rowOff>
        </xdr:from>
        <xdr:to>
          <xdr:col>5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35</xdr:row>
          <xdr:rowOff>0</xdr:rowOff>
        </xdr:from>
        <xdr:to>
          <xdr:col>5</xdr:col>
          <xdr:colOff>781050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36</xdr:row>
          <xdr:rowOff>0</xdr:rowOff>
        </xdr:from>
        <xdr:to>
          <xdr:col>5</xdr:col>
          <xdr:colOff>781050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9525</xdr:rowOff>
        </xdr:from>
        <xdr:to>
          <xdr:col>6</xdr:col>
          <xdr:colOff>19050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25</xdr:row>
          <xdr:rowOff>19050</xdr:rowOff>
        </xdr:from>
        <xdr:to>
          <xdr:col>3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26</xdr:row>
          <xdr:rowOff>19050</xdr:rowOff>
        </xdr:from>
        <xdr:to>
          <xdr:col>3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28</xdr:row>
          <xdr:rowOff>19050</xdr:rowOff>
        </xdr:from>
        <xdr:to>
          <xdr:col>3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35</xdr:row>
          <xdr:rowOff>19050</xdr:rowOff>
        </xdr:from>
        <xdr:to>
          <xdr:col>3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36</xdr:row>
          <xdr:rowOff>57150</xdr:rowOff>
        </xdr:from>
        <xdr:to>
          <xdr:col>3</xdr:col>
          <xdr:colOff>114300</xdr:colOff>
          <xdr:row>37</xdr:row>
          <xdr:rowOff>28575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29</xdr:row>
          <xdr:rowOff>19050</xdr:rowOff>
        </xdr:from>
        <xdr:to>
          <xdr:col>3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31</xdr:row>
          <xdr:rowOff>19050</xdr:rowOff>
        </xdr:from>
        <xdr:to>
          <xdr:col>3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29</xdr:row>
          <xdr:rowOff>0</xdr:rowOff>
        </xdr:from>
        <xdr:to>
          <xdr:col>5</xdr:col>
          <xdr:colOff>781050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31</xdr:row>
          <xdr:rowOff>9525</xdr:rowOff>
        </xdr:from>
        <xdr:to>
          <xdr:col>5</xdr:col>
          <xdr:colOff>781050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238125</xdr:rowOff>
        </xdr:from>
        <xdr:to>
          <xdr:col>4</xdr:col>
          <xdr:colOff>838200</xdr:colOff>
          <xdr:row>22</xdr:row>
          <xdr:rowOff>228600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24</xdr:row>
          <xdr:rowOff>0</xdr:rowOff>
        </xdr:from>
        <xdr:to>
          <xdr:col>4</xdr:col>
          <xdr:colOff>838200</xdr:colOff>
          <xdr:row>24</xdr:row>
          <xdr:rowOff>238125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21</xdr:row>
          <xdr:rowOff>238125</xdr:rowOff>
        </xdr:from>
        <xdr:to>
          <xdr:col>5</xdr:col>
          <xdr:colOff>781050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13</xdr:row>
          <xdr:rowOff>0</xdr:rowOff>
        </xdr:from>
        <xdr:to>
          <xdr:col>4</xdr:col>
          <xdr:colOff>0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13</xdr:row>
          <xdr:rowOff>0</xdr:rowOff>
        </xdr:from>
        <xdr:to>
          <xdr:col>5</xdr:col>
          <xdr:colOff>9525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7</xdr:col>
          <xdr:colOff>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23</xdr:row>
          <xdr:rowOff>9525</xdr:rowOff>
        </xdr:from>
        <xdr:to>
          <xdr:col>5</xdr:col>
          <xdr:colOff>781050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5</xdr:col>
      <xdr:colOff>9575</xdr:colOff>
      <xdr:row>22</xdr:row>
      <xdr:rowOff>19151</xdr:rowOff>
    </xdr:from>
    <xdr:to>
      <xdr:col>5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14</xdr:row>
          <xdr:rowOff>0</xdr:rowOff>
        </xdr:from>
        <xdr:to>
          <xdr:col>4</xdr:col>
          <xdr:colOff>0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14</xdr:row>
          <xdr:rowOff>0</xdr:rowOff>
        </xdr:from>
        <xdr:to>
          <xdr:col>5</xdr:col>
          <xdr:colOff>9525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7</xdr:col>
          <xdr:colOff>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15</xdr:row>
          <xdr:rowOff>0</xdr:rowOff>
        </xdr:from>
        <xdr:to>
          <xdr:col>4</xdr:col>
          <xdr:colOff>0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15</xdr:row>
          <xdr:rowOff>0</xdr:rowOff>
        </xdr:from>
        <xdr:to>
          <xdr:col>5</xdr:col>
          <xdr:colOff>9525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7</xdr:col>
          <xdr:colOff>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828675</xdr:colOff>
          <xdr:row>21</xdr:row>
          <xdr:rowOff>0</xdr:rowOff>
        </xdr:from>
        <xdr:to>
          <xdr:col>9</xdr:col>
          <xdr:colOff>981075</xdr:colOff>
          <xdr:row>21</xdr:row>
          <xdr:rowOff>238125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828675</xdr:colOff>
          <xdr:row>25</xdr:row>
          <xdr:rowOff>0</xdr:rowOff>
        </xdr:from>
        <xdr:to>
          <xdr:col>9</xdr:col>
          <xdr:colOff>981075</xdr:colOff>
          <xdr:row>25</xdr:row>
          <xdr:rowOff>238125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828675</xdr:colOff>
          <xdr:row>26</xdr:row>
          <xdr:rowOff>0</xdr:rowOff>
        </xdr:from>
        <xdr:to>
          <xdr:col>9</xdr:col>
          <xdr:colOff>981075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25</xdr:row>
          <xdr:rowOff>19050</xdr:rowOff>
        </xdr:from>
        <xdr:to>
          <xdr:col>8</xdr:col>
          <xdr:colOff>314325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26</xdr:row>
          <xdr:rowOff>19050</xdr:rowOff>
        </xdr:from>
        <xdr:to>
          <xdr:col>8</xdr:col>
          <xdr:colOff>314325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24</xdr:row>
          <xdr:rowOff>0</xdr:rowOff>
        </xdr:from>
        <xdr:to>
          <xdr:col>9</xdr:col>
          <xdr:colOff>981075</xdr:colOff>
          <xdr:row>24</xdr:row>
          <xdr:rowOff>238125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9</xdr:col>
      <xdr:colOff>9574</xdr:colOff>
      <xdr:row>8</xdr:row>
      <xdr:rowOff>8479</xdr:rowOff>
    </xdr:from>
    <xdr:to>
      <xdr:col>11</xdr:col>
      <xdr:colOff>646303</xdr:colOff>
      <xdr:row>18</xdr:row>
      <xdr:rowOff>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578508" y="1262787"/>
          <a:ext cx="2379355" cy="23756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25</xdr:row>
      <xdr:rowOff>23543</xdr:rowOff>
    </xdr:from>
    <xdr:to>
      <xdr:col>5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26</xdr:row>
      <xdr:rowOff>58684</xdr:rowOff>
    </xdr:from>
    <xdr:to>
      <xdr:col>5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19044</xdr:colOff>
      <xdr:row>1</xdr:row>
      <xdr:rowOff>27633</xdr:rowOff>
    </xdr:from>
    <xdr:to>
      <xdr:col>9</xdr:col>
      <xdr:colOff>5709</xdr:colOff>
      <xdr:row>1</xdr:row>
      <xdr:rowOff>146538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6038844" y="122883"/>
          <a:ext cx="100584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29517</xdr:rowOff>
    </xdr:from>
    <xdr:to>
      <xdr:col>9</xdr:col>
      <xdr:colOff>15240</xdr:colOff>
      <xdr:row>3</xdr:row>
      <xdr:rowOff>10466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6048375" y="286692"/>
          <a:ext cx="1005840" cy="1428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9575</xdr:colOff>
      <xdr:row>0</xdr:row>
      <xdr:rowOff>153197</xdr:rowOff>
    </xdr:from>
    <xdr:to>
      <xdr:col>8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28575</xdr:rowOff>
    </xdr:from>
    <xdr:to>
      <xdr:col>7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390525</xdr:colOff>
      <xdr:row>38</xdr:row>
      <xdr:rowOff>9525</xdr:rowOff>
    </xdr:from>
    <xdr:to>
      <xdr:col>8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28</xdr:row>
      <xdr:rowOff>22008</xdr:rowOff>
    </xdr:from>
    <xdr:to>
      <xdr:col>5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29</xdr:row>
      <xdr:rowOff>57150</xdr:rowOff>
    </xdr:from>
    <xdr:to>
      <xdr:col>5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19049</xdr:colOff>
      <xdr:row>10</xdr:row>
      <xdr:rowOff>14362</xdr:rowOff>
    </xdr:from>
    <xdr:to>
      <xdr:col>3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123825</xdr:rowOff>
    </xdr:from>
    <xdr:to>
      <xdr:col>3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803442</xdr:colOff>
      <xdr:row>25</xdr:row>
      <xdr:rowOff>51470</xdr:rowOff>
    </xdr:from>
    <xdr:to>
      <xdr:col>9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803442</xdr:colOff>
      <xdr:row>26</xdr:row>
      <xdr:rowOff>86611</xdr:rowOff>
    </xdr:from>
    <xdr:to>
      <xdr:col>9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57" name="Rectangle 53"/>
        <xdr:cNvSpPr>
          <a:spLocks noChangeArrowheads="1"/>
        </xdr:cNvSpPr>
      </xdr:nvSpPr>
      <xdr:spPr bwMode="auto">
        <a:xfrm>
          <a:off x="0" y="1254308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28724</xdr:rowOff>
    </xdr:from>
    <xdr:to>
      <xdr:col>2</xdr:col>
      <xdr:colOff>4788</xdr:colOff>
      <xdr:row>11</xdr:row>
      <xdr:rowOff>225109</xdr:rowOff>
    </xdr:to>
    <xdr:sp macro="[0]!PedEntTPN_ClearVoeding_1" textlink="">
      <xdr:nvSpPr>
        <xdr:cNvPr id="60" name="Rectangle 53"/>
        <xdr:cNvSpPr>
          <a:spLocks noChangeArrowheads="1"/>
        </xdr:cNvSpPr>
      </xdr:nvSpPr>
      <xdr:spPr bwMode="auto">
        <a:xfrm>
          <a:off x="0" y="1958060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2</xdr:col>
      <xdr:colOff>4788</xdr:colOff>
      <xdr:row>13</xdr:row>
      <xdr:rowOff>229894</xdr:rowOff>
    </xdr:to>
    <xdr:sp macro="[0]!PedEntTPN_ClearVoeding_2" textlink="">
      <xdr:nvSpPr>
        <xdr:cNvPr id="61" name="Rectangle 53"/>
        <xdr:cNvSpPr>
          <a:spLocks noChangeArrowheads="1"/>
        </xdr:cNvSpPr>
      </xdr:nvSpPr>
      <xdr:spPr bwMode="auto">
        <a:xfrm>
          <a:off x="0" y="2451163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28722</xdr:rowOff>
    </xdr:from>
    <xdr:to>
      <xdr:col>2</xdr:col>
      <xdr:colOff>4788</xdr:colOff>
      <xdr:row>14</xdr:row>
      <xdr:rowOff>225107</xdr:rowOff>
    </xdr:to>
    <xdr:sp macro="[0]!PedEntTPN_ClearVoeding_3" textlink="">
      <xdr:nvSpPr>
        <xdr:cNvPr id="62" name="Rectangle 53"/>
        <xdr:cNvSpPr>
          <a:spLocks noChangeArrowheads="1"/>
        </xdr:cNvSpPr>
      </xdr:nvSpPr>
      <xdr:spPr bwMode="auto">
        <a:xfrm>
          <a:off x="0" y="2690536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2</xdr:col>
      <xdr:colOff>4788</xdr:colOff>
      <xdr:row>15</xdr:row>
      <xdr:rowOff>229894</xdr:rowOff>
    </xdr:to>
    <xdr:sp macro="[0]!PedEntTPN_ClearVoeding_4" textlink="">
      <xdr:nvSpPr>
        <xdr:cNvPr id="63" name="Rectangle 53"/>
        <xdr:cNvSpPr>
          <a:spLocks noChangeArrowheads="1"/>
        </xdr:cNvSpPr>
      </xdr:nvSpPr>
      <xdr:spPr bwMode="auto">
        <a:xfrm>
          <a:off x="0" y="2939482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38299</xdr:rowOff>
    </xdr:from>
    <xdr:to>
      <xdr:col>2</xdr:col>
      <xdr:colOff>4788</xdr:colOff>
      <xdr:row>17</xdr:row>
      <xdr:rowOff>234684</xdr:rowOff>
    </xdr:to>
    <xdr:sp macro="[0]!PedEntTPN_ClearOpm" textlink="">
      <xdr:nvSpPr>
        <xdr:cNvPr id="64" name="Rectangle 53"/>
        <xdr:cNvSpPr>
          <a:spLocks noChangeArrowheads="1"/>
        </xdr:cNvSpPr>
      </xdr:nvSpPr>
      <xdr:spPr bwMode="auto">
        <a:xfrm>
          <a:off x="0" y="3381574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47625</xdr:rowOff>
    </xdr:from>
    <xdr:to>
      <xdr:col>2</xdr:col>
      <xdr:colOff>4788</xdr:colOff>
      <xdr:row>21</xdr:row>
      <xdr:rowOff>244010</xdr:rowOff>
    </xdr:to>
    <xdr:sp macro="[0]!PedEntTPN_ClearSSt" textlink="">
      <xdr:nvSpPr>
        <xdr:cNvPr id="65" name="Rectangle 53"/>
        <xdr:cNvSpPr>
          <a:spLocks noChangeArrowheads="1"/>
        </xdr:cNvSpPr>
      </xdr:nvSpPr>
      <xdr:spPr bwMode="auto">
        <a:xfrm>
          <a:off x="0" y="4076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47625</xdr:rowOff>
    </xdr:from>
    <xdr:to>
      <xdr:col>2</xdr:col>
      <xdr:colOff>4788</xdr:colOff>
      <xdr:row>28</xdr:row>
      <xdr:rowOff>244010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0" y="56864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47625</xdr:rowOff>
    </xdr:from>
    <xdr:to>
      <xdr:col>2</xdr:col>
      <xdr:colOff>4788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0" y="6305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47625</xdr:rowOff>
    </xdr:from>
    <xdr:to>
      <xdr:col>2</xdr:col>
      <xdr:colOff>4788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0" y="66484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0</xdr:rowOff>
    </xdr:from>
    <xdr:to>
      <xdr:col>2</xdr:col>
      <xdr:colOff>4788</xdr:colOff>
      <xdr:row>23</xdr:row>
      <xdr:rowOff>196385</xdr:rowOff>
    </xdr:to>
    <xdr:sp macro="[0]!PedEntTPN_clearPeditrace" textlink="">
      <xdr:nvSpPr>
        <xdr:cNvPr id="69" name="Rectangle 53"/>
        <xdr:cNvSpPr>
          <a:spLocks noChangeArrowheads="1"/>
        </xdr:cNvSpPr>
      </xdr:nvSpPr>
      <xdr:spPr bwMode="auto">
        <a:xfrm>
          <a:off x="0" y="452437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38</xdr:row>
      <xdr:rowOff>47625</xdr:rowOff>
    </xdr:from>
    <xdr:to>
      <xdr:col>2</xdr:col>
      <xdr:colOff>4788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0" y="66484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descr="Fosfaat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descr="Fosfaat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descr="Fosfaat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descr="Fosfaat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descr="Fosfaat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descr="d-dimeren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descr="d-dimeren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descr="d-dimeren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descr="d-dimeren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descr="d-dimeren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descr="ACT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163" name="Rectangle 115"/>
        <xdr:cNvSpPr>
          <a:spLocks noChangeArrowheads="1"/>
        </xdr:cNvSpPr>
      </xdr:nvSpPr>
      <xdr:spPr bwMode="auto">
        <a:xfrm flipV="1">
          <a:off x="268605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133350</xdr:colOff>
      <xdr:row>10</xdr:row>
      <xdr:rowOff>161925</xdr:rowOff>
    </xdr:from>
    <xdr:to>
      <xdr:col>29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28575</xdr:colOff>
      <xdr:row>2</xdr:row>
      <xdr:rowOff>19050</xdr:rowOff>
    </xdr:from>
    <xdr:to>
      <xdr:col>6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11420</xdr:colOff>
      <xdr:row>7</xdr:row>
      <xdr:rowOff>10223</xdr:rowOff>
    </xdr:from>
    <xdr:to>
      <xdr:col>17</xdr:col>
      <xdr:colOff>89565</xdr:colOff>
      <xdr:row>10</xdr:row>
      <xdr:rowOff>23887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11746220" y="1381823"/>
          <a:ext cx="4602520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</xdr:row>
          <xdr:rowOff>19050</xdr:rowOff>
        </xdr:from>
        <xdr:to>
          <xdr:col>5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19050</xdr:rowOff>
        </xdr:from>
        <xdr:to>
          <xdr:col>5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10</xdr:row>
          <xdr:rowOff>28575</xdr:rowOff>
        </xdr:from>
        <xdr:to>
          <xdr:col>2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24</xdr:row>
          <xdr:rowOff>19050</xdr:rowOff>
        </xdr:from>
        <xdr:to>
          <xdr:col>1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25</xdr:row>
          <xdr:rowOff>28575</xdr:rowOff>
        </xdr:from>
        <xdr:to>
          <xdr:col>1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9525</xdr:rowOff>
        </xdr:from>
        <xdr:to>
          <xdr:col>2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29</xdr:row>
          <xdr:rowOff>19050</xdr:rowOff>
        </xdr:from>
        <xdr:to>
          <xdr:col>1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9525</xdr:rowOff>
        </xdr:from>
        <xdr:to>
          <xdr:col>2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19050</xdr:rowOff>
        </xdr:from>
        <xdr:to>
          <xdr:col>1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19050</xdr:rowOff>
        </xdr:from>
        <xdr:to>
          <xdr:col>1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23</xdr:row>
          <xdr:rowOff>19050</xdr:rowOff>
        </xdr:from>
        <xdr:to>
          <xdr:col>1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19050</xdr:rowOff>
        </xdr:from>
        <xdr:to>
          <xdr:col>1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14</xdr:row>
          <xdr:rowOff>19050</xdr:rowOff>
        </xdr:from>
        <xdr:to>
          <xdr:col>1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15</xdr:row>
          <xdr:rowOff>19050</xdr:rowOff>
        </xdr:from>
        <xdr:to>
          <xdr:col>1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16</xdr:row>
          <xdr:rowOff>19050</xdr:rowOff>
        </xdr:from>
        <xdr:to>
          <xdr:col>1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3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3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3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3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209550</xdr:rowOff>
    </xdr:to>
    <xdr:sp macro="[0]!MedTekstVerliezenCompenserenPed" textlink="">
      <xdr:nvSpPr>
        <xdr:cNvPr id="102" name="Rectangle 165"/>
        <xdr:cNvSpPr>
          <a:spLocks noChangeArrowheads="1"/>
        </xdr:cNvSpPr>
      </xdr:nvSpPr>
      <xdr:spPr bwMode="auto">
        <a:xfrm>
          <a:off x="10563225" y="45720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19049</xdr:colOff>
      <xdr:row>17</xdr:row>
      <xdr:rowOff>9524</xdr:rowOff>
    </xdr:from>
    <xdr:to>
      <xdr:col>8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1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7</xdr:row>
          <xdr:rowOff>28575</xdr:rowOff>
        </xdr:from>
        <xdr:to>
          <xdr:col>2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</xdr:rowOff>
        </xdr:from>
        <xdr:to>
          <xdr:col>3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</xdr:rowOff>
        </xdr:from>
        <xdr:to>
          <xdr:col>3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30</xdr:row>
          <xdr:rowOff>19050</xdr:rowOff>
        </xdr:from>
        <xdr:to>
          <xdr:col>1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9525</xdr:rowOff>
        </xdr:from>
        <xdr:to>
          <xdr:col>2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31</xdr:row>
          <xdr:rowOff>19050</xdr:rowOff>
        </xdr:from>
        <xdr:to>
          <xdr:col>1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9525</xdr:rowOff>
        </xdr:from>
        <xdr:to>
          <xdr:col>2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34</xdr:row>
          <xdr:rowOff>28575</xdr:rowOff>
        </xdr:from>
        <xdr:to>
          <xdr:col>3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34</xdr:row>
          <xdr:rowOff>19050</xdr:rowOff>
        </xdr:from>
        <xdr:to>
          <xdr:col>1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19050</xdr:rowOff>
        </xdr:from>
        <xdr:to>
          <xdr:col>5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19050</xdr:rowOff>
        </xdr:from>
        <xdr:to>
          <xdr:col>5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5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13</xdr:row>
          <xdr:rowOff>19050</xdr:rowOff>
        </xdr:from>
        <xdr:to>
          <xdr:col>5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14</xdr:row>
          <xdr:rowOff>19050</xdr:rowOff>
        </xdr:from>
        <xdr:to>
          <xdr:col>5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15</xdr:row>
          <xdr:rowOff>19050</xdr:rowOff>
        </xdr:from>
        <xdr:to>
          <xdr:col>5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3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3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19050</xdr:rowOff>
        </xdr:from>
        <xdr:to>
          <xdr:col>5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8</xdr:row>
          <xdr:rowOff>28575</xdr:rowOff>
        </xdr:from>
        <xdr:to>
          <xdr:col>6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9</xdr:row>
          <xdr:rowOff>28575</xdr:rowOff>
        </xdr:from>
        <xdr:to>
          <xdr:col>6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9</xdr:row>
          <xdr:rowOff>19050</xdr:rowOff>
        </xdr:from>
        <xdr:to>
          <xdr:col>5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19051</xdr:colOff>
      <xdr:row>9</xdr:row>
      <xdr:rowOff>9524</xdr:rowOff>
    </xdr:from>
    <xdr:to>
      <xdr:col>9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17</xdr:row>
          <xdr:rowOff>19050</xdr:rowOff>
        </xdr:from>
        <xdr:to>
          <xdr:col>1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19</xdr:row>
          <xdr:rowOff>19050</xdr:rowOff>
        </xdr:from>
        <xdr:to>
          <xdr:col>1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17</xdr:row>
          <xdr:rowOff>28575</xdr:rowOff>
        </xdr:from>
        <xdr:to>
          <xdr:col>2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18</xdr:row>
          <xdr:rowOff>28575</xdr:rowOff>
        </xdr:from>
        <xdr:to>
          <xdr:col>2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91</xdr:row>
      <xdr:rowOff>9525</xdr:rowOff>
    </xdr:from>
    <xdr:to>
      <xdr:col>2</xdr:col>
      <xdr:colOff>666750</xdr:colOff>
      <xdr:row>92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90</xdr:row>
      <xdr:rowOff>104775</xdr:rowOff>
    </xdr:from>
    <xdr:to>
      <xdr:col>10</xdr:col>
      <xdr:colOff>0</xdr:colOff>
      <xdr:row>91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68</xdr:row>
      <xdr:rowOff>0</xdr:rowOff>
    </xdr:from>
    <xdr:to>
      <xdr:col>2</xdr:col>
      <xdr:colOff>485775</xdr:colOff>
      <xdr:row>68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123825</xdr:rowOff>
    </xdr:from>
    <xdr:to>
      <xdr:col>9</xdr:col>
      <xdr:colOff>742950</xdr:colOff>
      <xdr:row>67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190500</xdr:colOff>
          <xdr:row>32</xdr:row>
          <xdr:rowOff>0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190500</xdr:colOff>
          <xdr:row>33</xdr:row>
          <xdr:rowOff>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190500</xdr:colOff>
          <xdr:row>34</xdr:row>
          <xdr:rowOff>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190500</xdr:colOff>
          <xdr:row>35</xdr:row>
          <xdr:rowOff>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190500</xdr:colOff>
          <xdr:row>36</xdr:row>
          <xdr:rowOff>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190500</xdr:colOff>
          <xdr:row>37</xdr:row>
          <xdr:rowOff>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190500</xdr:colOff>
          <xdr:row>38</xdr:row>
          <xdr:rowOff>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29</xdr:row>
          <xdr:rowOff>9525</xdr:rowOff>
        </xdr:from>
        <xdr:to>
          <xdr:col>7</xdr:col>
          <xdr:colOff>142875</xdr:colOff>
          <xdr:row>30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31</xdr:row>
          <xdr:rowOff>9525</xdr:rowOff>
        </xdr:from>
        <xdr:to>
          <xdr:col>7</xdr:col>
          <xdr:colOff>142875</xdr:colOff>
          <xdr:row>32</xdr:row>
          <xdr:rowOff>0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28575</xdr:rowOff>
        </xdr:from>
        <xdr:to>
          <xdr:col>2</xdr:col>
          <xdr:colOff>390525</xdr:colOff>
          <xdr:row>21</xdr:row>
          <xdr:rowOff>47625</xdr:rowOff>
        </xdr:to>
        <xdr:sp macro="" textlink="">
          <xdr:nvSpPr>
            <xdr:cNvPr id="22544" name="Option Button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21</xdr:row>
          <xdr:rowOff>38100</xdr:rowOff>
        </xdr:from>
        <xdr:to>
          <xdr:col>2</xdr:col>
          <xdr:colOff>390525</xdr:colOff>
          <xdr:row>22</xdr:row>
          <xdr:rowOff>57150</xdr:rowOff>
        </xdr:to>
        <xdr:sp macro="" textlink="">
          <xdr:nvSpPr>
            <xdr:cNvPr id="22545" name="Option Button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20</xdr:row>
          <xdr:rowOff>9525</xdr:rowOff>
        </xdr:from>
        <xdr:to>
          <xdr:col>4</xdr:col>
          <xdr:colOff>809625</xdr:colOff>
          <xdr:row>21</xdr:row>
          <xdr:rowOff>0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20</xdr:row>
          <xdr:rowOff>9525</xdr:rowOff>
        </xdr:from>
        <xdr:to>
          <xdr:col>6</xdr:col>
          <xdr:colOff>809625</xdr:colOff>
          <xdr:row>21</xdr:row>
          <xdr:rowOff>0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714375</xdr:colOff>
          <xdr:row>17</xdr:row>
          <xdr:rowOff>9525</xdr:rowOff>
        </xdr:from>
        <xdr:to>
          <xdr:col>5</xdr:col>
          <xdr:colOff>9525</xdr:colOff>
          <xdr:row>18</xdr:row>
          <xdr:rowOff>0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49</xdr:row>
          <xdr:rowOff>180975</xdr:rowOff>
        </xdr:from>
        <xdr:to>
          <xdr:col>4</xdr:col>
          <xdr:colOff>647700</xdr:colOff>
          <xdr:row>51</xdr:row>
          <xdr:rowOff>0</xdr:rowOff>
        </xdr:to>
        <xdr:sp macro="" textlink="">
          <xdr:nvSpPr>
            <xdr:cNvPr id="22550" name="Option Button 22" hidden="1">
              <a:extLst>
                <a:ext uri="{63B3BB69-23CF-44E3-9099-C40C66FF867C}">
                  <a14:compatExt spid="_x0000_s2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171450</xdr:rowOff>
        </xdr:from>
        <xdr:to>
          <xdr:col>7</xdr:col>
          <xdr:colOff>209550</xdr:colOff>
          <xdr:row>50</xdr:row>
          <xdr:rowOff>190500</xdr:rowOff>
        </xdr:to>
        <xdr:sp macro="" textlink="">
          <xdr:nvSpPr>
            <xdr:cNvPr id="22551" name="Option Button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49</xdr:row>
          <xdr:rowOff>180975</xdr:rowOff>
        </xdr:from>
        <xdr:to>
          <xdr:col>9</xdr:col>
          <xdr:colOff>314325</xdr:colOff>
          <xdr:row>51</xdr:row>
          <xdr:rowOff>0</xdr:rowOff>
        </xdr:to>
        <xdr:sp macro="" textlink="">
          <xdr:nvSpPr>
            <xdr:cNvPr id="22552" name="Option Button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51</xdr:row>
          <xdr:rowOff>0</xdr:rowOff>
        </xdr:from>
        <xdr:to>
          <xdr:col>4</xdr:col>
          <xdr:colOff>809625</xdr:colOff>
          <xdr:row>51</xdr:row>
          <xdr:rowOff>190500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52</xdr:row>
          <xdr:rowOff>0</xdr:rowOff>
        </xdr:from>
        <xdr:to>
          <xdr:col>4</xdr:col>
          <xdr:colOff>809625</xdr:colOff>
          <xdr:row>52</xdr:row>
          <xdr:rowOff>190500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53</xdr:row>
          <xdr:rowOff>0</xdr:rowOff>
        </xdr:from>
        <xdr:to>
          <xdr:col>4</xdr:col>
          <xdr:colOff>809625</xdr:colOff>
          <xdr:row>53</xdr:row>
          <xdr:rowOff>190500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54</xdr:row>
          <xdr:rowOff>0</xdr:rowOff>
        </xdr:from>
        <xdr:to>
          <xdr:col>4</xdr:col>
          <xdr:colOff>809625</xdr:colOff>
          <xdr:row>54</xdr:row>
          <xdr:rowOff>190500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55</xdr:row>
          <xdr:rowOff>0</xdr:rowOff>
        </xdr:from>
        <xdr:to>
          <xdr:col>4</xdr:col>
          <xdr:colOff>809625</xdr:colOff>
          <xdr:row>55</xdr:row>
          <xdr:rowOff>190500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56</xdr:row>
          <xdr:rowOff>0</xdr:rowOff>
        </xdr:from>
        <xdr:to>
          <xdr:col>4</xdr:col>
          <xdr:colOff>809625</xdr:colOff>
          <xdr:row>56</xdr:row>
          <xdr:rowOff>190500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704850</xdr:colOff>
          <xdr:row>57</xdr:row>
          <xdr:rowOff>0</xdr:rowOff>
        </xdr:from>
        <xdr:to>
          <xdr:col>7</xdr:col>
          <xdr:colOff>0</xdr:colOff>
          <xdr:row>57</xdr:row>
          <xdr:rowOff>190500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51</xdr:row>
          <xdr:rowOff>0</xdr:rowOff>
        </xdr:from>
        <xdr:to>
          <xdr:col>8</xdr:col>
          <xdr:colOff>819150</xdr:colOff>
          <xdr:row>51</xdr:row>
          <xdr:rowOff>190500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52</xdr:row>
          <xdr:rowOff>0</xdr:rowOff>
        </xdr:from>
        <xdr:to>
          <xdr:col>8</xdr:col>
          <xdr:colOff>819150</xdr:colOff>
          <xdr:row>52</xdr:row>
          <xdr:rowOff>190500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58</xdr:row>
          <xdr:rowOff>0</xdr:rowOff>
        </xdr:from>
        <xdr:to>
          <xdr:col>8</xdr:col>
          <xdr:colOff>819150</xdr:colOff>
          <xdr:row>58</xdr:row>
          <xdr:rowOff>190500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17</xdr:row>
          <xdr:rowOff>180975</xdr:rowOff>
        </xdr:from>
        <xdr:to>
          <xdr:col>2</xdr:col>
          <xdr:colOff>781050</xdr:colOff>
          <xdr:row>19</xdr:row>
          <xdr:rowOff>0</xdr:rowOff>
        </xdr:to>
        <xdr:sp macro="" textlink="">
          <xdr:nvSpPr>
            <xdr:cNvPr id="22563" name="Option Button 35" hidden="1">
              <a:extLst>
                <a:ext uri="{63B3BB69-23CF-44E3-9099-C40C66FF867C}">
                  <a14:compatExt spid="_x0000_s2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17</xdr:row>
          <xdr:rowOff>180975</xdr:rowOff>
        </xdr:from>
        <xdr:to>
          <xdr:col>3</xdr:col>
          <xdr:colOff>333375</xdr:colOff>
          <xdr:row>19</xdr:row>
          <xdr:rowOff>0</xdr:rowOff>
        </xdr:to>
        <xdr:sp macro="" textlink="">
          <xdr:nvSpPr>
            <xdr:cNvPr id="22564" name="Option Button 36" hidden="1">
              <a:extLst>
                <a:ext uri="{63B3BB69-23CF-44E3-9099-C40C66FF867C}">
                  <a14:compatExt spid="_x0000_s2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31</xdr:row>
          <xdr:rowOff>0</xdr:rowOff>
        </xdr:from>
        <xdr:to>
          <xdr:col>5</xdr:col>
          <xdr:colOff>609600</xdr:colOff>
          <xdr:row>32</xdr:row>
          <xdr:rowOff>0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32</xdr:row>
          <xdr:rowOff>0</xdr:rowOff>
        </xdr:from>
        <xdr:to>
          <xdr:col>5</xdr:col>
          <xdr:colOff>609600</xdr:colOff>
          <xdr:row>33</xdr:row>
          <xdr:rowOff>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33</xdr:row>
          <xdr:rowOff>0</xdr:rowOff>
        </xdr:from>
        <xdr:to>
          <xdr:col>5</xdr:col>
          <xdr:colOff>609600</xdr:colOff>
          <xdr:row>34</xdr:row>
          <xdr:rowOff>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34</xdr:row>
          <xdr:rowOff>0</xdr:rowOff>
        </xdr:from>
        <xdr:to>
          <xdr:col>5</xdr:col>
          <xdr:colOff>609600</xdr:colOff>
          <xdr:row>35</xdr:row>
          <xdr:rowOff>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35</xdr:row>
          <xdr:rowOff>0</xdr:rowOff>
        </xdr:from>
        <xdr:to>
          <xdr:col>5</xdr:col>
          <xdr:colOff>609600</xdr:colOff>
          <xdr:row>36</xdr:row>
          <xdr:rowOff>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36</xdr:row>
          <xdr:rowOff>0</xdr:rowOff>
        </xdr:from>
        <xdr:to>
          <xdr:col>5</xdr:col>
          <xdr:colOff>609600</xdr:colOff>
          <xdr:row>37</xdr:row>
          <xdr:rowOff>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31</xdr:row>
          <xdr:rowOff>0</xdr:rowOff>
        </xdr:from>
        <xdr:to>
          <xdr:col>4</xdr:col>
          <xdr:colOff>276225</xdr:colOff>
          <xdr:row>31</xdr:row>
          <xdr:rowOff>190500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32</xdr:row>
          <xdr:rowOff>0</xdr:rowOff>
        </xdr:from>
        <xdr:to>
          <xdr:col>4</xdr:col>
          <xdr:colOff>276225</xdr:colOff>
          <xdr:row>32</xdr:row>
          <xdr:rowOff>190500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33</xdr:row>
          <xdr:rowOff>0</xdr:rowOff>
        </xdr:from>
        <xdr:to>
          <xdr:col>4</xdr:col>
          <xdr:colOff>276225</xdr:colOff>
          <xdr:row>33</xdr:row>
          <xdr:rowOff>190500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34</xdr:row>
          <xdr:rowOff>0</xdr:rowOff>
        </xdr:from>
        <xdr:to>
          <xdr:col>4</xdr:col>
          <xdr:colOff>276225</xdr:colOff>
          <xdr:row>34</xdr:row>
          <xdr:rowOff>190500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35</xdr:row>
          <xdr:rowOff>0</xdr:rowOff>
        </xdr:from>
        <xdr:to>
          <xdr:col>4</xdr:col>
          <xdr:colOff>276225</xdr:colOff>
          <xdr:row>35</xdr:row>
          <xdr:rowOff>190500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36</xdr:row>
          <xdr:rowOff>0</xdr:rowOff>
        </xdr:from>
        <xdr:to>
          <xdr:col>4</xdr:col>
          <xdr:colOff>276225</xdr:colOff>
          <xdr:row>36</xdr:row>
          <xdr:rowOff>190500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37</xdr:row>
          <xdr:rowOff>0</xdr:rowOff>
        </xdr:from>
        <xdr:to>
          <xdr:col>4</xdr:col>
          <xdr:colOff>276225</xdr:colOff>
          <xdr:row>37</xdr:row>
          <xdr:rowOff>190500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30</xdr:row>
          <xdr:rowOff>85725</xdr:rowOff>
        </xdr:from>
        <xdr:to>
          <xdr:col>3</xdr:col>
          <xdr:colOff>133350</xdr:colOff>
          <xdr:row>31</xdr:row>
          <xdr:rowOff>180975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31</xdr:row>
          <xdr:rowOff>190500</xdr:rowOff>
        </xdr:from>
        <xdr:to>
          <xdr:col>3</xdr:col>
          <xdr:colOff>133350</xdr:colOff>
          <xdr:row>32</xdr:row>
          <xdr:rowOff>180975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32</xdr:row>
          <xdr:rowOff>190500</xdr:rowOff>
        </xdr:from>
        <xdr:to>
          <xdr:col>3</xdr:col>
          <xdr:colOff>133350</xdr:colOff>
          <xdr:row>33</xdr:row>
          <xdr:rowOff>180975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33</xdr:row>
          <xdr:rowOff>190500</xdr:rowOff>
        </xdr:from>
        <xdr:to>
          <xdr:col>3</xdr:col>
          <xdr:colOff>133350</xdr:colOff>
          <xdr:row>34</xdr:row>
          <xdr:rowOff>180975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34</xdr:row>
          <xdr:rowOff>190500</xdr:rowOff>
        </xdr:from>
        <xdr:to>
          <xdr:col>3</xdr:col>
          <xdr:colOff>133350</xdr:colOff>
          <xdr:row>35</xdr:row>
          <xdr:rowOff>180975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35</xdr:row>
          <xdr:rowOff>190500</xdr:rowOff>
        </xdr:from>
        <xdr:to>
          <xdr:col>3</xdr:col>
          <xdr:colOff>133350</xdr:colOff>
          <xdr:row>36</xdr:row>
          <xdr:rowOff>180975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36</xdr:row>
          <xdr:rowOff>190500</xdr:rowOff>
        </xdr:from>
        <xdr:to>
          <xdr:col>3</xdr:col>
          <xdr:colOff>133350</xdr:colOff>
          <xdr:row>37</xdr:row>
          <xdr:rowOff>180975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19</xdr:row>
          <xdr:rowOff>152400</xdr:rowOff>
        </xdr:from>
        <xdr:to>
          <xdr:col>2</xdr:col>
          <xdr:colOff>723900</xdr:colOff>
          <xdr:row>22</xdr:row>
          <xdr:rowOff>114300</xdr:rowOff>
        </xdr:to>
        <xdr:sp macro="" textlink="">
          <xdr:nvSpPr>
            <xdr:cNvPr id="22585" name="Group Box 57" hidden="1">
              <a:extLst>
                <a:ext uri="{63B3BB69-23CF-44E3-9099-C40C66FF867C}">
                  <a14:compatExt spid="_x0000_s22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49</xdr:row>
          <xdr:rowOff>76200</xdr:rowOff>
        </xdr:from>
        <xdr:to>
          <xdr:col>9</xdr:col>
          <xdr:colOff>447675</xdr:colOff>
          <xdr:row>51</xdr:row>
          <xdr:rowOff>0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29</xdr:row>
          <xdr:rowOff>0</xdr:rowOff>
        </xdr:from>
        <xdr:to>
          <xdr:col>9</xdr:col>
          <xdr:colOff>600075</xdr:colOff>
          <xdr:row>30</xdr:row>
          <xdr:rowOff>19050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31</xdr:row>
          <xdr:rowOff>0</xdr:rowOff>
        </xdr:from>
        <xdr:to>
          <xdr:col>9</xdr:col>
          <xdr:colOff>600075</xdr:colOff>
          <xdr:row>32</xdr:row>
          <xdr:rowOff>19050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32</xdr:row>
          <xdr:rowOff>0</xdr:rowOff>
        </xdr:from>
        <xdr:to>
          <xdr:col>9</xdr:col>
          <xdr:colOff>600075</xdr:colOff>
          <xdr:row>33</xdr:row>
          <xdr:rowOff>19050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33</xdr:row>
          <xdr:rowOff>0</xdr:rowOff>
        </xdr:from>
        <xdr:to>
          <xdr:col>9</xdr:col>
          <xdr:colOff>600075</xdr:colOff>
          <xdr:row>34</xdr:row>
          <xdr:rowOff>19050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34</xdr:row>
          <xdr:rowOff>0</xdr:rowOff>
        </xdr:from>
        <xdr:to>
          <xdr:col>9</xdr:col>
          <xdr:colOff>600075</xdr:colOff>
          <xdr:row>35</xdr:row>
          <xdr:rowOff>19050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35</xdr:row>
          <xdr:rowOff>0</xdr:rowOff>
        </xdr:from>
        <xdr:to>
          <xdr:col>9</xdr:col>
          <xdr:colOff>600075</xdr:colOff>
          <xdr:row>36</xdr:row>
          <xdr:rowOff>19050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36</xdr:row>
          <xdr:rowOff>0</xdr:rowOff>
        </xdr:from>
        <xdr:to>
          <xdr:col>9</xdr:col>
          <xdr:colOff>600075</xdr:colOff>
          <xdr:row>37</xdr:row>
          <xdr:rowOff>19050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37</xdr:row>
          <xdr:rowOff>0</xdr:rowOff>
        </xdr:from>
        <xdr:to>
          <xdr:col>9</xdr:col>
          <xdr:colOff>600075</xdr:colOff>
          <xdr:row>38</xdr:row>
          <xdr:rowOff>19050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190500</xdr:colOff>
          <xdr:row>39</xdr:row>
          <xdr:rowOff>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37</xdr:row>
          <xdr:rowOff>0</xdr:rowOff>
        </xdr:from>
        <xdr:to>
          <xdr:col>5</xdr:col>
          <xdr:colOff>609600</xdr:colOff>
          <xdr:row>38</xdr:row>
          <xdr:rowOff>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38</xdr:row>
          <xdr:rowOff>0</xdr:rowOff>
        </xdr:from>
        <xdr:to>
          <xdr:col>4</xdr:col>
          <xdr:colOff>276225</xdr:colOff>
          <xdr:row>38</xdr:row>
          <xdr:rowOff>190500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37</xdr:row>
          <xdr:rowOff>190500</xdr:rowOff>
        </xdr:from>
        <xdr:to>
          <xdr:col>3</xdr:col>
          <xdr:colOff>133350</xdr:colOff>
          <xdr:row>38</xdr:row>
          <xdr:rowOff>180975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37</xdr:row>
          <xdr:rowOff>0</xdr:rowOff>
        </xdr:from>
        <xdr:to>
          <xdr:col>9</xdr:col>
          <xdr:colOff>600075</xdr:colOff>
          <xdr:row>38</xdr:row>
          <xdr:rowOff>19050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38</xdr:row>
          <xdr:rowOff>0</xdr:rowOff>
        </xdr:from>
        <xdr:to>
          <xdr:col>9</xdr:col>
          <xdr:colOff>600075</xdr:colOff>
          <xdr:row>39</xdr:row>
          <xdr:rowOff>19050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38</xdr:row>
          <xdr:rowOff>0</xdr:rowOff>
        </xdr:from>
        <xdr:to>
          <xdr:col>5</xdr:col>
          <xdr:colOff>609600</xdr:colOff>
          <xdr:row>39</xdr:row>
          <xdr:rowOff>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39</xdr:row>
          <xdr:rowOff>0</xdr:rowOff>
        </xdr:from>
        <xdr:to>
          <xdr:col>5</xdr:col>
          <xdr:colOff>609600</xdr:colOff>
          <xdr:row>40</xdr:row>
          <xdr:rowOff>0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38</xdr:row>
          <xdr:rowOff>0</xdr:rowOff>
        </xdr:from>
        <xdr:to>
          <xdr:col>9</xdr:col>
          <xdr:colOff>600075</xdr:colOff>
          <xdr:row>39</xdr:row>
          <xdr:rowOff>19050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39</xdr:row>
          <xdr:rowOff>0</xdr:rowOff>
        </xdr:from>
        <xdr:to>
          <xdr:col>9</xdr:col>
          <xdr:colOff>600075</xdr:colOff>
          <xdr:row>40</xdr:row>
          <xdr:rowOff>19050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695325</xdr:colOff>
          <xdr:row>47</xdr:row>
          <xdr:rowOff>0</xdr:rowOff>
        </xdr:from>
        <xdr:to>
          <xdr:col>4</xdr:col>
          <xdr:colOff>819150</xdr:colOff>
          <xdr:row>47</xdr:row>
          <xdr:rowOff>190500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59</xdr:row>
          <xdr:rowOff>38100</xdr:rowOff>
        </xdr:from>
        <xdr:to>
          <xdr:col>2</xdr:col>
          <xdr:colOff>190500</xdr:colOff>
          <xdr:row>59</xdr:row>
          <xdr:rowOff>238125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685800</xdr:colOff>
          <xdr:row>12</xdr:row>
          <xdr:rowOff>9525</xdr:rowOff>
        </xdr:from>
        <xdr:to>
          <xdr:col>7</xdr:col>
          <xdr:colOff>809625</xdr:colOff>
          <xdr:row>13</xdr:row>
          <xdr:rowOff>0</xdr:rowOff>
        </xdr:to>
        <xdr:sp macro="" textlink="">
          <xdr:nvSpPr>
            <xdr:cNvPr id="22609" name="Spinner 81" hidden="1">
              <a:extLst>
                <a:ext uri="{63B3BB69-23CF-44E3-9099-C40C66FF867C}">
                  <a14:compatExt spid="_x0000_s22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12</xdr:row>
          <xdr:rowOff>9525</xdr:rowOff>
        </xdr:from>
        <xdr:to>
          <xdr:col>9</xdr:col>
          <xdr:colOff>809625</xdr:colOff>
          <xdr:row>13</xdr:row>
          <xdr:rowOff>0</xdr:rowOff>
        </xdr:to>
        <xdr:sp macro="" textlink="">
          <xdr:nvSpPr>
            <xdr:cNvPr id="22610" name="Spinner 82" hidden="1">
              <a:extLst>
                <a:ext uri="{63B3BB69-23CF-44E3-9099-C40C66FF867C}">
                  <a14:compatExt spid="_x0000_s22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23</xdr:row>
          <xdr:rowOff>180975</xdr:rowOff>
        </xdr:from>
        <xdr:to>
          <xdr:col>9</xdr:col>
          <xdr:colOff>590550</xdr:colOff>
          <xdr:row>24</xdr:row>
          <xdr:rowOff>180975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25</xdr:row>
          <xdr:rowOff>9525</xdr:rowOff>
        </xdr:from>
        <xdr:to>
          <xdr:col>9</xdr:col>
          <xdr:colOff>600075</xdr:colOff>
          <xdr:row>26</xdr:row>
          <xdr:rowOff>9525</xdr:rowOff>
        </xdr:to>
        <xdr:sp macro="" textlink="">
          <xdr:nvSpPr>
            <xdr:cNvPr id="22613" name="Drop Down 85" hidden="1">
              <a:extLst>
                <a:ext uri="{63B3BB69-23CF-44E3-9099-C40C66FF867C}">
                  <a14:compatExt spid="_x0000_s22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20</xdr:row>
          <xdr:rowOff>9525</xdr:rowOff>
        </xdr:from>
        <xdr:to>
          <xdr:col>10</xdr:col>
          <xdr:colOff>685800</xdr:colOff>
          <xdr:row>21</xdr:row>
          <xdr:rowOff>9525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1Sterkte" textlink="">
      <xdr:nvSpPr>
        <xdr:cNvPr id="91" name="Rectangle 142"/>
        <xdr:cNvSpPr>
          <a:spLocks noChangeArrowheads="1"/>
        </xdr:cNvSpPr>
      </xdr:nvSpPr>
      <xdr:spPr bwMode="auto">
        <a:xfrm>
          <a:off x="1285875" y="57340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92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93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2Sterkte" textlink="">
      <xdr:nvSpPr>
        <xdr:cNvPr id="94" name="Rectangle 145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3Sterkte" textlink="">
      <xdr:nvSpPr>
        <xdr:cNvPr id="95" name="Rectangle 146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4Sterkte" textlink="">
      <xdr:nvSpPr>
        <xdr:cNvPr id="96" name="Rectangle 147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5Sterkte" textlink="">
      <xdr:nvSpPr>
        <xdr:cNvPr id="97" name="Rectangle 148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6Sterkte" textlink="">
      <xdr:nvSpPr>
        <xdr:cNvPr id="98" name="Rectangle 149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7Sterkte" textlink="">
      <xdr:nvSpPr>
        <xdr:cNvPr id="99" name="Rectangle 150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8Sterkte" textlink="">
      <xdr:nvSpPr>
        <xdr:cNvPr id="100" name="Rectangle 151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21</xdr:row>
          <xdr:rowOff>9525</xdr:rowOff>
        </xdr:from>
        <xdr:to>
          <xdr:col>4</xdr:col>
          <xdr:colOff>809625</xdr:colOff>
          <xdr:row>22</xdr:row>
          <xdr:rowOff>0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21</xdr:row>
          <xdr:rowOff>9525</xdr:rowOff>
        </xdr:from>
        <xdr:to>
          <xdr:col>6</xdr:col>
          <xdr:colOff>809625</xdr:colOff>
          <xdr:row>22</xdr:row>
          <xdr:rowOff>0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24</xdr:row>
          <xdr:rowOff>180975</xdr:rowOff>
        </xdr:from>
        <xdr:to>
          <xdr:col>9</xdr:col>
          <xdr:colOff>590550</xdr:colOff>
          <xdr:row>25</xdr:row>
          <xdr:rowOff>180975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25</xdr:row>
          <xdr:rowOff>180975</xdr:rowOff>
        </xdr:from>
        <xdr:to>
          <xdr:col>9</xdr:col>
          <xdr:colOff>590550</xdr:colOff>
          <xdr:row>26</xdr:row>
          <xdr:rowOff>180975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10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190500</xdr:colOff>
          <xdr:row>40</xdr:row>
          <xdr:rowOff>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39</xdr:row>
          <xdr:rowOff>0</xdr:rowOff>
        </xdr:from>
        <xdr:to>
          <xdr:col>4</xdr:col>
          <xdr:colOff>276225</xdr:colOff>
          <xdr:row>39</xdr:row>
          <xdr:rowOff>190500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38</xdr:row>
          <xdr:rowOff>190500</xdr:rowOff>
        </xdr:from>
        <xdr:to>
          <xdr:col>3</xdr:col>
          <xdr:colOff>133350</xdr:colOff>
          <xdr:row>39</xdr:row>
          <xdr:rowOff>180975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39</xdr:row>
          <xdr:rowOff>0</xdr:rowOff>
        </xdr:from>
        <xdr:to>
          <xdr:col>5</xdr:col>
          <xdr:colOff>609600</xdr:colOff>
          <xdr:row>40</xdr:row>
          <xdr:rowOff>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9Sterkte" textlink="">
      <xdr:nvSpPr>
        <xdr:cNvPr id="115" name="Rectangle 189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41</xdr:row>
          <xdr:rowOff>0</xdr:rowOff>
        </xdr:from>
        <xdr:to>
          <xdr:col>5</xdr:col>
          <xdr:colOff>609600</xdr:colOff>
          <xdr:row>42</xdr:row>
          <xdr:rowOff>0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41</xdr:row>
          <xdr:rowOff>9525</xdr:rowOff>
        </xdr:from>
        <xdr:to>
          <xdr:col>7</xdr:col>
          <xdr:colOff>142875</xdr:colOff>
          <xdr:row>42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41</xdr:row>
          <xdr:rowOff>0</xdr:rowOff>
        </xdr:from>
        <xdr:to>
          <xdr:col>9</xdr:col>
          <xdr:colOff>600075</xdr:colOff>
          <xdr:row>42</xdr:row>
          <xdr:rowOff>19050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42</xdr:row>
          <xdr:rowOff>0</xdr:rowOff>
        </xdr:from>
        <xdr:to>
          <xdr:col>5</xdr:col>
          <xdr:colOff>609600</xdr:colOff>
          <xdr:row>43</xdr:row>
          <xdr:rowOff>0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42</xdr:row>
          <xdr:rowOff>9525</xdr:rowOff>
        </xdr:from>
        <xdr:to>
          <xdr:col>7</xdr:col>
          <xdr:colOff>142875</xdr:colOff>
          <xdr:row>43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42</xdr:row>
          <xdr:rowOff>0</xdr:rowOff>
        </xdr:from>
        <xdr:to>
          <xdr:col>9</xdr:col>
          <xdr:colOff>600075</xdr:colOff>
          <xdr:row>43</xdr:row>
          <xdr:rowOff>19050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42</xdr:row>
          <xdr:rowOff>0</xdr:rowOff>
        </xdr:from>
        <xdr:to>
          <xdr:col>9</xdr:col>
          <xdr:colOff>600075</xdr:colOff>
          <xdr:row>43</xdr:row>
          <xdr:rowOff>19050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43</xdr:row>
          <xdr:rowOff>0</xdr:rowOff>
        </xdr:from>
        <xdr:to>
          <xdr:col>5</xdr:col>
          <xdr:colOff>609600</xdr:colOff>
          <xdr:row>44</xdr:row>
          <xdr:rowOff>0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43</xdr:row>
          <xdr:rowOff>9525</xdr:rowOff>
        </xdr:from>
        <xdr:to>
          <xdr:col>7</xdr:col>
          <xdr:colOff>142875</xdr:colOff>
          <xdr:row>44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43</xdr:row>
          <xdr:rowOff>0</xdr:rowOff>
        </xdr:from>
        <xdr:to>
          <xdr:col>9</xdr:col>
          <xdr:colOff>600075</xdr:colOff>
          <xdr:row>44</xdr:row>
          <xdr:rowOff>19050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133350</xdr:colOff>
      <xdr:row>73</xdr:row>
      <xdr:rowOff>9525</xdr:rowOff>
    </xdr:from>
    <xdr:to>
      <xdr:col>9</xdr:col>
      <xdr:colOff>742950</xdr:colOff>
      <xdr:row>75</xdr:row>
      <xdr:rowOff>0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381000" y="13392150"/>
          <a:ext cx="71247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63</xdr:row>
      <xdr:rowOff>0</xdr:rowOff>
    </xdr:from>
    <xdr:to>
      <xdr:col>2</xdr:col>
      <xdr:colOff>295275</xdr:colOff>
      <xdr:row>63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23</xdr:row>
          <xdr:rowOff>180975</xdr:rowOff>
        </xdr:from>
        <xdr:to>
          <xdr:col>13</xdr:col>
          <xdr:colOff>895350</xdr:colOff>
          <xdr:row>24</xdr:row>
          <xdr:rowOff>180975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25</xdr:row>
          <xdr:rowOff>9525</xdr:rowOff>
        </xdr:from>
        <xdr:to>
          <xdr:col>13</xdr:col>
          <xdr:colOff>904875</xdr:colOff>
          <xdr:row>26</xdr:row>
          <xdr:rowOff>9525</xdr:rowOff>
        </xdr:to>
        <xdr:sp macro="" textlink="">
          <xdr:nvSpPr>
            <xdr:cNvPr id="22641" name="Drop Down 113" hidden="1">
              <a:extLst>
                <a:ext uri="{63B3BB69-23CF-44E3-9099-C40C66FF867C}">
                  <a14:compatExt spid="_x0000_s2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24</xdr:row>
          <xdr:rowOff>180975</xdr:rowOff>
        </xdr:from>
        <xdr:to>
          <xdr:col>13</xdr:col>
          <xdr:colOff>895350</xdr:colOff>
          <xdr:row>25</xdr:row>
          <xdr:rowOff>180975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25</xdr:row>
          <xdr:rowOff>180975</xdr:rowOff>
        </xdr:from>
        <xdr:to>
          <xdr:col>13</xdr:col>
          <xdr:colOff>895350</xdr:colOff>
          <xdr:row>26</xdr:row>
          <xdr:rowOff>180975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23</xdr:row>
          <xdr:rowOff>0</xdr:rowOff>
        </xdr:from>
        <xdr:to>
          <xdr:col>14</xdr:col>
          <xdr:colOff>533400</xdr:colOff>
          <xdr:row>23</xdr:row>
          <xdr:rowOff>190500</xdr:rowOff>
        </xdr:to>
        <xdr:sp macro="" textlink="">
          <xdr:nvSpPr>
            <xdr:cNvPr id="22650" name="Pos" hidden="1">
              <a:extLst>
                <a:ext uri="{63B3BB69-23CF-44E3-9099-C40C66FF867C}">
                  <a14:compatExt spid="_x0000_s22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23</xdr:row>
          <xdr:rowOff>190500</xdr:rowOff>
        </xdr:from>
        <xdr:to>
          <xdr:col>15</xdr:col>
          <xdr:colOff>38100</xdr:colOff>
          <xdr:row>24</xdr:row>
          <xdr:rowOff>190500</xdr:rowOff>
        </xdr:to>
        <xdr:sp macro="" textlink="">
          <xdr:nvSpPr>
            <xdr:cNvPr id="22653" name="Pos" hidden="1">
              <a:extLst>
                <a:ext uri="{63B3BB69-23CF-44E3-9099-C40C66FF867C}">
                  <a14:compatExt spid="_x0000_s22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24</xdr:row>
          <xdr:rowOff>190500</xdr:rowOff>
        </xdr:from>
        <xdr:to>
          <xdr:col>15</xdr:col>
          <xdr:colOff>38100</xdr:colOff>
          <xdr:row>25</xdr:row>
          <xdr:rowOff>190500</xdr:rowOff>
        </xdr:to>
        <xdr:sp macro="" textlink="">
          <xdr:nvSpPr>
            <xdr:cNvPr id="22654" name="Pos" hidden="1">
              <a:extLst>
                <a:ext uri="{63B3BB69-23CF-44E3-9099-C40C66FF867C}">
                  <a14:compatExt spid="_x0000_s22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25</xdr:row>
          <xdr:rowOff>190500</xdr:rowOff>
        </xdr:from>
        <xdr:to>
          <xdr:col>15</xdr:col>
          <xdr:colOff>38100</xdr:colOff>
          <xdr:row>26</xdr:row>
          <xdr:rowOff>190500</xdr:rowOff>
        </xdr:to>
        <xdr:sp macro="" textlink="">
          <xdr:nvSpPr>
            <xdr:cNvPr id="22656" name="Pos" hidden="1">
              <a:extLst>
                <a:ext uri="{63B3BB69-23CF-44E3-9099-C40C66FF867C}">
                  <a14:compatExt spid="_x0000_s22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22</xdr:row>
          <xdr:rowOff>180975</xdr:rowOff>
        </xdr:from>
        <xdr:to>
          <xdr:col>9</xdr:col>
          <xdr:colOff>590550</xdr:colOff>
          <xdr:row>23</xdr:row>
          <xdr:rowOff>180975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180975</xdr:rowOff>
        </xdr:from>
        <xdr:to>
          <xdr:col>13</xdr:col>
          <xdr:colOff>895350</xdr:colOff>
          <xdr:row>23</xdr:row>
          <xdr:rowOff>180975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22</xdr:row>
          <xdr:rowOff>190500</xdr:rowOff>
        </xdr:from>
        <xdr:to>
          <xdr:col>15</xdr:col>
          <xdr:colOff>38100</xdr:colOff>
          <xdr:row>23</xdr:row>
          <xdr:rowOff>190500</xdr:rowOff>
        </xdr:to>
        <xdr:sp macro="" textlink="">
          <xdr:nvSpPr>
            <xdr:cNvPr id="22661" name="Drop Down 133" hidden="1">
              <a:extLst>
                <a:ext uri="{63B3BB69-23CF-44E3-9099-C40C66FF867C}">
                  <a14:compatExt spid="_x0000_s22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66675</xdr:colOff>
          <xdr:row>23</xdr:row>
          <xdr:rowOff>0</xdr:rowOff>
        </xdr:to>
        <xdr:sp macro="" textlink="">
          <xdr:nvSpPr>
            <xdr:cNvPr id="22662" name="Drop Down 134" hidden="1">
              <a:extLst>
                <a:ext uri="{63B3BB69-23CF-44E3-9099-C40C66FF867C}">
                  <a14:compatExt spid="_x0000_s22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180975</xdr:rowOff>
        </xdr:from>
        <xdr:to>
          <xdr:col>11</xdr:col>
          <xdr:colOff>66675</xdr:colOff>
          <xdr:row>24</xdr:row>
          <xdr:rowOff>180975</xdr:rowOff>
        </xdr:to>
        <xdr:sp macro="" textlink="">
          <xdr:nvSpPr>
            <xdr:cNvPr id="22663" name="Drop Down 135" hidden="1">
              <a:extLst>
                <a:ext uri="{63B3BB69-23CF-44E3-9099-C40C66FF867C}">
                  <a14:compatExt spid="_x0000_s22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180975</xdr:rowOff>
        </xdr:from>
        <xdr:to>
          <xdr:col>11</xdr:col>
          <xdr:colOff>66675</xdr:colOff>
          <xdr:row>25</xdr:row>
          <xdr:rowOff>180975</xdr:rowOff>
        </xdr:to>
        <xdr:sp macro="" textlink="">
          <xdr:nvSpPr>
            <xdr:cNvPr id="22664" name="Drop Down 136" hidden="1">
              <a:extLst>
                <a:ext uri="{63B3BB69-23CF-44E3-9099-C40C66FF867C}">
                  <a14:compatExt spid="_x0000_s22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180975</xdr:rowOff>
        </xdr:from>
        <xdr:to>
          <xdr:col>11</xdr:col>
          <xdr:colOff>66675</xdr:colOff>
          <xdr:row>26</xdr:row>
          <xdr:rowOff>180975</xdr:rowOff>
        </xdr:to>
        <xdr:sp macro="" textlink="">
          <xdr:nvSpPr>
            <xdr:cNvPr id="22665" name="Drop Down 137" hidden="1">
              <a:extLst>
                <a:ext uri="{63B3BB69-23CF-44E3-9099-C40C66FF867C}">
                  <a14:compatExt spid="_x0000_s22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180975</xdr:rowOff>
        </xdr:from>
        <xdr:to>
          <xdr:col>11</xdr:col>
          <xdr:colOff>66675</xdr:colOff>
          <xdr:row>23</xdr:row>
          <xdr:rowOff>180975</xdr:rowOff>
        </xdr:to>
        <xdr:sp macro="" textlink="">
          <xdr:nvSpPr>
            <xdr:cNvPr id="22666" name="Drop Down 138" hidden="1">
              <a:extLst>
                <a:ext uri="{63B3BB69-23CF-44E3-9099-C40C66FF867C}">
                  <a14:compatExt spid="_x0000_s22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25</xdr:row>
          <xdr:rowOff>142875</xdr:rowOff>
        </xdr:from>
        <xdr:to>
          <xdr:col>2</xdr:col>
          <xdr:colOff>800100</xdr:colOff>
          <xdr:row>26</xdr:row>
          <xdr:rowOff>161925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2669" name="Spinner 141" hidden="1">
              <a:extLst>
                <a:ext uri="{63B3BB69-23CF-44E3-9099-C40C66FF867C}">
                  <a14:compatExt spid="_x0000_s22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28575</xdr:colOff>
          <xdr:row>47</xdr:row>
          <xdr:rowOff>190500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190500</xdr:colOff>
          <xdr:row>32</xdr:row>
          <xdr:rowOff>0</xdr:rowOff>
        </xdr:to>
        <xdr:sp macro="" textlink="">
          <xdr:nvSpPr>
            <xdr:cNvPr id="206849" name="Drop Down 1" hidden="1">
              <a:extLst>
                <a:ext uri="{63B3BB69-23CF-44E3-9099-C40C66FF867C}">
                  <a14:compatExt spid="_x0000_s206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190500</xdr:colOff>
          <xdr:row>33</xdr:row>
          <xdr:rowOff>0</xdr:rowOff>
        </xdr:to>
        <xdr:sp macro="" textlink="">
          <xdr:nvSpPr>
            <xdr:cNvPr id="206850" name="Drop Down 2" hidden="1">
              <a:extLst>
                <a:ext uri="{63B3BB69-23CF-44E3-9099-C40C66FF867C}">
                  <a14:compatExt spid="_x0000_s206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190500</xdr:colOff>
          <xdr:row>34</xdr:row>
          <xdr:rowOff>0</xdr:rowOff>
        </xdr:to>
        <xdr:sp macro="" textlink="">
          <xdr:nvSpPr>
            <xdr:cNvPr id="206851" name="Drop Down 3" hidden="1">
              <a:extLst>
                <a:ext uri="{63B3BB69-23CF-44E3-9099-C40C66FF867C}">
                  <a14:compatExt spid="_x0000_s206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190500</xdr:colOff>
          <xdr:row>35</xdr:row>
          <xdr:rowOff>0</xdr:rowOff>
        </xdr:to>
        <xdr:sp macro="" textlink="">
          <xdr:nvSpPr>
            <xdr:cNvPr id="206852" name="Drop Down 4" hidden="1">
              <a:extLst>
                <a:ext uri="{63B3BB69-23CF-44E3-9099-C40C66FF867C}">
                  <a14:compatExt spid="_x0000_s206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190500</xdr:colOff>
          <xdr:row>36</xdr:row>
          <xdr:rowOff>0</xdr:rowOff>
        </xdr:to>
        <xdr:sp macro="" textlink="">
          <xdr:nvSpPr>
            <xdr:cNvPr id="206853" name="Drop Down 5" hidden="1">
              <a:extLst>
                <a:ext uri="{63B3BB69-23CF-44E3-9099-C40C66FF867C}">
                  <a14:compatExt spid="_x0000_s206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190500</xdr:colOff>
          <xdr:row>37</xdr:row>
          <xdr:rowOff>0</xdr:rowOff>
        </xdr:to>
        <xdr:sp macro="" textlink="">
          <xdr:nvSpPr>
            <xdr:cNvPr id="206854" name="Drop Down 6" hidden="1">
              <a:extLst>
                <a:ext uri="{63B3BB69-23CF-44E3-9099-C40C66FF867C}">
                  <a14:compatExt spid="_x0000_s206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190500</xdr:colOff>
          <xdr:row>38</xdr:row>
          <xdr:rowOff>0</xdr:rowOff>
        </xdr:to>
        <xdr:sp macro="" textlink="">
          <xdr:nvSpPr>
            <xdr:cNvPr id="206855" name="Drop Down 7" hidden="1">
              <a:extLst>
                <a:ext uri="{63B3BB69-23CF-44E3-9099-C40C66FF867C}">
                  <a14:compatExt spid="_x0000_s206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29</xdr:row>
          <xdr:rowOff>9525</xdr:rowOff>
        </xdr:from>
        <xdr:to>
          <xdr:col>7</xdr:col>
          <xdr:colOff>142875</xdr:colOff>
          <xdr:row>30</xdr:row>
          <xdr:rowOff>0</xdr:rowOff>
        </xdr:to>
        <xdr:sp macro="" textlink="">
          <xdr:nvSpPr>
            <xdr:cNvPr id="206856" name="Spinner 8" hidden="1">
              <a:extLst>
                <a:ext uri="{63B3BB69-23CF-44E3-9099-C40C66FF867C}">
                  <a14:compatExt spid="_x0000_s206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31</xdr:row>
          <xdr:rowOff>9525</xdr:rowOff>
        </xdr:from>
        <xdr:to>
          <xdr:col>7</xdr:col>
          <xdr:colOff>142875</xdr:colOff>
          <xdr:row>32</xdr:row>
          <xdr:rowOff>0</xdr:rowOff>
        </xdr:to>
        <xdr:sp macro="" textlink="">
          <xdr:nvSpPr>
            <xdr:cNvPr id="206857" name="Spinner 9" hidden="1">
              <a:extLst>
                <a:ext uri="{63B3BB69-23CF-44E3-9099-C40C66FF867C}">
                  <a14:compatExt spid="_x0000_s206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06858" name="Spinner 10" hidden="1">
              <a:extLst>
                <a:ext uri="{63B3BB69-23CF-44E3-9099-C40C66FF867C}">
                  <a14:compatExt spid="_x0000_s206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06859" name="Spinner 11" hidden="1">
              <a:extLst>
                <a:ext uri="{63B3BB69-23CF-44E3-9099-C40C66FF867C}">
                  <a14:compatExt spid="_x0000_s206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06860" name="Spinner 12" hidden="1">
              <a:extLst>
                <a:ext uri="{63B3BB69-23CF-44E3-9099-C40C66FF867C}">
                  <a14:compatExt spid="_x0000_s206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06861" name="Spinner 13" hidden="1">
              <a:extLst>
                <a:ext uri="{63B3BB69-23CF-44E3-9099-C40C66FF867C}">
                  <a14:compatExt spid="_x0000_s206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06862" name="Spinner 14" hidden="1">
              <a:extLst>
                <a:ext uri="{63B3BB69-23CF-44E3-9099-C40C66FF867C}">
                  <a14:compatExt spid="_x0000_s206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06863" name="Spinner 15" hidden="1">
              <a:extLst>
                <a:ext uri="{63B3BB69-23CF-44E3-9099-C40C66FF867C}">
                  <a14:compatExt spid="_x0000_s206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28575</xdr:rowOff>
        </xdr:from>
        <xdr:to>
          <xdr:col>2</xdr:col>
          <xdr:colOff>390525</xdr:colOff>
          <xdr:row>21</xdr:row>
          <xdr:rowOff>47625</xdr:rowOff>
        </xdr:to>
        <xdr:sp macro="" textlink="">
          <xdr:nvSpPr>
            <xdr:cNvPr id="206864" name="Option Button 16" hidden="1">
              <a:extLst>
                <a:ext uri="{63B3BB69-23CF-44E3-9099-C40C66FF867C}">
                  <a14:compatExt spid="_x0000_s206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21</xdr:row>
          <xdr:rowOff>38100</xdr:rowOff>
        </xdr:from>
        <xdr:to>
          <xdr:col>2</xdr:col>
          <xdr:colOff>390525</xdr:colOff>
          <xdr:row>22</xdr:row>
          <xdr:rowOff>57150</xdr:rowOff>
        </xdr:to>
        <xdr:sp macro="" textlink="">
          <xdr:nvSpPr>
            <xdr:cNvPr id="206865" name="Option Button 17" hidden="1">
              <a:extLst>
                <a:ext uri="{63B3BB69-23CF-44E3-9099-C40C66FF867C}">
                  <a14:compatExt spid="_x0000_s20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20</xdr:row>
          <xdr:rowOff>9525</xdr:rowOff>
        </xdr:from>
        <xdr:to>
          <xdr:col>4</xdr:col>
          <xdr:colOff>809625</xdr:colOff>
          <xdr:row>21</xdr:row>
          <xdr:rowOff>0</xdr:rowOff>
        </xdr:to>
        <xdr:sp macro="" textlink="">
          <xdr:nvSpPr>
            <xdr:cNvPr id="206866" name="Spinner 18" hidden="1">
              <a:extLst>
                <a:ext uri="{63B3BB69-23CF-44E3-9099-C40C66FF867C}">
                  <a14:compatExt spid="_x0000_s206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20</xdr:row>
          <xdr:rowOff>9525</xdr:rowOff>
        </xdr:from>
        <xdr:to>
          <xdr:col>6</xdr:col>
          <xdr:colOff>809625</xdr:colOff>
          <xdr:row>21</xdr:row>
          <xdr:rowOff>0</xdr:rowOff>
        </xdr:to>
        <xdr:sp macro="" textlink="">
          <xdr:nvSpPr>
            <xdr:cNvPr id="206867" name="Spinner 19" hidden="1">
              <a:extLst>
                <a:ext uri="{63B3BB69-23CF-44E3-9099-C40C66FF867C}">
                  <a14:compatExt spid="_x0000_s206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714375</xdr:colOff>
          <xdr:row>17</xdr:row>
          <xdr:rowOff>9525</xdr:rowOff>
        </xdr:from>
        <xdr:to>
          <xdr:col>5</xdr:col>
          <xdr:colOff>9525</xdr:colOff>
          <xdr:row>18</xdr:row>
          <xdr:rowOff>0</xdr:rowOff>
        </xdr:to>
        <xdr:sp macro="" textlink="">
          <xdr:nvSpPr>
            <xdr:cNvPr id="206868" name="Spinner 20" hidden="1">
              <a:extLst>
                <a:ext uri="{63B3BB69-23CF-44E3-9099-C40C66FF867C}">
                  <a14:compatExt spid="_x0000_s206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49</xdr:row>
          <xdr:rowOff>180975</xdr:rowOff>
        </xdr:from>
        <xdr:to>
          <xdr:col>4</xdr:col>
          <xdr:colOff>647700</xdr:colOff>
          <xdr:row>51</xdr:row>
          <xdr:rowOff>0</xdr:rowOff>
        </xdr:to>
        <xdr:sp macro="" textlink="">
          <xdr:nvSpPr>
            <xdr:cNvPr id="206869" name="Option Button 21" hidden="1">
              <a:extLst>
                <a:ext uri="{63B3BB69-23CF-44E3-9099-C40C66FF867C}">
                  <a14:compatExt spid="_x0000_s206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171450</xdr:rowOff>
        </xdr:from>
        <xdr:to>
          <xdr:col>7</xdr:col>
          <xdr:colOff>209550</xdr:colOff>
          <xdr:row>50</xdr:row>
          <xdr:rowOff>190500</xdr:rowOff>
        </xdr:to>
        <xdr:sp macro="" textlink="">
          <xdr:nvSpPr>
            <xdr:cNvPr id="206870" name="Option Button 22" hidden="1">
              <a:extLst>
                <a:ext uri="{63B3BB69-23CF-44E3-9099-C40C66FF867C}">
                  <a14:compatExt spid="_x0000_s206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49</xdr:row>
          <xdr:rowOff>180975</xdr:rowOff>
        </xdr:from>
        <xdr:to>
          <xdr:col>9</xdr:col>
          <xdr:colOff>314325</xdr:colOff>
          <xdr:row>51</xdr:row>
          <xdr:rowOff>0</xdr:rowOff>
        </xdr:to>
        <xdr:sp macro="" textlink="">
          <xdr:nvSpPr>
            <xdr:cNvPr id="206871" name="Option Button 23" hidden="1">
              <a:extLst>
                <a:ext uri="{63B3BB69-23CF-44E3-9099-C40C66FF867C}">
                  <a14:compatExt spid="_x0000_s206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51</xdr:row>
          <xdr:rowOff>0</xdr:rowOff>
        </xdr:from>
        <xdr:to>
          <xdr:col>4</xdr:col>
          <xdr:colOff>809625</xdr:colOff>
          <xdr:row>51</xdr:row>
          <xdr:rowOff>190500</xdr:rowOff>
        </xdr:to>
        <xdr:sp macro="" textlink="">
          <xdr:nvSpPr>
            <xdr:cNvPr id="206872" name="Spinner 24" hidden="1">
              <a:extLst>
                <a:ext uri="{63B3BB69-23CF-44E3-9099-C40C66FF867C}">
                  <a14:compatExt spid="_x0000_s206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52</xdr:row>
          <xdr:rowOff>0</xdr:rowOff>
        </xdr:from>
        <xdr:to>
          <xdr:col>4</xdr:col>
          <xdr:colOff>809625</xdr:colOff>
          <xdr:row>52</xdr:row>
          <xdr:rowOff>190500</xdr:rowOff>
        </xdr:to>
        <xdr:sp macro="" textlink="">
          <xdr:nvSpPr>
            <xdr:cNvPr id="206873" name="Spinner 25" hidden="1">
              <a:extLst>
                <a:ext uri="{63B3BB69-23CF-44E3-9099-C40C66FF867C}">
                  <a14:compatExt spid="_x0000_s206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53</xdr:row>
          <xdr:rowOff>0</xdr:rowOff>
        </xdr:from>
        <xdr:to>
          <xdr:col>4</xdr:col>
          <xdr:colOff>809625</xdr:colOff>
          <xdr:row>53</xdr:row>
          <xdr:rowOff>190500</xdr:rowOff>
        </xdr:to>
        <xdr:sp macro="" textlink="">
          <xdr:nvSpPr>
            <xdr:cNvPr id="206874" name="Spinner 26" hidden="1">
              <a:extLst>
                <a:ext uri="{63B3BB69-23CF-44E3-9099-C40C66FF867C}">
                  <a14:compatExt spid="_x0000_s206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54</xdr:row>
          <xdr:rowOff>0</xdr:rowOff>
        </xdr:from>
        <xdr:to>
          <xdr:col>4</xdr:col>
          <xdr:colOff>809625</xdr:colOff>
          <xdr:row>54</xdr:row>
          <xdr:rowOff>190500</xdr:rowOff>
        </xdr:to>
        <xdr:sp macro="" textlink="">
          <xdr:nvSpPr>
            <xdr:cNvPr id="206875" name="Spinner 27" hidden="1">
              <a:extLst>
                <a:ext uri="{63B3BB69-23CF-44E3-9099-C40C66FF867C}">
                  <a14:compatExt spid="_x0000_s206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55</xdr:row>
          <xdr:rowOff>0</xdr:rowOff>
        </xdr:from>
        <xdr:to>
          <xdr:col>4</xdr:col>
          <xdr:colOff>809625</xdr:colOff>
          <xdr:row>55</xdr:row>
          <xdr:rowOff>190500</xdr:rowOff>
        </xdr:to>
        <xdr:sp macro="" textlink="">
          <xdr:nvSpPr>
            <xdr:cNvPr id="206876" name="Spinner 28" hidden="1">
              <a:extLst>
                <a:ext uri="{63B3BB69-23CF-44E3-9099-C40C66FF867C}">
                  <a14:compatExt spid="_x0000_s206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56</xdr:row>
          <xdr:rowOff>0</xdr:rowOff>
        </xdr:from>
        <xdr:to>
          <xdr:col>4</xdr:col>
          <xdr:colOff>809625</xdr:colOff>
          <xdr:row>56</xdr:row>
          <xdr:rowOff>190500</xdr:rowOff>
        </xdr:to>
        <xdr:sp macro="" textlink="">
          <xdr:nvSpPr>
            <xdr:cNvPr id="206877" name="Spinner 29" hidden="1">
              <a:extLst>
                <a:ext uri="{63B3BB69-23CF-44E3-9099-C40C66FF867C}">
                  <a14:compatExt spid="_x0000_s20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704850</xdr:colOff>
          <xdr:row>57</xdr:row>
          <xdr:rowOff>0</xdr:rowOff>
        </xdr:from>
        <xdr:to>
          <xdr:col>7</xdr:col>
          <xdr:colOff>0</xdr:colOff>
          <xdr:row>57</xdr:row>
          <xdr:rowOff>190500</xdr:rowOff>
        </xdr:to>
        <xdr:sp macro="" textlink="">
          <xdr:nvSpPr>
            <xdr:cNvPr id="206878" name="Spinner 30" hidden="1">
              <a:extLst>
                <a:ext uri="{63B3BB69-23CF-44E3-9099-C40C66FF867C}">
                  <a14:compatExt spid="_x0000_s206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51</xdr:row>
          <xdr:rowOff>0</xdr:rowOff>
        </xdr:from>
        <xdr:to>
          <xdr:col>8</xdr:col>
          <xdr:colOff>819150</xdr:colOff>
          <xdr:row>51</xdr:row>
          <xdr:rowOff>190500</xdr:rowOff>
        </xdr:to>
        <xdr:sp macro="" textlink="">
          <xdr:nvSpPr>
            <xdr:cNvPr id="206879" name="Spinner 31" hidden="1">
              <a:extLst>
                <a:ext uri="{63B3BB69-23CF-44E3-9099-C40C66FF867C}">
                  <a14:compatExt spid="_x0000_s206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52</xdr:row>
          <xdr:rowOff>0</xdr:rowOff>
        </xdr:from>
        <xdr:to>
          <xdr:col>8</xdr:col>
          <xdr:colOff>819150</xdr:colOff>
          <xdr:row>52</xdr:row>
          <xdr:rowOff>190500</xdr:rowOff>
        </xdr:to>
        <xdr:sp macro="" textlink="">
          <xdr:nvSpPr>
            <xdr:cNvPr id="206880" name="Spinner 32" hidden="1">
              <a:extLst>
                <a:ext uri="{63B3BB69-23CF-44E3-9099-C40C66FF867C}">
                  <a14:compatExt spid="_x0000_s206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58</xdr:row>
          <xdr:rowOff>0</xdr:rowOff>
        </xdr:from>
        <xdr:to>
          <xdr:col>8</xdr:col>
          <xdr:colOff>819150</xdr:colOff>
          <xdr:row>58</xdr:row>
          <xdr:rowOff>190500</xdr:rowOff>
        </xdr:to>
        <xdr:sp macro="" textlink="">
          <xdr:nvSpPr>
            <xdr:cNvPr id="206881" name="Spinner 33" hidden="1">
              <a:extLst>
                <a:ext uri="{63B3BB69-23CF-44E3-9099-C40C66FF867C}">
                  <a14:compatExt spid="_x0000_s206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17</xdr:row>
          <xdr:rowOff>180975</xdr:rowOff>
        </xdr:from>
        <xdr:to>
          <xdr:col>2</xdr:col>
          <xdr:colOff>781050</xdr:colOff>
          <xdr:row>19</xdr:row>
          <xdr:rowOff>0</xdr:rowOff>
        </xdr:to>
        <xdr:sp macro="" textlink="">
          <xdr:nvSpPr>
            <xdr:cNvPr id="206882" name="Option Button 34" hidden="1">
              <a:extLst>
                <a:ext uri="{63B3BB69-23CF-44E3-9099-C40C66FF867C}">
                  <a14:compatExt spid="_x0000_s206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17</xdr:row>
          <xdr:rowOff>180975</xdr:rowOff>
        </xdr:from>
        <xdr:to>
          <xdr:col>3</xdr:col>
          <xdr:colOff>333375</xdr:colOff>
          <xdr:row>19</xdr:row>
          <xdr:rowOff>0</xdr:rowOff>
        </xdr:to>
        <xdr:sp macro="" textlink="">
          <xdr:nvSpPr>
            <xdr:cNvPr id="206883" name="Option Button 35" hidden="1">
              <a:extLst>
                <a:ext uri="{63B3BB69-23CF-44E3-9099-C40C66FF867C}">
                  <a14:compatExt spid="_x0000_s206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31</xdr:row>
          <xdr:rowOff>0</xdr:rowOff>
        </xdr:from>
        <xdr:to>
          <xdr:col>5</xdr:col>
          <xdr:colOff>609600</xdr:colOff>
          <xdr:row>32</xdr:row>
          <xdr:rowOff>0</xdr:rowOff>
        </xdr:to>
        <xdr:sp macro="" textlink="">
          <xdr:nvSpPr>
            <xdr:cNvPr id="206884" name="Drop Down 36" hidden="1">
              <a:extLst>
                <a:ext uri="{63B3BB69-23CF-44E3-9099-C40C66FF867C}">
                  <a14:compatExt spid="_x0000_s206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32</xdr:row>
          <xdr:rowOff>0</xdr:rowOff>
        </xdr:from>
        <xdr:to>
          <xdr:col>5</xdr:col>
          <xdr:colOff>609600</xdr:colOff>
          <xdr:row>33</xdr:row>
          <xdr:rowOff>0</xdr:rowOff>
        </xdr:to>
        <xdr:sp macro="" textlink="">
          <xdr:nvSpPr>
            <xdr:cNvPr id="206885" name="Drop Down 37" hidden="1">
              <a:extLst>
                <a:ext uri="{63B3BB69-23CF-44E3-9099-C40C66FF867C}">
                  <a14:compatExt spid="_x0000_s206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33</xdr:row>
          <xdr:rowOff>0</xdr:rowOff>
        </xdr:from>
        <xdr:to>
          <xdr:col>5</xdr:col>
          <xdr:colOff>609600</xdr:colOff>
          <xdr:row>34</xdr:row>
          <xdr:rowOff>0</xdr:rowOff>
        </xdr:to>
        <xdr:sp macro="" textlink="">
          <xdr:nvSpPr>
            <xdr:cNvPr id="206886" name="Drop Down 38" hidden="1">
              <a:extLst>
                <a:ext uri="{63B3BB69-23CF-44E3-9099-C40C66FF867C}">
                  <a14:compatExt spid="_x0000_s206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34</xdr:row>
          <xdr:rowOff>0</xdr:rowOff>
        </xdr:from>
        <xdr:to>
          <xdr:col>5</xdr:col>
          <xdr:colOff>609600</xdr:colOff>
          <xdr:row>35</xdr:row>
          <xdr:rowOff>0</xdr:rowOff>
        </xdr:to>
        <xdr:sp macro="" textlink="">
          <xdr:nvSpPr>
            <xdr:cNvPr id="206887" name="Drop Down 39" hidden="1">
              <a:extLst>
                <a:ext uri="{63B3BB69-23CF-44E3-9099-C40C66FF867C}">
                  <a14:compatExt spid="_x0000_s206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35</xdr:row>
          <xdr:rowOff>0</xdr:rowOff>
        </xdr:from>
        <xdr:to>
          <xdr:col>5</xdr:col>
          <xdr:colOff>609600</xdr:colOff>
          <xdr:row>36</xdr:row>
          <xdr:rowOff>0</xdr:rowOff>
        </xdr:to>
        <xdr:sp macro="" textlink="">
          <xdr:nvSpPr>
            <xdr:cNvPr id="206888" name="Drop Down 40" hidden="1">
              <a:extLst>
                <a:ext uri="{63B3BB69-23CF-44E3-9099-C40C66FF867C}">
                  <a14:compatExt spid="_x0000_s206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36</xdr:row>
          <xdr:rowOff>0</xdr:rowOff>
        </xdr:from>
        <xdr:to>
          <xdr:col>5</xdr:col>
          <xdr:colOff>609600</xdr:colOff>
          <xdr:row>37</xdr:row>
          <xdr:rowOff>0</xdr:rowOff>
        </xdr:to>
        <xdr:sp macro="" textlink="">
          <xdr:nvSpPr>
            <xdr:cNvPr id="206889" name="Drop Down 41" hidden="1">
              <a:extLst>
                <a:ext uri="{63B3BB69-23CF-44E3-9099-C40C66FF867C}">
                  <a14:compatExt spid="_x0000_s206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31</xdr:row>
          <xdr:rowOff>0</xdr:rowOff>
        </xdr:from>
        <xdr:to>
          <xdr:col>4</xdr:col>
          <xdr:colOff>276225</xdr:colOff>
          <xdr:row>31</xdr:row>
          <xdr:rowOff>190500</xdr:rowOff>
        </xdr:to>
        <xdr:sp macro="" textlink="">
          <xdr:nvSpPr>
            <xdr:cNvPr id="206890" name="Spinner 42" hidden="1">
              <a:extLst>
                <a:ext uri="{63B3BB69-23CF-44E3-9099-C40C66FF867C}">
                  <a14:compatExt spid="_x0000_s206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32</xdr:row>
          <xdr:rowOff>0</xdr:rowOff>
        </xdr:from>
        <xdr:to>
          <xdr:col>4</xdr:col>
          <xdr:colOff>276225</xdr:colOff>
          <xdr:row>32</xdr:row>
          <xdr:rowOff>190500</xdr:rowOff>
        </xdr:to>
        <xdr:sp macro="" textlink="">
          <xdr:nvSpPr>
            <xdr:cNvPr id="206891" name="Spinner 43" hidden="1">
              <a:extLst>
                <a:ext uri="{63B3BB69-23CF-44E3-9099-C40C66FF867C}">
                  <a14:compatExt spid="_x0000_s206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33</xdr:row>
          <xdr:rowOff>0</xdr:rowOff>
        </xdr:from>
        <xdr:to>
          <xdr:col>4</xdr:col>
          <xdr:colOff>276225</xdr:colOff>
          <xdr:row>33</xdr:row>
          <xdr:rowOff>190500</xdr:rowOff>
        </xdr:to>
        <xdr:sp macro="" textlink="">
          <xdr:nvSpPr>
            <xdr:cNvPr id="206892" name="Spinner 44" hidden="1">
              <a:extLst>
                <a:ext uri="{63B3BB69-23CF-44E3-9099-C40C66FF867C}">
                  <a14:compatExt spid="_x0000_s206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34</xdr:row>
          <xdr:rowOff>0</xdr:rowOff>
        </xdr:from>
        <xdr:to>
          <xdr:col>4</xdr:col>
          <xdr:colOff>276225</xdr:colOff>
          <xdr:row>34</xdr:row>
          <xdr:rowOff>190500</xdr:rowOff>
        </xdr:to>
        <xdr:sp macro="" textlink="">
          <xdr:nvSpPr>
            <xdr:cNvPr id="206893" name="Spinner 45" hidden="1">
              <a:extLst>
                <a:ext uri="{63B3BB69-23CF-44E3-9099-C40C66FF867C}">
                  <a14:compatExt spid="_x0000_s206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35</xdr:row>
          <xdr:rowOff>0</xdr:rowOff>
        </xdr:from>
        <xdr:to>
          <xdr:col>4</xdr:col>
          <xdr:colOff>276225</xdr:colOff>
          <xdr:row>35</xdr:row>
          <xdr:rowOff>190500</xdr:rowOff>
        </xdr:to>
        <xdr:sp macro="" textlink="">
          <xdr:nvSpPr>
            <xdr:cNvPr id="206894" name="Spinner 46" hidden="1">
              <a:extLst>
                <a:ext uri="{63B3BB69-23CF-44E3-9099-C40C66FF867C}">
                  <a14:compatExt spid="_x0000_s206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36</xdr:row>
          <xdr:rowOff>0</xdr:rowOff>
        </xdr:from>
        <xdr:to>
          <xdr:col>4</xdr:col>
          <xdr:colOff>276225</xdr:colOff>
          <xdr:row>36</xdr:row>
          <xdr:rowOff>190500</xdr:rowOff>
        </xdr:to>
        <xdr:sp macro="" textlink="">
          <xdr:nvSpPr>
            <xdr:cNvPr id="206895" name="Spinner 47" hidden="1">
              <a:extLst>
                <a:ext uri="{63B3BB69-23CF-44E3-9099-C40C66FF867C}">
                  <a14:compatExt spid="_x0000_s206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37</xdr:row>
          <xdr:rowOff>0</xdr:rowOff>
        </xdr:from>
        <xdr:to>
          <xdr:col>4</xdr:col>
          <xdr:colOff>276225</xdr:colOff>
          <xdr:row>37</xdr:row>
          <xdr:rowOff>190500</xdr:rowOff>
        </xdr:to>
        <xdr:sp macro="" textlink="">
          <xdr:nvSpPr>
            <xdr:cNvPr id="206896" name="Spinner 48" hidden="1">
              <a:extLst>
                <a:ext uri="{63B3BB69-23CF-44E3-9099-C40C66FF867C}">
                  <a14:compatExt spid="_x0000_s206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30</xdr:row>
          <xdr:rowOff>85725</xdr:rowOff>
        </xdr:from>
        <xdr:to>
          <xdr:col>3</xdr:col>
          <xdr:colOff>133350</xdr:colOff>
          <xdr:row>31</xdr:row>
          <xdr:rowOff>180975</xdr:rowOff>
        </xdr:to>
        <xdr:sp macro="" textlink="">
          <xdr:nvSpPr>
            <xdr:cNvPr id="206897" name="Spinner 49" hidden="1">
              <a:extLst>
                <a:ext uri="{63B3BB69-23CF-44E3-9099-C40C66FF867C}">
                  <a14:compatExt spid="_x0000_s206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31</xdr:row>
          <xdr:rowOff>190500</xdr:rowOff>
        </xdr:from>
        <xdr:to>
          <xdr:col>3</xdr:col>
          <xdr:colOff>133350</xdr:colOff>
          <xdr:row>32</xdr:row>
          <xdr:rowOff>180975</xdr:rowOff>
        </xdr:to>
        <xdr:sp macro="" textlink="">
          <xdr:nvSpPr>
            <xdr:cNvPr id="206898" name="Spinner 50" hidden="1">
              <a:extLst>
                <a:ext uri="{63B3BB69-23CF-44E3-9099-C40C66FF867C}">
                  <a14:compatExt spid="_x0000_s206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32</xdr:row>
          <xdr:rowOff>190500</xdr:rowOff>
        </xdr:from>
        <xdr:to>
          <xdr:col>3</xdr:col>
          <xdr:colOff>133350</xdr:colOff>
          <xdr:row>33</xdr:row>
          <xdr:rowOff>180975</xdr:rowOff>
        </xdr:to>
        <xdr:sp macro="" textlink="">
          <xdr:nvSpPr>
            <xdr:cNvPr id="206899" name="Spinner 51" hidden="1">
              <a:extLst>
                <a:ext uri="{63B3BB69-23CF-44E3-9099-C40C66FF867C}">
                  <a14:compatExt spid="_x0000_s206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33</xdr:row>
          <xdr:rowOff>190500</xdr:rowOff>
        </xdr:from>
        <xdr:to>
          <xdr:col>3</xdr:col>
          <xdr:colOff>133350</xdr:colOff>
          <xdr:row>34</xdr:row>
          <xdr:rowOff>180975</xdr:rowOff>
        </xdr:to>
        <xdr:sp macro="" textlink="">
          <xdr:nvSpPr>
            <xdr:cNvPr id="206900" name="Spinner 52" hidden="1">
              <a:extLst>
                <a:ext uri="{63B3BB69-23CF-44E3-9099-C40C66FF867C}">
                  <a14:compatExt spid="_x0000_s206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34</xdr:row>
          <xdr:rowOff>190500</xdr:rowOff>
        </xdr:from>
        <xdr:to>
          <xdr:col>3</xdr:col>
          <xdr:colOff>133350</xdr:colOff>
          <xdr:row>35</xdr:row>
          <xdr:rowOff>180975</xdr:rowOff>
        </xdr:to>
        <xdr:sp macro="" textlink="">
          <xdr:nvSpPr>
            <xdr:cNvPr id="206901" name="Spinner 53" hidden="1">
              <a:extLst>
                <a:ext uri="{63B3BB69-23CF-44E3-9099-C40C66FF867C}">
                  <a14:compatExt spid="_x0000_s206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35</xdr:row>
          <xdr:rowOff>190500</xdr:rowOff>
        </xdr:from>
        <xdr:to>
          <xdr:col>3</xdr:col>
          <xdr:colOff>133350</xdr:colOff>
          <xdr:row>36</xdr:row>
          <xdr:rowOff>180975</xdr:rowOff>
        </xdr:to>
        <xdr:sp macro="" textlink="">
          <xdr:nvSpPr>
            <xdr:cNvPr id="206902" name="Spinner 54" hidden="1">
              <a:extLst>
                <a:ext uri="{63B3BB69-23CF-44E3-9099-C40C66FF867C}">
                  <a14:compatExt spid="_x0000_s206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36</xdr:row>
          <xdr:rowOff>190500</xdr:rowOff>
        </xdr:from>
        <xdr:to>
          <xdr:col>3</xdr:col>
          <xdr:colOff>133350</xdr:colOff>
          <xdr:row>37</xdr:row>
          <xdr:rowOff>180975</xdr:rowOff>
        </xdr:to>
        <xdr:sp macro="" textlink="">
          <xdr:nvSpPr>
            <xdr:cNvPr id="206903" name="Spinner 55" hidden="1">
              <a:extLst>
                <a:ext uri="{63B3BB69-23CF-44E3-9099-C40C66FF867C}">
                  <a14:compatExt spid="_x0000_s206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19</xdr:row>
          <xdr:rowOff>152400</xdr:rowOff>
        </xdr:from>
        <xdr:to>
          <xdr:col>2</xdr:col>
          <xdr:colOff>723900</xdr:colOff>
          <xdr:row>22</xdr:row>
          <xdr:rowOff>114300</xdr:rowOff>
        </xdr:to>
        <xdr:sp macro="" textlink="">
          <xdr:nvSpPr>
            <xdr:cNvPr id="206904" name="Group Box 56" hidden="1">
              <a:extLst>
                <a:ext uri="{63B3BB69-23CF-44E3-9099-C40C66FF867C}">
                  <a14:compatExt spid="_x0000_s206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49</xdr:row>
          <xdr:rowOff>76200</xdr:rowOff>
        </xdr:from>
        <xdr:to>
          <xdr:col>9</xdr:col>
          <xdr:colOff>447675</xdr:colOff>
          <xdr:row>51</xdr:row>
          <xdr:rowOff>0</xdr:rowOff>
        </xdr:to>
        <xdr:sp macro="" textlink="">
          <xdr:nvSpPr>
            <xdr:cNvPr id="206905" name="Group Box 57" hidden="1">
              <a:extLst>
                <a:ext uri="{63B3BB69-23CF-44E3-9099-C40C66FF867C}">
                  <a14:compatExt spid="_x0000_s206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29</xdr:row>
          <xdr:rowOff>0</xdr:rowOff>
        </xdr:from>
        <xdr:to>
          <xdr:col>9</xdr:col>
          <xdr:colOff>600075</xdr:colOff>
          <xdr:row>30</xdr:row>
          <xdr:rowOff>19050</xdr:rowOff>
        </xdr:to>
        <xdr:sp macro="" textlink="">
          <xdr:nvSpPr>
            <xdr:cNvPr id="206906" name="Check Box 58" hidden="1">
              <a:extLst>
                <a:ext uri="{63B3BB69-23CF-44E3-9099-C40C66FF867C}">
                  <a14:compatExt spid="_x0000_s206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31</xdr:row>
          <xdr:rowOff>0</xdr:rowOff>
        </xdr:from>
        <xdr:to>
          <xdr:col>9</xdr:col>
          <xdr:colOff>600075</xdr:colOff>
          <xdr:row>32</xdr:row>
          <xdr:rowOff>19050</xdr:rowOff>
        </xdr:to>
        <xdr:sp macro="" textlink="">
          <xdr:nvSpPr>
            <xdr:cNvPr id="206907" name="Check Box 59" hidden="1">
              <a:extLst>
                <a:ext uri="{63B3BB69-23CF-44E3-9099-C40C66FF867C}">
                  <a14:compatExt spid="_x0000_s206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32</xdr:row>
          <xdr:rowOff>0</xdr:rowOff>
        </xdr:from>
        <xdr:to>
          <xdr:col>9</xdr:col>
          <xdr:colOff>600075</xdr:colOff>
          <xdr:row>33</xdr:row>
          <xdr:rowOff>19050</xdr:rowOff>
        </xdr:to>
        <xdr:sp macro="" textlink="">
          <xdr:nvSpPr>
            <xdr:cNvPr id="206908" name="Check Box 60" hidden="1">
              <a:extLst>
                <a:ext uri="{63B3BB69-23CF-44E3-9099-C40C66FF867C}">
                  <a14:compatExt spid="_x0000_s206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33</xdr:row>
          <xdr:rowOff>0</xdr:rowOff>
        </xdr:from>
        <xdr:to>
          <xdr:col>9</xdr:col>
          <xdr:colOff>600075</xdr:colOff>
          <xdr:row>34</xdr:row>
          <xdr:rowOff>19050</xdr:rowOff>
        </xdr:to>
        <xdr:sp macro="" textlink="">
          <xdr:nvSpPr>
            <xdr:cNvPr id="206909" name="Check Box 61" hidden="1">
              <a:extLst>
                <a:ext uri="{63B3BB69-23CF-44E3-9099-C40C66FF867C}">
                  <a14:compatExt spid="_x0000_s206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34</xdr:row>
          <xdr:rowOff>0</xdr:rowOff>
        </xdr:from>
        <xdr:to>
          <xdr:col>9</xdr:col>
          <xdr:colOff>600075</xdr:colOff>
          <xdr:row>35</xdr:row>
          <xdr:rowOff>19050</xdr:rowOff>
        </xdr:to>
        <xdr:sp macro="" textlink="">
          <xdr:nvSpPr>
            <xdr:cNvPr id="206910" name="Check Box 62" hidden="1">
              <a:extLst>
                <a:ext uri="{63B3BB69-23CF-44E3-9099-C40C66FF867C}">
                  <a14:compatExt spid="_x0000_s206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35</xdr:row>
          <xdr:rowOff>0</xdr:rowOff>
        </xdr:from>
        <xdr:to>
          <xdr:col>9</xdr:col>
          <xdr:colOff>600075</xdr:colOff>
          <xdr:row>36</xdr:row>
          <xdr:rowOff>19050</xdr:rowOff>
        </xdr:to>
        <xdr:sp macro="" textlink="">
          <xdr:nvSpPr>
            <xdr:cNvPr id="206911" name="Check Box 63" hidden="1">
              <a:extLst>
                <a:ext uri="{63B3BB69-23CF-44E3-9099-C40C66FF867C}">
                  <a14:compatExt spid="_x0000_s206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36</xdr:row>
          <xdr:rowOff>0</xdr:rowOff>
        </xdr:from>
        <xdr:to>
          <xdr:col>9</xdr:col>
          <xdr:colOff>600075</xdr:colOff>
          <xdr:row>37</xdr:row>
          <xdr:rowOff>19050</xdr:rowOff>
        </xdr:to>
        <xdr:sp macro="" textlink="">
          <xdr:nvSpPr>
            <xdr:cNvPr id="206912" name="Check Box 64" hidden="1">
              <a:extLst>
                <a:ext uri="{63B3BB69-23CF-44E3-9099-C40C66FF867C}">
                  <a14:compatExt spid="_x0000_s206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37</xdr:row>
          <xdr:rowOff>0</xdr:rowOff>
        </xdr:from>
        <xdr:to>
          <xdr:col>9</xdr:col>
          <xdr:colOff>600075</xdr:colOff>
          <xdr:row>38</xdr:row>
          <xdr:rowOff>19050</xdr:rowOff>
        </xdr:to>
        <xdr:sp macro="" textlink="">
          <xdr:nvSpPr>
            <xdr:cNvPr id="206913" name="Check Box 65" hidden="1">
              <a:extLst>
                <a:ext uri="{63B3BB69-23CF-44E3-9099-C40C66FF867C}">
                  <a14:compatExt spid="_x0000_s206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190500</xdr:colOff>
          <xdr:row>39</xdr:row>
          <xdr:rowOff>0</xdr:rowOff>
        </xdr:to>
        <xdr:sp macro="" textlink="">
          <xdr:nvSpPr>
            <xdr:cNvPr id="206914" name="Drop Down 66" hidden="1">
              <a:extLst>
                <a:ext uri="{63B3BB69-23CF-44E3-9099-C40C66FF867C}">
                  <a14:compatExt spid="_x0000_s206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06915" name="Spinner 67" hidden="1">
              <a:extLst>
                <a:ext uri="{63B3BB69-23CF-44E3-9099-C40C66FF867C}">
                  <a14:compatExt spid="_x0000_s206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37</xdr:row>
          <xdr:rowOff>0</xdr:rowOff>
        </xdr:from>
        <xdr:to>
          <xdr:col>5</xdr:col>
          <xdr:colOff>609600</xdr:colOff>
          <xdr:row>38</xdr:row>
          <xdr:rowOff>0</xdr:rowOff>
        </xdr:to>
        <xdr:sp macro="" textlink="">
          <xdr:nvSpPr>
            <xdr:cNvPr id="206916" name="Drop Down 68" hidden="1">
              <a:extLst>
                <a:ext uri="{63B3BB69-23CF-44E3-9099-C40C66FF867C}">
                  <a14:compatExt spid="_x0000_s206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38</xdr:row>
          <xdr:rowOff>0</xdr:rowOff>
        </xdr:from>
        <xdr:to>
          <xdr:col>4</xdr:col>
          <xdr:colOff>276225</xdr:colOff>
          <xdr:row>38</xdr:row>
          <xdr:rowOff>190500</xdr:rowOff>
        </xdr:to>
        <xdr:sp macro="" textlink="">
          <xdr:nvSpPr>
            <xdr:cNvPr id="206917" name="Spinner 69" hidden="1">
              <a:extLst>
                <a:ext uri="{63B3BB69-23CF-44E3-9099-C40C66FF867C}">
                  <a14:compatExt spid="_x0000_s206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37</xdr:row>
          <xdr:rowOff>190500</xdr:rowOff>
        </xdr:from>
        <xdr:to>
          <xdr:col>3</xdr:col>
          <xdr:colOff>133350</xdr:colOff>
          <xdr:row>38</xdr:row>
          <xdr:rowOff>180975</xdr:rowOff>
        </xdr:to>
        <xdr:sp macro="" textlink="">
          <xdr:nvSpPr>
            <xdr:cNvPr id="206918" name="Spinner 70" hidden="1">
              <a:extLst>
                <a:ext uri="{63B3BB69-23CF-44E3-9099-C40C66FF867C}">
                  <a14:compatExt spid="_x0000_s206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37</xdr:row>
          <xdr:rowOff>0</xdr:rowOff>
        </xdr:from>
        <xdr:to>
          <xdr:col>9</xdr:col>
          <xdr:colOff>600075</xdr:colOff>
          <xdr:row>38</xdr:row>
          <xdr:rowOff>19050</xdr:rowOff>
        </xdr:to>
        <xdr:sp macro="" textlink="">
          <xdr:nvSpPr>
            <xdr:cNvPr id="206919" name="Check Box 71" hidden="1">
              <a:extLst>
                <a:ext uri="{63B3BB69-23CF-44E3-9099-C40C66FF867C}">
                  <a14:compatExt spid="_x0000_s206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38</xdr:row>
          <xdr:rowOff>0</xdr:rowOff>
        </xdr:from>
        <xdr:to>
          <xdr:col>9</xdr:col>
          <xdr:colOff>600075</xdr:colOff>
          <xdr:row>39</xdr:row>
          <xdr:rowOff>19050</xdr:rowOff>
        </xdr:to>
        <xdr:sp macro="" textlink="">
          <xdr:nvSpPr>
            <xdr:cNvPr id="206920" name="Check Box 72" hidden="1">
              <a:extLst>
                <a:ext uri="{63B3BB69-23CF-44E3-9099-C40C66FF867C}">
                  <a14:compatExt spid="_x0000_s206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06921" name="Spinner 73" hidden="1">
              <a:extLst>
                <a:ext uri="{63B3BB69-23CF-44E3-9099-C40C66FF867C}">
                  <a14:compatExt spid="_x0000_s206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38</xdr:row>
          <xdr:rowOff>0</xdr:rowOff>
        </xdr:from>
        <xdr:to>
          <xdr:col>5</xdr:col>
          <xdr:colOff>609600</xdr:colOff>
          <xdr:row>39</xdr:row>
          <xdr:rowOff>0</xdr:rowOff>
        </xdr:to>
        <xdr:sp macro="" textlink="">
          <xdr:nvSpPr>
            <xdr:cNvPr id="206922" name="Drop Down 74" hidden="1">
              <a:extLst>
                <a:ext uri="{63B3BB69-23CF-44E3-9099-C40C66FF867C}">
                  <a14:compatExt spid="_x0000_s206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39</xdr:row>
          <xdr:rowOff>0</xdr:rowOff>
        </xdr:from>
        <xdr:to>
          <xdr:col>5</xdr:col>
          <xdr:colOff>609600</xdr:colOff>
          <xdr:row>40</xdr:row>
          <xdr:rowOff>0</xdr:rowOff>
        </xdr:to>
        <xdr:sp macro="" textlink="">
          <xdr:nvSpPr>
            <xdr:cNvPr id="206923" name="Drop Down 75" hidden="1">
              <a:extLst>
                <a:ext uri="{63B3BB69-23CF-44E3-9099-C40C66FF867C}">
                  <a14:compatExt spid="_x0000_s206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38</xdr:row>
          <xdr:rowOff>0</xdr:rowOff>
        </xdr:from>
        <xdr:to>
          <xdr:col>9</xdr:col>
          <xdr:colOff>600075</xdr:colOff>
          <xdr:row>39</xdr:row>
          <xdr:rowOff>19050</xdr:rowOff>
        </xdr:to>
        <xdr:sp macro="" textlink="">
          <xdr:nvSpPr>
            <xdr:cNvPr id="206924" name="Check Box 76" hidden="1">
              <a:extLst>
                <a:ext uri="{63B3BB69-23CF-44E3-9099-C40C66FF867C}">
                  <a14:compatExt spid="_x0000_s206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39</xdr:row>
          <xdr:rowOff>0</xdr:rowOff>
        </xdr:from>
        <xdr:to>
          <xdr:col>9</xdr:col>
          <xdr:colOff>600075</xdr:colOff>
          <xdr:row>40</xdr:row>
          <xdr:rowOff>19050</xdr:rowOff>
        </xdr:to>
        <xdr:sp macro="" textlink="">
          <xdr:nvSpPr>
            <xdr:cNvPr id="206925" name="Check Box 77" hidden="1">
              <a:extLst>
                <a:ext uri="{63B3BB69-23CF-44E3-9099-C40C66FF867C}">
                  <a14:compatExt spid="_x0000_s206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695325</xdr:colOff>
          <xdr:row>47</xdr:row>
          <xdr:rowOff>0</xdr:rowOff>
        </xdr:from>
        <xdr:to>
          <xdr:col>4</xdr:col>
          <xdr:colOff>819150</xdr:colOff>
          <xdr:row>47</xdr:row>
          <xdr:rowOff>190500</xdr:rowOff>
        </xdr:to>
        <xdr:sp macro="" textlink="">
          <xdr:nvSpPr>
            <xdr:cNvPr id="206926" name="Spinner 78" hidden="1">
              <a:extLst>
                <a:ext uri="{63B3BB69-23CF-44E3-9099-C40C66FF867C}">
                  <a14:compatExt spid="_x0000_s206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59</xdr:row>
          <xdr:rowOff>38100</xdr:rowOff>
        </xdr:from>
        <xdr:to>
          <xdr:col>2</xdr:col>
          <xdr:colOff>190500</xdr:colOff>
          <xdr:row>59</xdr:row>
          <xdr:rowOff>238125</xdr:rowOff>
        </xdr:to>
        <xdr:sp macro="" textlink="">
          <xdr:nvSpPr>
            <xdr:cNvPr id="206927" name="Drop Down 79" hidden="1">
              <a:extLst>
                <a:ext uri="{63B3BB69-23CF-44E3-9099-C40C66FF867C}">
                  <a14:compatExt spid="_x0000_s206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685800</xdr:colOff>
          <xdr:row>12</xdr:row>
          <xdr:rowOff>9525</xdr:rowOff>
        </xdr:from>
        <xdr:to>
          <xdr:col>7</xdr:col>
          <xdr:colOff>809625</xdr:colOff>
          <xdr:row>13</xdr:row>
          <xdr:rowOff>0</xdr:rowOff>
        </xdr:to>
        <xdr:sp macro="" textlink="">
          <xdr:nvSpPr>
            <xdr:cNvPr id="206928" name="Spinner 80" hidden="1">
              <a:extLst>
                <a:ext uri="{63B3BB69-23CF-44E3-9099-C40C66FF867C}">
                  <a14:compatExt spid="_x0000_s206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12</xdr:row>
          <xdr:rowOff>9525</xdr:rowOff>
        </xdr:from>
        <xdr:to>
          <xdr:col>9</xdr:col>
          <xdr:colOff>809625</xdr:colOff>
          <xdr:row>13</xdr:row>
          <xdr:rowOff>0</xdr:rowOff>
        </xdr:to>
        <xdr:sp macro="" textlink="">
          <xdr:nvSpPr>
            <xdr:cNvPr id="206929" name="Spinner 81" hidden="1">
              <a:extLst>
                <a:ext uri="{63B3BB69-23CF-44E3-9099-C40C66FF867C}">
                  <a14:compatExt spid="_x0000_s206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23</xdr:row>
          <xdr:rowOff>180975</xdr:rowOff>
        </xdr:from>
        <xdr:to>
          <xdr:col>9</xdr:col>
          <xdr:colOff>590550</xdr:colOff>
          <xdr:row>24</xdr:row>
          <xdr:rowOff>180975</xdr:rowOff>
        </xdr:to>
        <xdr:sp macro="" textlink="">
          <xdr:nvSpPr>
            <xdr:cNvPr id="206930" name="Drop Down 82" hidden="1">
              <a:extLst>
                <a:ext uri="{63B3BB69-23CF-44E3-9099-C40C66FF867C}">
                  <a14:compatExt spid="_x0000_s206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25</xdr:row>
          <xdr:rowOff>9525</xdr:rowOff>
        </xdr:from>
        <xdr:to>
          <xdr:col>9</xdr:col>
          <xdr:colOff>600075</xdr:colOff>
          <xdr:row>26</xdr:row>
          <xdr:rowOff>9525</xdr:rowOff>
        </xdr:to>
        <xdr:sp macro="" textlink="">
          <xdr:nvSpPr>
            <xdr:cNvPr id="206931" name="Drop Down 83" hidden="1">
              <a:extLst>
                <a:ext uri="{63B3BB69-23CF-44E3-9099-C40C66FF867C}">
                  <a14:compatExt spid="_x0000_s206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20</xdr:row>
          <xdr:rowOff>9525</xdr:rowOff>
        </xdr:from>
        <xdr:to>
          <xdr:col>10</xdr:col>
          <xdr:colOff>685800</xdr:colOff>
          <xdr:row>21</xdr:row>
          <xdr:rowOff>9525</xdr:rowOff>
        </xdr:to>
        <xdr:sp macro="" textlink="">
          <xdr:nvSpPr>
            <xdr:cNvPr id="206932" name="Pos" hidden="1">
              <a:extLst>
                <a:ext uri="{63B3BB69-23CF-44E3-9099-C40C66FF867C}">
                  <a14:compatExt spid="_x0000_s206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Sterkte1700_1" textlink="">
      <xdr:nvSpPr>
        <xdr:cNvPr id="86" name="Rectangle 142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7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88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Sterkte1700_2" textlink="">
      <xdr:nvSpPr>
        <xdr:cNvPr id="89" name="Rectangle 145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Sterkte1700_3" textlink="">
      <xdr:nvSpPr>
        <xdr:cNvPr id="90" name="Rectangle 146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Sterkte1700_4" textlink="">
      <xdr:nvSpPr>
        <xdr:cNvPr id="91" name="Rectangle 147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Sterkte1700_5" textlink="">
      <xdr:nvSpPr>
        <xdr:cNvPr id="92" name="Rectangle 148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Sterkte1700_6" textlink="">
      <xdr:nvSpPr>
        <xdr:cNvPr id="93" name="Rectangle 149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Sterkte1700_7" textlink="">
      <xdr:nvSpPr>
        <xdr:cNvPr id="94" name="Rectangle 150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Sterkte1700_8" textlink="">
      <xdr:nvSpPr>
        <xdr:cNvPr id="95" name="Rectangle 151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21</xdr:row>
          <xdr:rowOff>9525</xdr:rowOff>
        </xdr:from>
        <xdr:to>
          <xdr:col>4</xdr:col>
          <xdr:colOff>809625</xdr:colOff>
          <xdr:row>22</xdr:row>
          <xdr:rowOff>0</xdr:rowOff>
        </xdr:to>
        <xdr:sp macro="" textlink="">
          <xdr:nvSpPr>
            <xdr:cNvPr id="206933" name="Spinner 85" hidden="1">
              <a:extLst>
                <a:ext uri="{63B3BB69-23CF-44E3-9099-C40C66FF867C}">
                  <a14:compatExt spid="_x0000_s206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21</xdr:row>
          <xdr:rowOff>9525</xdr:rowOff>
        </xdr:from>
        <xdr:to>
          <xdr:col>6</xdr:col>
          <xdr:colOff>809625</xdr:colOff>
          <xdr:row>22</xdr:row>
          <xdr:rowOff>0</xdr:rowOff>
        </xdr:to>
        <xdr:sp macro="" textlink="">
          <xdr:nvSpPr>
            <xdr:cNvPr id="206934" name="Spinner 86" hidden="1">
              <a:extLst>
                <a:ext uri="{63B3BB69-23CF-44E3-9099-C40C66FF867C}">
                  <a14:compatExt spid="_x0000_s206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24</xdr:row>
          <xdr:rowOff>180975</xdr:rowOff>
        </xdr:from>
        <xdr:to>
          <xdr:col>9</xdr:col>
          <xdr:colOff>590550</xdr:colOff>
          <xdr:row>25</xdr:row>
          <xdr:rowOff>180975</xdr:rowOff>
        </xdr:to>
        <xdr:sp macro="" textlink="">
          <xdr:nvSpPr>
            <xdr:cNvPr id="206935" name="Drop Down 87" hidden="1">
              <a:extLst>
                <a:ext uri="{63B3BB69-23CF-44E3-9099-C40C66FF867C}">
                  <a14:compatExt spid="_x0000_s206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25</xdr:row>
          <xdr:rowOff>180975</xdr:rowOff>
        </xdr:from>
        <xdr:to>
          <xdr:col>9</xdr:col>
          <xdr:colOff>590550</xdr:colOff>
          <xdr:row>26</xdr:row>
          <xdr:rowOff>180975</xdr:rowOff>
        </xdr:to>
        <xdr:sp macro="" textlink="">
          <xdr:nvSpPr>
            <xdr:cNvPr id="206936" name="Drop Down 88" hidden="1">
              <a:extLst>
                <a:ext uri="{63B3BB69-23CF-44E3-9099-C40C66FF867C}">
                  <a14:compatExt spid="_x0000_s206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1700" textlink="">
      <xdr:nvSpPr>
        <xdr:cNvPr id="100" name="Rectangle 164"/>
        <xdr:cNvSpPr>
          <a:spLocks noChangeArrowheads="1"/>
        </xdr:cNvSpPr>
      </xdr:nvSpPr>
      <xdr:spPr bwMode="auto">
        <a:xfrm>
          <a:off x="247650" y="8658225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1700" textlink="">
      <xdr:nvSpPr>
        <xdr:cNvPr id="101" name="Rectangle 165"/>
        <xdr:cNvSpPr>
          <a:spLocks noChangeArrowheads="1"/>
        </xdr:cNvSpPr>
      </xdr:nvSpPr>
      <xdr:spPr bwMode="auto">
        <a:xfrm>
          <a:off x="257175" y="8467725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02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190500</xdr:colOff>
          <xdr:row>40</xdr:row>
          <xdr:rowOff>0</xdr:rowOff>
        </xdr:to>
        <xdr:sp macro="" textlink="">
          <xdr:nvSpPr>
            <xdr:cNvPr id="206937" name="Drop Down 89" hidden="1">
              <a:extLst>
                <a:ext uri="{63B3BB69-23CF-44E3-9099-C40C66FF867C}">
                  <a14:compatExt spid="_x0000_s206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39</xdr:row>
          <xdr:rowOff>0</xdr:rowOff>
        </xdr:from>
        <xdr:to>
          <xdr:col>4</xdr:col>
          <xdr:colOff>276225</xdr:colOff>
          <xdr:row>39</xdr:row>
          <xdr:rowOff>190500</xdr:rowOff>
        </xdr:to>
        <xdr:sp macro="" textlink="">
          <xdr:nvSpPr>
            <xdr:cNvPr id="206938" name="Spinner 90" hidden="1">
              <a:extLst>
                <a:ext uri="{63B3BB69-23CF-44E3-9099-C40C66FF867C}">
                  <a14:compatExt spid="_x0000_s206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38</xdr:row>
          <xdr:rowOff>190500</xdr:rowOff>
        </xdr:from>
        <xdr:to>
          <xdr:col>3</xdr:col>
          <xdr:colOff>133350</xdr:colOff>
          <xdr:row>39</xdr:row>
          <xdr:rowOff>180975</xdr:rowOff>
        </xdr:to>
        <xdr:sp macro="" textlink="">
          <xdr:nvSpPr>
            <xdr:cNvPr id="206939" name="Spinner 91" hidden="1">
              <a:extLst>
                <a:ext uri="{63B3BB69-23CF-44E3-9099-C40C66FF867C}">
                  <a14:compatExt spid="_x0000_s206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39</xdr:row>
          <xdr:rowOff>0</xdr:rowOff>
        </xdr:from>
        <xdr:to>
          <xdr:col>5</xdr:col>
          <xdr:colOff>609600</xdr:colOff>
          <xdr:row>40</xdr:row>
          <xdr:rowOff>0</xdr:rowOff>
        </xdr:to>
        <xdr:sp macro="" textlink="">
          <xdr:nvSpPr>
            <xdr:cNvPr id="206940" name="Drop Down 92" hidden="1">
              <a:extLst>
                <a:ext uri="{63B3BB69-23CF-44E3-9099-C40C66FF867C}">
                  <a14:compatExt spid="_x0000_s206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Sterkte1700_9" textlink="">
      <xdr:nvSpPr>
        <xdr:cNvPr id="107" name="Rectangle 189"/>
        <xdr:cNvSpPr>
          <a:spLocks noChangeArrowheads="1"/>
        </xdr:cNvSpPr>
      </xdr:nvSpPr>
      <xdr:spPr bwMode="auto">
        <a:xfrm>
          <a:off x="1285875" y="75342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41</xdr:row>
          <xdr:rowOff>0</xdr:rowOff>
        </xdr:from>
        <xdr:to>
          <xdr:col>5</xdr:col>
          <xdr:colOff>609600</xdr:colOff>
          <xdr:row>42</xdr:row>
          <xdr:rowOff>0</xdr:rowOff>
        </xdr:to>
        <xdr:sp macro="" textlink="">
          <xdr:nvSpPr>
            <xdr:cNvPr id="206941" name="Drop Down 93" hidden="1">
              <a:extLst>
                <a:ext uri="{63B3BB69-23CF-44E3-9099-C40C66FF867C}">
                  <a14:compatExt spid="_x0000_s206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41</xdr:row>
          <xdr:rowOff>9525</xdr:rowOff>
        </xdr:from>
        <xdr:to>
          <xdr:col>7</xdr:col>
          <xdr:colOff>142875</xdr:colOff>
          <xdr:row>42</xdr:row>
          <xdr:rowOff>0</xdr:rowOff>
        </xdr:to>
        <xdr:sp macro="" textlink="">
          <xdr:nvSpPr>
            <xdr:cNvPr id="206942" name="Spinner 94" hidden="1">
              <a:extLst>
                <a:ext uri="{63B3BB69-23CF-44E3-9099-C40C66FF867C}">
                  <a14:compatExt spid="_x0000_s206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41</xdr:row>
          <xdr:rowOff>0</xdr:rowOff>
        </xdr:from>
        <xdr:to>
          <xdr:col>9</xdr:col>
          <xdr:colOff>600075</xdr:colOff>
          <xdr:row>42</xdr:row>
          <xdr:rowOff>19050</xdr:rowOff>
        </xdr:to>
        <xdr:sp macro="" textlink="">
          <xdr:nvSpPr>
            <xdr:cNvPr id="206943" name="Check Box 95" hidden="1">
              <a:extLst>
                <a:ext uri="{63B3BB69-23CF-44E3-9099-C40C66FF867C}">
                  <a14:compatExt spid="_x0000_s206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42</xdr:row>
          <xdr:rowOff>0</xdr:rowOff>
        </xdr:from>
        <xdr:to>
          <xdr:col>5</xdr:col>
          <xdr:colOff>609600</xdr:colOff>
          <xdr:row>43</xdr:row>
          <xdr:rowOff>0</xdr:rowOff>
        </xdr:to>
        <xdr:sp macro="" textlink="">
          <xdr:nvSpPr>
            <xdr:cNvPr id="206944" name="Drop Down 96" hidden="1">
              <a:extLst>
                <a:ext uri="{63B3BB69-23CF-44E3-9099-C40C66FF867C}">
                  <a14:compatExt spid="_x0000_s206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42</xdr:row>
          <xdr:rowOff>9525</xdr:rowOff>
        </xdr:from>
        <xdr:to>
          <xdr:col>7</xdr:col>
          <xdr:colOff>142875</xdr:colOff>
          <xdr:row>43</xdr:row>
          <xdr:rowOff>0</xdr:rowOff>
        </xdr:to>
        <xdr:sp macro="" textlink="">
          <xdr:nvSpPr>
            <xdr:cNvPr id="206945" name="Spinner 97" hidden="1">
              <a:extLst>
                <a:ext uri="{63B3BB69-23CF-44E3-9099-C40C66FF867C}">
                  <a14:compatExt spid="_x0000_s206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42</xdr:row>
          <xdr:rowOff>0</xdr:rowOff>
        </xdr:from>
        <xdr:to>
          <xdr:col>9</xdr:col>
          <xdr:colOff>600075</xdr:colOff>
          <xdr:row>43</xdr:row>
          <xdr:rowOff>19050</xdr:rowOff>
        </xdr:to>
        <xdr:sp macro="" textlink="">
          <xdr:nvSpPr>
            <xdr:cNvPr id="206946" name="Check Box 98" hidden="1">
              <a:extLst>
                <a:ext uri="{63B3BB69-23CF-44E3-9099-C40C66FF867C}">
                  <a14:compatExt spid="_x0000_s206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42</xdr:row>
          <xdr:rowOff>0</xdr:rowOff>
        </xdr:from>
        <xdr:to>
          <xdr:col>9</xdr:col>
          <xdr:colOff>600075</xdr:colOff>
          <xdr:row>43</xdr:row>
          <xdr:rowOff>19050</xdr:rowOff>
        </xdr:to>
        <xdr:sp macro="" textlink="">
          <xdr:nvSpPr>
            <xdr:cNvPr id="206947" name="Check Box 99" hidden="1">
              <a:extLst>
                <a:ext uri="{63B3BB69-23CF-44E3-9099-C40C66FF867C}">
                  <a14:compatExt spid="_x0000_s206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43</xdr:row>
          <xdr:rowOff>0</xdr:rowOff>
        </xdr:from>
        <xdr:to>
          <xdr:col>5</xdr:col>
          <xdr:colOff>609600</xdr:colOff>
          <xdr:row>44</xdr:row>
          <xdr:rowOff>0</xdr:rowOff>
        </xdr:to>
        <xdr:sp macro="" textlink="">
          <xdr:nvSpPr>
            <xdr:cNvPr id="206948" name="Drop Down 100" hidden="1">
              <a:extLst>
                <a:ext uri="{63B3BB69-23CF-44E3-9099-C40C66FF867C}">
                  <a14:compatExt spid="_x0000_s206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43</xdr:row>
          <xdr:rowOff>9525</xdr:rowOff>
        </xdr:from>
        <xdr:to>
          <xdr:col>7</xdr:col>
          <xdr:colOff>142875</xdr:colOff>
          <xdr:row>44</xdr:row>
          <xdr:rowOff>0</xdr:rowOff>
        </xdr:to>
        <xdr:sp macro="" textlink="">
          <xdr:nvSpPr>
            <xdr:cNvPr id="206949" name="Spinner 101" hidden="1">
              <a:extLst>
                <a:ext uri="{63B3BB69-23CF-44E3-9099-C40C66FF867C}">
                  <a14:compatExt spid="_x0000_s206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43</xdr:row>
          <xdr:rowOff>0</xdr:rowOff>
        </xdr:from>
        <xdr:to>
          <xdr:col>9</xdr:col>
          <xdr:colOff>600075</xdr:colOff>
          <xdr:row>44</xdr:row>
          <xdr:rowOff>19050</xdr:rowOff>
        </xdr:to>
        <xdr:sp macro="" textlink="">
          <xdr:nvSpPr>
            <xdr:cNvPr id="206950" name="Check Box 102" hidden="1">
              <a:extLst>
                <a:ext uri="{63B3BB69-23CF-44E3-9099-C40C66FF867C}">
                  <a14:compatExt spid="_x0000_s206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23</xdr:row>
          <xdr:rowOff>180975</xdr:rowOff>
        </xdr:from>
        <xdr:to>
          <xdr:col>13</xdr:col>
          <xdr:colOff>895350</xdr:colOff>
          <xdr:row>24</xdr:row>
          <xdr:rowOff>180975</xdr:rowOff>
        </xdr:to>
        <xdr:sp macro="" textlink="">
          <xdr:nvSpPr>
            <xdr:cNvPr id="206951" name="Drop Down 103" hidden="1">
              <a:extLst>
                <a:ext uri="{63B3BB69-23CF-44E3-9099-C40C66FF867C}">
                  <a14:compatExt spid="_x0000_s206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25</xdr:row>
          <xdr:rowOff>9525</xdr:rowOff>
        </xdr:from>
        <xdr:to>
          <xdr:col>13</xdr:col>
          <xdr:colOff>904875</xdr:colOff>
          <xdr:row>26</xdr:row>
          <xdr:rowOff>9525</xdr:rowOff>
        </xdr:to>
        <xdr:sp macro="" textlink="">
          <xdr:nvSpPr>
            <xdr:cNvPr id="206952" name="Drop Down 104" hidden="1">
              <a:extLst>
                <a:ext uri="{63B3BB69-23CF-44E3-9099-C40C66FF867C}">
                  <a14:compatExt spid="_x0000_s206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24</xdr:row>
          <xdr:rowOff>180975</xdr:rowOff>
        </xdr:from>
        <xdr:to>
          <xdr:col>13</xdr:col>
          <xdr:colOff>895350</xdr:colOff>
          <xdr:row>25</xdr:row>
          <xdr:rowOff>180975</xdr:rowOff>
        </xdr:to>
        <xdr:sp macro="" textlink="">
          <xdr:nvSpPr>
            <xdr:cNvPr id="206953" name="Drop Down 105" hidden="1">
              <a:extLst>
                <a:ext uri="{63B3BB69-23CF-44E3-9099-C40C66FF867C}">
                  <a14:compatExt spid="_x0000_s206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25</xdr:row>
          <xdr:rowOff>180975</xdr:rowOff>
        </xdr:from>
        <xdr:to>
          <xdr:col>13</xdr:col>
          <xdr:colOff>895350</xdr:colOff>
          <xdr:row>26</xdr:row>
          <xdr:rowOff>180975</xdr:rowOff>
        </xdr:to>
        <xdr:sp macro="" textlink="">
          <xdr:nvSpPr>
            <xdr:cNvPr id="206954" name="Drop Down 106" hidden="1">
              <a:extLst>
                <a:ext uri="{63B3BB69-23CF-44E3-9099-C40C66FF867C}">
                  <a14:compatExt spid="_x0000_s206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23</xdr:row>
          <xdr:rowOff>0</xdr:rowOff>
        </xdr:from>
        <xdr:to>
          <xdr:col>14</xdr:col>
          <xdr:colOff>533400</xdr:colOff>
          <xdr:row>23</xdr:row>
          <xdr:rowOff>190500</xdr:rowOff>
        </xdr:to>
        <xdr:sp macro="" textlink="">
          <xdr:nvSpPr>
            <xdr:cNvPr id="206955" name="Pos" hidden="1">
              <a:extLst>
                <a:ext uri="{63B3BB69-23CF-44E3-9099-C40C66FF867C}">
                  <a14:compatExt spid="_x0000_s206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23</xdr:row>
          <xdr:rowOff>190500</xdr:rowOff>
        </xdr:from>
        <xdr:to>
          <xdr:col>15</xdr:col>
          <xdr:colOff>38100</xdr:colOff>
          <xdr:row>24</xdr:row>
          <xdr:rowOff>190500</xdr:rowOff>
        </xdr:to>
        <xdr:sp macro="" textlink="">
          <xdr:nvSpPr>
            <xdr:cNvPr id="206956" name="Pos" hidden="1">
              <a:extLst>
                <a:ext uri="{63B3BB69-23CF-44E3-9099-C40C66FF867C}">
                  <a14:compatExt spid="_x0000_s206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24</xdr:row>
          <xdr:rowOff>190500</xdr:rowOff>
        </xdr:from>
        <xdr:to>
          <xdr:col>15</xdr:col>
          <xdr:colOff>38100</xdr:colOff>
          <xdr:row>25</xdr:row>
          <xdr:rowOff>190500</xdr:rowOff>
        </xdr:to>
        <xdr:sp macro="" textlink="">
          <xdr:nvSpPr>
            <xdr:cNvPr id="206957" name="Pos" hidden="1">
              <a:extLst>
                <a:ext uri="{63B3BB69-23CF-44E3-9099-C40C66FF867C}">
                  <a14:compatExt spid="_x0000_s206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25</xdr:row>
          <xdr:rowOff>190500</xdr:rowOff>
        </xdr:from>
        <xdr:to>
          <xdr:col>15</xdr:col>
          <xdr:colOff>38100</xdr:colOff>
          <xdr:row>26</xdr:row>
          <xdr:rowOff>190500</xdr:rowOff>
        </xdr:to>
        <xdr:sp macro="" textlink="">
          <xdr:nvSpPr>
            <xdr:cNvPr id="206958" name="Pos" hidden="1">
              <a:extLst>
                <a:ext uri="{63B3BB69-23CF-44E3-9099-C40C66FF867C}">
                  <a14:compatExt spid="_x0000_s206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22</xdr:row>
          <xdr:rowOff>180975</xdr:rowOff>
        </xdr:from>
        <xdr:to>
          <xdr:col>9</xdr:col>
          <xdr:colOff>590550</xdr:colOff>
          <xdr:row>23</xdr:row>
          <xdr:rowOff>180975</xdr:rowOff>
        </xdr:to>
        <xdr:sp macro="" textlink="">
          <xdr:nvSpPr>
            <xdr:cNvPr id="206959" name="Drop Down 111" hidden="1">
              <a:extLst>
                <a:ext uri="{63B3BB69-23CF-44E3-9099-C40C66FF867C}">
                  <a14:compatExt spid="_x0000_s206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180975</xdr:rowOff>
        </xdr:from>
        <xdr:to>
          <xdr:col>13</xdr:col>
          <xdr:colOff>895350</xdr:colOff>
          <xdr:row>23</xdr:row>
          <xdr:rowOff>180975</xdr:rowOff>
        </xdr:to>
        <xdr:sp macro="" textlink="">
          <xdr:nvSpPr>
            <xdr:cNvPr id="206960" name="Drop Down 112" hidden="1">
              <a:extLst>
                <a:ext uri="{63B3BB69-23CF-44E3-9099-C40C66FF867C}">
                  <a14:compatExt spid="_x0000_s206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22</xdr:row>
          <xdr:rowOff>190500</xdr:rowOff>
        </xdr:from>
        <xdr:to>
          <xdr:col>15</xdr:col>
          <xdr:colOff>38100</xdr:colOff>
          <xdr:row>23</xdr:row>
          <xdr:rowOff>190500</xdr:rowOff>
        </xdr:to>
        <xdr:sp macro="" textlink="">
          <xdr:nvSpPr>
            <xdr:cNvPr id="206961" name="Drop Down 113" hidden="1">
              <a:extLst>
                <a:ext uri="{63B3BB69-23CF-44E3-9099-C40C66FF867C}">
                  <a14:compatExt spid="_x0000_s206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66675</xdr:colOff>
          <xdr:row>23</xdr:row>
          <xdr:rowOff>0</xdr:rowOff>
        </xdr:to>
        <xdr:sp macro="" textlink="">
          <xdr:nvSpPr>
            <xdr:cNvPr id="206962" name="Drop Down 114" hidden="1">
              <a:extLst>
                <a:ext uri="{63B3BB69-23CF-44E3-9099-C40C66FF867C}">
                  <a14:compatExt spid="_x0000_s206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180975</xdr:rowOff>
        </xdr:from>
        <xdr:to>
          <xdr:col>11</xdr:col>
          <xdr:colOff>66675</xdr:colOff>
          <xdr:row>24</xdr:row>
          <xdr:rowOff>180975</xdr:rowOff>
        </xdr:to>
        <xdr:sp macro="" textlink="">
          <xdr:nvSpPr>
            <xdr:cNvPr id="206963" name="Drop Down 115" hidden="1">
              <a:extLst>
                <a:ext uri="{63B3BB69-23CF-44E3-9099-C40C66FF867C}">
                  <a14:compatExt spid="_x0000_s206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180975</xdr:rowOff>
        </xdr:from>
        <xdr:to>
          <xdr:col>11</xdr:col>
          <xdr:colOff>66675</xdr:colOff>
          <xdr:row>25</xdr:row>
          <xdr:rowOff>180975</xdr:rowOff>
        </xdr:to>
        <xdr:sp macro="" textlink="">
          <xdr:nvSpPr>
            <xdr:cNvPr id="206964" name="Drop Down 116" hidden="1">
              <a:extLst>
                <a:ext uri="{63B3BB69-23CF-44E3-9099-C40C66FF867C}">
                  <a14:compatExt spid="_x0000_s206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180975</xdr:rowOff>
        </xdr:from>
        <xdr:to>
          <xdr:col>11</xdr:col>
          <xdr:colOff>66675</xdr:colOff>
          <xdr:row>26</xdr:row>
          <xdr:rowOff>180975</xdr:rowOff>
        </xdr:to>
        <xdr:sp macro="" textlink="">
          <xdr:nvSpPr>
            <xdr:cNvPr id="206965" name="Drop Down 117" hidden="1">
              <a:extLst>
                <a:ext uri="{63B3BB69-23CF-44E3-9099-C40C66FF867C}">
                  <a14:compatExt spid="_x0000_s206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180975</xdr:rowOff>
        </xdr:from>
        <xdr:to>
          <xdr:col>11</xdr:col>
          <xdr:colOff>66675</xdr:colOff>
          <xdr:row>23</xdr:row>
          <xdr:rowOff>180975</xdr:rowOff>
        </xdr:to>
        <xdr:sp macro="" textlink="">
          <xdr:nvSpPr>
            <xdr:cNvPr id="206966" name="Drop Down 118" hidden="1">
              <a:extLst>
                <a:ext uri="{63B3BB69-23CF-44E3-9099-C40C66FF867C}">
                  <a14:compatExt spid="_x0000_s206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25</xdr:row>
          <xdr:rowOff>142875</xdr:rowOff>
        </xdr:from>
        <xdr:to>
          <xdr:col>2</xdr:col>
          <xdr:colOff>800100</xdr:colOff>
          <xdr:row>26</xdr:row>
          <xdr:rowOff>161925</xdr:rowOff>
        </xdr:to>
        <xdr:sp macro="" textlink="">
          <xdr:nvSpPr>
            <xdr:cNvPr id="206967" name="Check Box 119" hidden="1">
              <a:extLst>
                <a:ext uri="{63B3BB69-23CF-44E3-9099-C40C66FF867C}">
                  <a14:compatExt spid="_x0000_s206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06969" name="Spinner 121" hidden="1">
              <a:extLst>
                <a:ext uri="{63B3BB69-23CF-44E3-9099-C40C66FF867C}">
                  <a14:compatExt spid="_x0000_s206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06970" name="Spinner 122" hidden="1">
              <a:extLst>
                <a:ext uri="{63B3BB69-23CF-44E3-9099-C40C66FF867C}">
                  <a14:compatExt spid="_x0000_s206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06971" name="Spinner 123" hidden="1">
              <a:extLst>
                <a:ext uri="{63B3BB69-23CF-44E3-9099-C40C66FF867C}">
                  <a14:compatExt spid="_x0000_s206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06972" name="Spinner 124" hidden="1">
              <a:extLst>
                <a:ext uri="{63B3BB69-23CF-44E3-9099-C40C66FF867C}">
                  <a14:compatExt spid="_x0000_s206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06973" name="Spinner 125" hidden="1">
              <a:extLst>
                <a:ext uri="{63B3BB69-23CF-44E3-9099-C40C66FF867C}">
                  <a14:compatExt spid="_x0000_s206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06974" name="Spinner 126" hidden="1">
              <a:extLst>
                <a:ext uri="{63B3BB69-23CF-44E3-9099-C40C66FF867C}">
                  <a14:compatExt spid="_x0000_s206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06975" name="Spinner 127" hidden="1">
              <a:extLst>
                <a:ext uri="{63B3BB69-23CF-44E3-9099-C40C66FF867C}">
                  <a14:compatExt spid="_x0000_s206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06976" name="Spinner 128" hidden="1">
              <a:extLst>
                <a:ext uri="{63B3BB69-23CF-44E3-9099-C40C66FF867C}">
                  <a14:compatExt spid="_x0000_s206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06977" name="Spinner 129" hidden="1">
              <a:extLst>
                <a:ext uri="{63B3BB69-23CF-44E3-9099-C40C66FF867C}">
                  <a14:compatExt spid="_x0000_s206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06978" name="Spinner 130" hidden="1">
              <a:extLst>
                <a:ext uri="{63B3BB69-23CF-44E3-9099-C40C66FF867C}">
                  <a14:compatExt spid="_x0000_s206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06979" name="Spinner 131" hidden="1">
              <a:extLst>
                <a:ext uri="{63B3BB69-23CF-44E3-9099-C40C66FF867C}">
                  <a14:compatExt spid="_x0000_s206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06980" name="Spinner 132" hidden="1">
              <a:extLst>
                <a:ext uri="{63B3BB69-23CF-44E3-9099-C40C66FF867C}">
                  <a14:compatExt spid="_x0000_s206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06981" name="Spinner 133" hidden="1">
              <a:extLst>
                <a:ext uri="{63B3BB69-23CF-44E3-9099-C40C66FF867C}">
                  <a14:compatExt spid="_x0000_s206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06982" name="Spinner 134" hidden="1">
              <a:extLst>
                <a:ext uri="{63B3BB69-23CF-44E3-9099-C40C66FF867C}">
                  <a14:compatExt spid="_x0000_s206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06983" name="Spinner 135" hidden="1">
              <a:extLst>
                <a:ext uri="{63B3BB69-23CF-44E3-9099-C40C66FF867C}">
                  <a14:compatExt spid="_x0000_s206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06984" name="Spinner 136" hidden="1">
              <a:extLst>
                <a:ext uri="{63B3BB69-23CF-44E3-9099-C40C66FF867C}">
                  <a14:compatExt spid="_x0000_s206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06985" name="Spinner 137" hidden="1">
              <a:extLst>
                <a:ext uri="{63B3BB69-23CF-44E3-9099-C40C66FF867C}">
                  <a14:compatExt spid="_x0000_s206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06986" name="Spinner 138" hidden="1">
              <a:extLst>
                <a:ext uri="{63B3BB69-23CF-44E3-9099-C40C66FF867C}">
                  <a14:compatExt spid="_x0000_s206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06987" name="Spinner 139" hidden="1">
              <a:extLst>
                <a:ext uri="{63B3BB69-23CF-44E3-9099-C40C66FF867C}">
                  <a14:compatExt spid="_x0000_s206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06988" name="Spinner 140" hidden="1">
              <a:extLst>
                <a:ext uri="{63B3BB69-23CF-44E3-9099-C40C66FF867C}">
                  <a14:compatExt spid="_x0000_s206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06989" name="Spinner 141" hidden="1">
              <a:extLst>
                <a:ext uri="{63B3BB69-23CF-44E3-9099-C40C66FF867C}">
                  <a14:compatExt spid="_x0000_s206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06990" name="Spinner 142" hidden="1">
              <a:extLst>
                <a:ext uri="{63B3BB69-23CF-44E3-9099-C40C66FF867C}">
                  <a14:compatExt spid="_x0000_s206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06991" name="Spinner 143" hidden="1">
              <a:extLst>
                <a:ext uri="{63B3BB69-23CF-44E3-9099-C40C66FF867C}">
                  <a14:compatExt spid="_x0000_s206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28575</xdr:colOff>
          <xdr:row>47</xdr:row>
          <xdr:rowOff>190500</xdr:rowOff>
        </xdr:to>
        <xdr:sp macro="" textlink="">
          <xdr:nvSpPr>
            <xdr:cNvPr id="206992" name="Drop Down 144" hidden="1">
              <a:extLst>
                <a:ext uri="{63B3BB69-23CF-44E3-9099-C40C66FF867C}">
                  <a14:compatExt spid="_x0000_s206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561975</xdr:colOff>
      <xdr:row>1</xdr:row>
      <xdr:rowOff>57150</xdr:rowOff>
    </xdr:to>
    <xdr:sp macro="" textlink="">
      <xdr:nvSpPr>
        <xdr:cNvPr id="2" name="AutoShape 1" descr="horistrp.gif (882 bytes)"/>
        <xdr:cNvSpPr>
          <a:spLocks noChangeAspect="1" noChangeArrowheads="1"/>
        </xdr:cNvSpPr>
      </xdr:nvSpPr>
      <xdr:spPr bwMode="auto">
        <a:xfrm>
          <a:off x="0" y="161925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6</xdr:row>
      <xdr:rowOff>0</xdr:rowOff>
    </xdr:from>
    <xdr:to>
      <xdr:col>6</xdr:col>
      <xdr:colOff>561975</xdr:colOff>
      <xdr:row>6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2</xdr:row>
          <xdr:rowOff>0</xdr:rowOff>
        </xdr:from>
        <xdr:to>
          <xdr:col>9</xdr:col>
          <xdr:colOff>590550</xdr:colOff>
          <xdr:row>2</xdr:row>
          <xdr:rowOff>180975</xdr:rowOff>
        </xdr:to>
        <xdr:sp macro="" textlink="">
          <xdr:nvSpPr>
            <xdr:cNvPr id="65537" name="Spinner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</xdr:row>
          <xdr:rowOff>19050</xdr:rowOff>
        </xdr:from>
        <xdr:to>
          <xdr:col>5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19050</xdr:rowOff>
        </xdr:from>
        <xdr:to>
          <xdr:col>5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5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13</xdr:row>
          <xdr:rowOff>19050</xdr:rowOff>
        </xdr:from>
        <xdr:to>
          <xdr:col>5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14</xdr:row>
          <xdr:rowOff>19050</xdr:rowOff>
        </xdr:from>
        <xdr:to>
          <xdr:col>5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16</xdr:row>
          <xdr:rowOff>19050</xdr:rowOff>
        </xdr:from>
        <xdr:to>
          <xdr:col>5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17</xdr:row>
          <xdr:rowOff>19050</xdr:rowOff>
        </xdr:from>
        <xdr:to>
          <xdr:col>5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20</xdr:row>
          <xdr:rowOff>19050</xdr:rowOff>
        </xdr:from>
        <xdr:to>
          <xdr:col>5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21</xdr:row>
          <xdr:rowOff>19050</xdr:rowOff>
        </xdr:from>
        <xdr:to>
          <xdr:col>5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19050</xdr:rowOff>
        </xdr:from>
        <xdr:to>
          <xdr:col>5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19</xdr:row>
          <xdr:rowOff>19050</xdr:rowOff>
        </xdr:from>
        <xdr:to>
          <xdr:col>6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18</xdr:row>
          <xdr:rowOff>19050</xdr:rowOff>
        </xdr:from>
        <xdr:to>
          <xdr:col>6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22</xdr:row>
          <xdr:rowOff>19050</xdr:rowOff>
        </xdr:from>
        <xdr:to>
          <xdr:col>5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23</xdr:row>
          <xdr:rowOff>19050</xdr:rowOff>
        </xdr:from>
        <xdr:to>
          <xdr:col>6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24</xdr:row>
          <xdr:rowOff>19050</xdr:rowOff>
        </xdr:from>
        <xdr:to>
          <xdr:col>6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25</xdr:row>
          <xdr:rowOff>19050</xdr:rowOff>
        </xdr:from>
        <xdr:to>
          <xdr:col>6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26</xdr:row>
          <xdr:rowOff>19050</xdr:rowOff>
        </xdr:from>
        <xdr:to>
          <xdr:col>6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27</xdr:row>
          <xdr:rowOff>19050</xdr:rowOff>
        </xdr:from>
        <xdr:to>
          <xdr:col>6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28</xdr:row>
          <xdr:rowOff>19050</xdr:rowOff>
        </xdr:from>
        <xdr:to>
          <xdr:col>6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29</xdr:row>
          <xdr:rowOff>19050</xdr:rowOff>
        </xdr:from>
        <xdr:to>
          <xdr:col>6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19050</xdr:rowOff>
        </xdr:from>
        <xdr:to>
          <xdr:col>5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6</xdr:row>
          <xdr:rowOff>19050</xdr:rowOff>
        </xdr:from>
        <xdr:to>
          <xdr:col>8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47625</xdr:rowOff>
        </xdr:from>
        <xdr:to>
          <xdr:col>8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19050</xdr:rowOff>
        </xdr:from>
        <xdr:to>
          <xdr:col>8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10</xdr:row>
          <xdr:rowOff>19050</xdr:rowOff>
        </xdr:from>
        <xdr:to>
          <xdr:col>8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11</xdr:row>
          <xdr:rowOff>19050</xdr:rowOff>
        </xdr:from>
        <xdr:to>
          <xdr:col>8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12</xdr:row>
          <xdr:rowOff>19050</xdr:rowOff>
        </xdr:from>
        <xdr:to>
          <xdr:col>8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13</xdr:row>
          <xdr:rowOff>19050</xdr:rowOff>
        </xdr:from>
        <xdr:to>
          <xdr:col>8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14</xdr:row>
          <xdr:rowOff>19050</xdr:rowOff>
        </xdr:from>
        <xdr:to>
          <xdr:col>8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15</xdr:row>
          <xdr:rowOff>19050</xdr:rowOff>
        </xdr:from>
        <xdr:to>
          <xdr:col>8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17</xdr:row>
          <xdr:rowOff>19050</xdr:rowOff>
        </xdr:from>
        <xdr:to>
          <xdr:col>8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16</xdr:row>
          <xdr:rowOff>19050</xdr:rowOff>
        </xdr:from>
        <xdr:to>
          <xdr:col>8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22</xdr:row>
          <xdr:rowOff>19050</xdr:rowOff>
        </xdr:from>
        <xdr:to>
          <xdr:col>8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923925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923925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24</xdr:row>
          <xdr:rowOff>19050</xdr:rowOff>
        </xdr:from>
        <xdr:to>
          <xdr:col>9</xdr:col>
          <xdr:colOff>923925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25</xdr:row>
          <xdr:rowOff>19050</xdr:rowOff>
        </xdr:from>
        <xdr:to>
          <xdr:col>9</xdr:col>
          <xdr:colOff>923925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18</xdr:row>
          <xdr:rowOff>19050</xdr:rowOff>
        </xdr:from>
        <xdr:to>
          <xdr:col>8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923925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20</xdr:row>
          <xdr:rowOff>19050</xdr:rowOff>
        </xdr:from>
        <xdr:to>
          <xdr:col>9</xdr:col>
          <xdr:colOff>923925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21</xdr:row>
          <xdr:rowOff>19050</xdr:rowOff>
        </xdr:from>
        <xdr:to>
          <xdr:col>9</xdr:col>
          <xdr:colOff>923925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11</xdr:row>
          <xdr:rowOff>28575</xdr:rowOff>
        </xdr:from>
        <xdr:to>
          <xdr:col>2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752475</xdr:colOff>
          <xdr:row>16</xdr:row>
          <xdr:rowOff>38100</xdr:rowOff>
        </xdr:from>
        <xdr:to>
          <xdr:col>9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16</xdr:row>
          <xdr:rowOff>19050</xdr:rowOff>
        </xdr:from>
        <xdr:to>
          <xdr:col>10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26</xdr:row>
          <xdr:rowOff>19050</xdr:rowOff>
        </xdr:from>
        <xdr:to>
          <xdr:col>1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28575</xdr:rowOff>
        </xdr:from>
        <xdr:to>
          <xdr:col>1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29</xdr:row>
          <xdr:rowOff>19050</xdr:rowOff>
        </xdr:from>
        <xdr:to>
          <xdr:col>1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34</xdr:row>
          <xdr:rowOff>19050</xdr:rowOff>
        </xdr:from>
        <xdr:to>
          <xdr:col>1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0</xdr:rowOff>
        </xdr:from>
        <xdr:to>
          <xdr:col>2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0</xdr:rowOff>
        </xdr:from>
        <xdr:to>
          <xdr:col>2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9525</xdr:rowOff>
        </xdr:from>
        <xdr:to>
          <xdr:col>2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9525</xdr:rowOff>
        </xdr:from>
        <xdr:to>
          <xdr:col>2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</xdr:row>
          <xdr:rowOff>19050</xdr:rowOff>
        </xdr:from>
        <xdr:to>
          <xdr:col>1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19050</xdr:rowOff>
        </xdr:from>
        <xdr:to>
          <xdr:col>1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19050</xdr:rowOff>
        </xdr:from>
        <xdr:to>
          <xdr:col>1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19050</xdr:rowOff>
        </xdr:from>
        <xdr:to>
          <xdr:col>1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9525</xdr:rowOff>
        </xdr:from>
        <xdr:to>
          <xdr:col>2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24</xdr:row>
          <xdr:rowOff>19050</xdr:rowOff>
        </xdr:from>
        <xdr:to>
          <xdr:col>1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25</xdr:row>
          <xdr:rowOff>19050</xdr:rowOff>
        </xdr:from>
        <xdr:to>
          <xdr:col>1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23</xdr:row>
          <xdr:rowOff>19050</xdr:rowOff>
        </xdr:from>
        <xdr:to>
          <xdr:col>1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30</xdr:row>
          <xdr:rowOff>19050</xdr:rowOff>
        </xdr:from>
        <xdr:to>
          <xdr:col>1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31</xdr:row>
          <xdr:rowOff>19050</xdr:rowOff>
        </xdr:from>
        <xdr:to>
          <xdr:col>1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11</xdr:row>
          <xdr:rowOff>19050</xdr:rowOff>
        </xdr:from>
        <xdr:to>
          <xdr:col>1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15</xdr:row>
          <xdr:rowOff>19050</xdr:rowOff>
        </xdr:from>
        <xdr:to>
          <xdr:col>1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16</xdr:row>
          <xdr:rowOff>19050</xdr:rowOff>
        </xdr:from>
        <xdr:to>
          <xdr:col>1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17</xdr:row>
          <xdr:rowOff>19050</xdr:rowOff>
        </xdr:from>
        <xdr:to>
          <xdr:col>1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3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3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3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14</xdr:row>
          <xdr:rowOff>19050</xdr:rowOff>
        </xdr:from>
        <xdr:to>
          <xdr:col>3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26</xdr:row>
          <xdr:rowOff>28575</xdr:rowOff>
        </xdr:from>
        <xdr:to>
          <xdr:col>3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0</xdr:colOff>
      <xdr:row>30</xdr:row>
      <xdr:rowOff>19050</xdr:rowOff>
    </xdr:from>
    <xdr:to>
      <xdr:col>7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0</xdr:rowOff>
        </xdr:from>
        <xdr:to>
          <xdr:col>2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0</xdr:rowOff>
        </xdr:from>
        <xdr:to>
          <xdr:col>2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9525</xdr:rowOff>
        </xdr:from>
        <xdr:to>
          <xdr:col>2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3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3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3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9525</xdr:rowOff>
        </xdr:from>
        <xdr:to>
          <xdr:col>2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40</xdr:row>
          <xdr:rowOff>28575</xdr:rowOff>
        </xdr:from>
        <xdr:to>
          <xdr:col>3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26</xdr:row>
          <xdr:rowOff>19050</xdr:rowOff>
        </xdr:from>
        <xdr:to>
          <xdr:col>10</xdr:col>
          <xdr:colOff>190500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7</xdr:row>
          <xdr:rowOff>28575</xdr:rowOff>
        </xdr:from>
        <xdr:to>
          <xdr:col>2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</xdr:rowOff>
        </xdr:from>
        <xdr:to>
          <xdr:col>3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628650</xdr:colOff>
          <xdr:row>18</xdr:row>
          <xdr:rowOff>28575</xdr:rowOff>
        </xdr:from>
        <xdr:to>
          <xdr:col>9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19050</xdr:rowOff>
        </xdr:from>
        <xdr:to>
          <xdr:col>8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676275</xdr:colOff>
          <xdr:row>7</xdr:row>
          <xdr:rowOff>28575</xdr:rowOff>
        </xdr:from>
        <xdr:to>
          <xdr:col>9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1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</xdr:rowOff>
        </xdr:from>
        <xdr:to>
          <xdr:col>3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71681" name="Check Box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71682" name="Check Box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71683" name="Check Box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71684" name="Check Box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0</xdr:rowOff>
        </xdr:from>
        <xdr:to>
          <xdr:col>2</xdr:col>
          <xdr:colOff>619125</xdr:colOff>
          <xdr:row>20</xdr:row>
          <xdr:rowOff>219075</xdr:rowOff>
        </xdr:to>
        <xdr:sp macro="" textlink="">
          <xdr:nvSpPr>
            <xdr:cNvPr id="71685" name="Check Box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0</xdr:rowOff>
        </xdr:from>
        <xdr:to>
          <xdr:col>2</xdr:col>
          <xdr:colOff>628650</xdr:colOff>
          <xdr:row>19</xdr:row>
          <xdr:rowOff>219075</xdr:rowOff>
        </xdr:to>
        <xdr:sp macro="" textlink="">
          <xdr:nvSpPr>
            <xdr:cNvPr id="71686" name="Check Box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0</xdr:rowOff>
        </xdr:from>
        <xdr:to>
          <xdr:col>2</xdr:col>
          <xdr:colOff>628650</xdr:colOff>
          <xdr:row>36</xdr:row>
          <xdr:rowOff>228600</xdr:rowOff>
        </xdr:to>
        <xdr:sp macro="" textlink="">
          <xdr:nvSpPr>
            <xdr:cNvPr id="71687" name="Check Box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0</xdr:rowOff>
        </xdr:from>
        <xdr:to>
          <xdr:col>2</xdr:col>
          <xdr:colOff>628650</xdr:colOff>
          <xdr:row>22</xdr:row>
          <xdr:rowOff>219075</xdr:rowOff>
        </xdr:to>
        <xdr:sp macro="" textlink="">
          <xdr:nvSpPr>
            <xdr:cNvPr id="71688" name="Check Box 8" hidden="1">
              <a:extLst>
                <a:ext uri="{63B3BB69-23CF-44E3-9099-C40C66FF867C}">
                  <a14:compatExt spid="_x0000_s7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219075</xdr:rowOff>
        </xdr:to>
        <xdr:sp macro="" textlink="">
          <xdr:nvSpPr>
            <xdr:cNvPr id="71689" name="Check Box 9" hidden="1">
              <a:extLst>
                <a:ext uri="{63B3BB69-23CF-44E3-9099-C40C66FF867C}">
                  <a14:compatExt spid="_x0000_s7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219075</xdr:rowOff>
        </xdr:to>
        <xdr:sp macro="" textlink="">
          <xdr:nvSpPr>
            <xdr:cNvPr id="71690" name="Check Box 10" hidden="1">
              <a:extLst>
                <a:ext uri="{63B3BB69-23CF-44E3-9099-C40C66FF867C}">
                  <a14:compatExt spid="_x0000_s7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219075</xdr:rowOff>
        </xdr:to>
        <xdr:sp macro="" textlink="">
          <xdr:nvSpPr>
            <xdr:cNvPr id="71691" name="Check Box 11" hidden="1">
              <a:extLst>
                <a:ext uri="{63B3BB69-23CF-44E3-9099-C40C66FF867C}">
                  <a14:compatExt spid="_x0000_s7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71692" name="Check Box 12" hidden="1">
              <a:extLst>
                <a:ext uri="{63B3BB69-23CF-44E3-9099-C40C66FF867C}">
                  <a14:compatExt spid="_x0000_s7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19050</xdr:rowOff>
        </xdr:from>
        <xdr:to>
          <xdr:col>2</xdr:col>
          <xdr:colOff>628650</xdr:colOff>
          <xdr:row>34</xdr:row>
          <xdr:rowOff>238125</xdr:rowOff>
        </xdr:to>
        <xdr:sp macro="" textlink="">
          <xdr:nvSpPr>
            <xdr:cNvPr id="71693" name="Check Box 13" hidden="1">
              <a:extLst>
                <a:ext uri="{63B3BB69-23CF-44E3-9099-C40C66FF867C}">
                  <a14:compatExt spid="_x0000_s7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71694" name="Check Box 14" hidden="1">
              <a:extLst>
                <a:ext uri="{63B3BB69-23CF-44E3-9099-C40C66FF867C}">
                  <a14:compatExt spid="_x0000_s7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71695" name="Check Box 15" hidden="1">
              <a:extLst>
                <a:ext uri="{63B3BB69-23CF-44E3-9099-C40C66FF867C}">
                  <a14:compatExt spid="_x0000_s7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71696" name="Check Box 16" hidden="1">
              <a:extLst>
                <a:ext uri="{63B3BB69-23CF-44E3-9099-C40C66FF867C}">
                  <a14:compatExt spid="_x0000_s7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71697" name="Check Box 17" hidden="1">
              <a:extLst>
                <a:ext uri="{63B3BB69-23CF-44E3-9099-C40C66FF867C}">
                  <a14:compatExt spid="_x0000_s7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20</xdr:row>
          <xdr:rowOff>0</xdr:rowOff>
        </xdr:from>
        <xdr:to>
          <xdr:col>6</xdr:col>
          <xdr:colOff>619125</xdr:colOff>
          <xdr:row>20</xdr:row>
          <xdr:rowOff>219075</xdr:rowOff>
        </xdr:to>
        <xdr:sp macro="" textlink="">
          <xdr:nvSpPr>
            <xdr:cNvPr id="71698" name="Check Box 18" hidden="1">
              <a:extLst>
                <a:ext uri="{63B3BB69-23CF-44E3-9099-C40C66FF867C}">
                  <a14:compatExt spid="_x0000_s7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19</xdr:row>
          <xdr:rowOff>0</xdr:rowOff>
        </xdr:from>
        <xdr:to>
          <xdr:col>6</xdr:col>
          <xdr:colOff>628650</xdr:colOff>
          <xdr:row>19</xdr:row>
          <xdr:rowOff>219075</xdr:rowOff>
        </xdr:to>
        <xdr:sp macro="" textlink="">
          <xdr:nvSpPr>
            <xdr:cNvPr id="71699" name="Check Box 19" hidden="1">
              <a:extLst>
                <a:ext uri="{63B3BB69-23CF-44E3-9099-C40C66FF867C}">
                  <a14:compatExt spid="_x0000_s7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0</xdr:rowOff>
        </xdr:from>
        <xdr:to>
          <xdr:col>6</xdr:col>
          <xdr:colOff>628650</xdr:colOff>
          <xdr:row>36</xdr:row>
          <xdr:rowOff>228600</xdr:rowOff>
        </xdr:to>
        <xdr:sp macro="" textlink="">
          <xdr:nvSpPr>
            <xdr:cNvPr id="71700" name="Check Box 20" hidden="1">
              <a:extLst>
                <a:ext uri="{63B3BB69-23CF-44E3-9099-C40C66FF867C}">
                  <a14:compatExt spid="_x0000_s7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0</xdr:rowOff>
        </xdr:from>
        <xdr:to>
          <xdr:col>6</xdr:col>
          <xdr:colOff>628650</xdr:colOff>
          <xdr:row>22</xdr:row>
          <xdr:rowOff>219075</xdr:rowOff>
        </xdr:to>
        <xdr:sp macro="" textlink="">
          <xdr:nvSpPr>
            <xdr:cNvPr id="71701" name="Check Box 21" hidden="1">
              <a:extLst>
                <a:ext uri="{63B3BB69-23CF-44E3-9099-C40C66FF867C}">
                  <a14:compatExt spid="_x0000_s7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219075</xdr:rowOff>
        </xdr:to>
        <xdr:sp macro="" textlink="">
          <xdr:nvSpPr>
            <xdr:cNvPr id="71702" name="Check Box 22" hidden="1">
              <a:extLst>
                <a:ext uri="{63B3BB69-23CF-44E3-9099-C40C66FF867C}">
                  <a14:compatExt spid="_x0000_s7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219075</xdr:rowOff>
        </xdr:to>
        <xdr:sp macro="" textlink="">
          <xdr:nvSpPr>
            <xdr:cNvPr id="71703" name="Check Box 23" hidden="1">
              <a:extLst>
                <a:ext uri="{63B3BB69-23CF-44E3-9099-C40C66FF867C}">
                  <a14:compatExt spid="_x0000_s7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219075</xdr:rowOff>
        </xdr:to>
        <xdr:sp macro="" textlink="">
          <xdr:nvSpPr>
            <xdr:cNvPr id="71704" name="Check Box 24" hidden="1">
              <a:extLst>
                <a:ext uri="{63B3BB69-23CF-44E3-9099-C40C66FF867C}">
                  <a14:compatExt spid="_x0000_s7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71705" name="Check Box 25" hidden="1">
              <a:extLst>
                <a:ext uri="{63B3BB69-23CF-44E3-9099-C40C66FF867C}">
                  <a14:compatExt spid="_x0000_s7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19050</xdr:rowOff>
        </xdr:from>
        <xdr:to>
          <xdr:col>6</xdr:col>
          <xdr:colOff>628650</xdr:colOff>
          <xdr:row>34</xdr:row>
          <xdr:rowOff>238125</xdr:rowOff>
        </xdr:to>
        <xdr:sp macro="" textlink="">
          <xdr:nvSpPr>
            <xdr:cNvPr id="71706" name="Check Box 26" hidden="1">
              <a:extLst>
                <a:ext uri="{63B3BB69-23CF-44E3-9099-C40C66FF867C}">
                  <a14:compatExt spid="_x0000_s7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71707" name="Check Box 27" hidden="1">
              <a:extLst>
                <a:ext uri="{63B3BB69-23CF-44E3-9099-C40C66FF867C}">
                  <a14:compatExt spid="_x0000_s7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71708" name="Check Box 28" hidden="1">
              <a:extLst>
                <a:ext uri="{63B3BB69-23CF-44E3-9099-C40C66FF867C}">
                  <a14:compatExt spid="_x0000_s7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71709" name="Check Box 29" hidden="1">
              <a:extLst>
                <a:ext uri="{63B3BB69-23CF-44E3-9099-C40C66FF867C}">
                  <a14:compatExt spid="_x0000_s7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71710" name="Check Box 30" hidden="1">
              <a:extLst>
                <a:ext uri="{63B3BB69-23CF-44E3-9099-C40C66FF867C}">
                  <a14:compatExt spid="_x0000_s7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20</xdr:row>
          <xdr:rowOff>0</xdr:rowOff>
        </xdr:from>
        <xdr:to>
          <xdr:col>8</xdr:col>
          <xdr:colOff>619125</xdr:colOff>
          <xdr:row>20</xdr:row>
          <xdr:rowOff>219075</xdr:rowOff>
        </xdr:to>
        <xdr:sp macro="" textlink="">
          <xdr:nvSpPr>
            <xdr:cNvPr id="71711" name="Check Box 31" hidden="1">
              <a:extLst>
                <a:ext uri="{63B3BB69-23CF-44E3-9099-C40C66FF867C}">
                  <a14:compatExt spid="_x0000_s7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19</xdr:row>
          <xdr:rowOff>0</xdr:rowOff>
        </xdr:from>
        <xdr:to>
          <xdr:col>8</xdr:col>
          <xdr:colOff>628650</xdr:colOff>
          <xdr:row>19</xdr:row>
          <xdr:rowOff>219075</xdr:rowOff>
        </xdr:to>
        <xdr:sp macro="" textlink="">
          <xdr:nvSpPr>
            <xdr:cNvPr id="71712" name="Check Box 32" hidden="1">
              <a:extLst>
                <a:ext uri="{63B3BB69-23CF-44E3-9099-C40C66FF867C}">
                  <a14:compatExt spid="_x0000_s7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0</xdr:rowOff>
        </xdr:from>
        <xdr:to>
          <xdr:col>8</xdr:col>
          <xdr:colOff>628650</xdr:colOff>
          <xdr:row>36</xdr:row>
          <xdr:rowOff>228600</xdr:rowOff>
        </xdr:to>
        <xdr:sp macro="" textlink="">
          <xdr:nvSpPr>
            <xdr:cNvPr id="71713" name="Check Box 33" hidden="1">
              <a:extLst>
                <a:ext uri="{63B3BB69-23CF-44E3-9099-C40C66FF867C}">
                  <a14:compatExt spid="_x0000_s7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0</xdr:rowOff>
        </xdr:from>
        <xdr:to>
          <xdr:col>8</xdr:col>
          <xdr:colOff>628650</xdr:colOff>
          <xdr:row>22</xdr:row>
          <xdr:rowOff>219075</xdr:rowOff>
        </xdr:to>
        <xdr:sp macro="" textlink="">
          <xdr:nvSpPr>
            <xdr:cNvPr id="71714" name="Check Box 34" hidden="1">
              <a:extLst>
                <a:ext uri="{63B3BB69-23CF-44E3-9099-C40C66FF867C}">
                  <a14:compatExt spid="_x0000_s71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219075</xdr:rowOff>
        </xdr:to>
        <xdr:sp macro="" textlink="">
          <xdr:nvSpPr>
            <xdr:cNvPr id="71715" name="Check Box 35" hidden="1">
              <a:extLst>
                <a:ext uri="{63B3BB69-23CF-44E3-9099-C40C66FF867C}">
                  <a14:compatExt spid="_x0000_s7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219075</xdr:rowOff>
        </xdr:to>
        <xdr:sp macro="" textlink="">
          <xdr:nvSpPr>
            <xdr:cNvPr id="71716" name="Check Box 36" hidden="1">
              <a:extLst>
                <a:ext uri="{63B3BB69-23CF-44E3-9099-C40C66FF867C}">
                  <a14:compatExt spid="_x0000_s7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219075</xdr:rowOff>
        </xdr:to>
        <xdr:sp macro="" textlink="">
          <xdr:nvSpPr>
            <xdr:cNvPr id="71717" name="Check Box 37" hidden="1">
              <a:extLst>
                <a:ext uri="{63B3BB69-23CF-44E3-9099-C40C66FF867C}">
                  <a14:compatExt spid="_x0000_s7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71718" name="Check Box 38" hidden="1">
              <a:extLst>
                <a:ext uri="{63B3BB69-23CF-44E3-9099-C40C66FF867C}">
                  <a14:compatExt spid="_x0000_s7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19050</xdr:rowOff>
        </xdr:from>
        <xdr:to>
          <xdr:col>8</xdr:col>
          <xdr:colOff>628650</xdr:colOff>
          <xdr:row>34</xdr:row>
          <xdr:rowOff>238125</xdr:rowOff>
        </xdr:to>
        <xdr:sp macro="" textlink="">
          <xdr:nvSpPr>
            <xdr:cNvPr id="71719" name="Check Box 39" hidden="1">
              <a:extLst>
                <a:ext uri="{63B3BB69-23CF-44E3-9099-C40C66FF867C}">
                  <a14:compatExt spid="_x0000_s7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10</xdr:row>
          <xdr:rowOff>0</xdr:rowOff>
        </xdr:from>
        <xdr:to>
          <xdr:col>16</xdr:col>
          <xdr:colOff>628650</xdr:colOff>
          <xdr:row>10</xdr:row>
          <xdr:rowOff>219075</xdr:rowOff>
        </xdr:to>
        <xdr:sp macro="" textlink="">
          <xdr:nvSpPr>
            <xdr:cNvPr id="71720" name="Check Box 40" hidden="1">
              <a:extLst>
                <a:ext uri="{63B3BB69-23CF-44E3-9099-C40C66FF867C}">
                  <a14:compatExt spid="_x0000_s7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11</xdr:row>
          <xdr:rowOff>0</xdr:rowOff>
        </xdr:from>
        <xdr:to>
          <xdr:col>16</xdr:col>
          <xdr:colOff>628650</xdr:colOff>
          <xdr:row>11</xdr:row>
          <xdr:rowOff>219075</xdr:rowOff>
        </xdr:to>
        <xdr:sp macro="" textlink="">
          <xdr:nvSpPr>
            <xdr:cNvPr id="71721" name="Check Box 41" hidden="1">
              <a:extLst>
                <a:ext uri="{63B3BB69-23CF-44E3-9099-C40C66FF867C}">
                  <a14:compatExt spid="_x0000_s7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13</xdr:row>
          <xdr:rowOff>0</xdr:rowOff>
        </xdr:from>
        <xdr:to>
          <xdr:col>16</xdr:col>
          <xdr:colOff>628650</xdr:colOff>
          <xdr:row>13</xdr:row>
          <xdr:rowOff>219075</xdr:rowOff>
        </xdr:to>
        <xdr:sp macro="" textlink="">
          <xdr:nvSpPr>
            <xdr:cNvPr id="71722" name="Check Box 42" hidden="1">
              <a:extLst>
                <a:ext uri="{63B3BB69-23CF-44E3-9099-C40C66FF867C}">
                  <a14:compatExt spid="_x0000_s7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14</xdr:row>
          <xdr:rowOff>0</xdr:rowOff>
        </xdr:from>
        <xdr:to>
          <xdr:col>16</xdr:col>
          <xdr:colOff>628650</xdr:colOff>
          <xdr:row>14</xdr:row>
          <xdr:rowOff>219075</xdr:rowOff>
        </xdr:to>
        <xdr:sp macro="" textlink="">
          <xdr:nvSpPr>
            <xdr:cNvPr id="71723" name="Check Box 43" hidden="1">
              <a:extLst>
                <a:ext uri="{63B3BB69-23CF-44E3-9099-C40C66FF867C}">
                  <a14:compatExt spid="_x0000_s7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20</xdr:row>
          <xdr:rowOff>0</xdr:rowOff>
        </xdr:from>
        <xdr:to>
          <xdr:col>16</xdr:col>
          <xdr:colOff>619125</xdr:colOff>
          <xdr:row>20</xdr:row>
          <xdr:rowOff>219075</xdr:rowOff>
        </xdr:to>
        <xdr:sp macro="" textlink="">
          <xdr:nvSpPr>
            <xdr:cNvPr id="71724" name="Check Box 44" hidden="1">
              <a:extLst>
                <a:ext uri="{63B3BB69-23CF-44E3-9099-C40C66FF867C}">
                  <a14:compatExt spid="_x0000_s7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19</xdr:row>
          <xdr:rowOff>0</xdr:rowOff>
        </xdr:from>
        <xdr:to>
          <xdr:col>16</xdr:col>
          <xdr:colOff>628650</xdr:colOff>
          <xdr:row>19</xdr:row>
          <xdr:rowOff>219075</xdr:rowOff>
        </xdr:to>
        <xdr:sp macro="" textlink="">
          <xdr:nvSpPr>
            <xdr:cNvPr id="71725" name="Check Box 45" hidden="1">
              <a:extLst>
                <a:ext uri="{63B3BB69-23CF-44E3-9099-C40C66FF867C}">
                  <a14:compatExt spid="_x0000_s7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36</xdr:row>
          <xdr:rowOff>0</xdr:rowOff>
        </xdr:from>
        <xdr:to>
          <xdr:col>16</xdr:col>
          <xdr:colOff>628650</xdr:colOff>
          <xdr:row>36</xdr:row>
          <xdr:rowOff>228600</xdr:rowOff>
        </xdr:to>
        <xdr:sp macro="" textlink="">
          <xdr:nvSpPr>
            <xdr:cNvPr id="71726" name="Check Box 46" hidden="1">
              <a:extLst>
                <a:ext uri="{63B3BB69-23CF-44E3-9099-C40C66FF867C}">
                  <a14:compatExt spid="_x0000_s7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22</xdr:row>
          <xdr:rowOff>0</xdr:rowOff>
        </xdr:from>
        <xdr:to>
          <xdr:col>16</xdr:col>
          <xdr:colOff>628650</xdr:colOff>
          <xdr:row>22</xdr:row>
          <xdr:rowOff>219075</xdr:rowOff>
        </xdr:to>
        <xdr:sp macro="" textlink="">
          <xdr:nvSpPr>
            <xdr:cNvPr id="71727" name="Check Box 47" hidden="1">
              <a:extLst>
                <a:ext uri="{63B3BB69-23CF-44E3-9099-C40C66FF867C}">
                  <a14:compatExt spid="_x0000_s7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25</xdr:row>
          <xdr:rowOff>0</xdr:rowOff>
        </xdr:from>
        <xdr:to>
          <xdr:col>16</xdr:col>
          <xdr:colOff>628650</xdr:colOff>
          <xdr:row>25</xdr:row>
          <xdr:rowOff>219075</xdr:rowOff>
        </xdr:to>
        <xdr:sp macro="" textlink="">
          <xdr:nvSpPr>
            <xdr:cNvPr id="71728" name="Check Box 48" hidden="1">
              <a:extLst>
                <a:ext uri="{63B3BB69-23CF-44E3-9099-C40C66FF867C}">
                  <a14:compatExt spid="_x0000_s7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26</xdr:row>
          <xdr:rowOff>0</xdr:rowOff>
        </xdr:from>
        <xdr:to>
          <xdr:col>16</xdr:col>
          <xdr:colOff>628650</xdr:colOff>
          <xdr:row>26</xdr:row>
          <xdr:rowOff>219075</xdr:rowOff>
        </xdr:to>
        <xdr:sp macro="" textlink="">
          <xdr:nvSpPr>
            <xdr:cNvPr id="71729" name="Check Box 49" hidden="1">
              <a:extLst>
                <a:ext uri="{63B3BB69-23CF-44E3-9099-C40C66FF867C}">
                  <a14:compatExt spid="_x0000_s7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27</xdr:row>
          <xdr:rowOff>0</xdr:rowOff>
        </xdr:from>
        <xdr:to>
          <xdr:col>16</xdr:col>
          <xdr:colOff>628650</xdr:colOff>
          <xdr:row>27</xdr:row>
          <xdr:rowOff>219075</xdr:rowOff>
        </xdr:to>
        <xdr:sp macro="" textlink="">
          <xdr:nvSpPr>
            <xdr:cNvPr id="71730" name="Check Box 50" hidden="1">
              <a:extLst>
                <a:ext uri="{63B3BB69-23CF-44E3-9099-C40C66FF867C}">
                  <a14:compatExt spid="_x0000_s7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18</xdr:row>
          <xdr:rowOff>0</xdr:rowOff>
        </xdr:from>
        <xdr:to>
          <xdr:col>16</xdr:col>
          <xdr:colOff>619125</xdr:colOff>
          <xdr:row>18</xdr:row>
          <xdr:rowOff>219075</xdr:rowOff>
        </xdr:to>
        <xdr:sp macro="" textlink="">
          <xdr:nvSpPr>
            <xdr:cNvPr id="71731" name="Check Box 51" hidden="1">
              <a:extLst>
                <a:ext uri="{63B3BB69-23CF-44E3-9099-C40C66FF867C}">
                  <a14:compatExt spid="_x0000_s7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34</xdr:row>
          <xdr:rowOff>19050</xdr:rowOff>
        </xdr:from>
        <xdr:to>
          <xdr:col>16</xdr:col>
          <xdr:colOff>628650</xdr:colOff>
          <xdr:row>34</xdr:row>
          <xdr:rowOff>238125</xdr:rowOff>
        </xdr:to>
        <xdr:sp macro="" textlink="">
          <xdr:nvSpPr>
            <xdr:cNvPr id="71732" name="Check Box 52" hidden="1">
              <a:extLst>
                <a:ext uri="{63B3BB69-23CF-44E3-9099-C40C66FF867C}">
                  <a14:compatExt spid="_x0000_s7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71733" name="Check Box 53" hidden="1">
              <a:extLst>
                <a:ext uri="{63B3BB69-23CF-44E3-9099-C40C66FF867C}">
                  <a14:compatExt spid="_x0000_s7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71734" name="Check Box 54" hidden="1">
              <a:extLst>
                <a:ext uri="{63B3BB69-23CF-44E3-9099-C40C66FF867C}">
                  <a14:compatExt spid="_x0000_s7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71735" name="Check Box 55" hidden="1">
              <a:extLst>
                <a:ext uri="{63B3BB69-23CF-44E3-9099-C40C66FF867C}">
                  <a14:compatExt spid="_x0000_s7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38</xdr:row>
          <xdr:rowOff>19050</xdr:rowOff>
        </xdr:from>
        <xdr:to>
          <xdr:col>16</xdr:col>
          <xdr:colOff>628650</xdr:colOff>
          <xdr:row>38</xdr:row>
          <xdr:rowOff>238125</xdr:rowOff>
        </xdr:to>
        <xdr:sp macro="" textlink="">
          <xdr:nvSpPr>
            <xdr:cNvPr id="71736" name="Check Box 56" hidden="1">
              <a:extLst>
                <a:ext uri="{63B3BB69-23CF-44E3-9099-C40C66FF867C}">
                  <a14:compatExt spid="_x0000_s7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71737" name="Check Box 57" hidden="1">
              <a:extLst>
                <a:ext uri="{63B3BB69-23CF-44E3-9099-C40C66FF867C}">
                  <a14:compatExt spid="_x0000_s7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71738" name="Check Box 58" hidden="1">
              <a:extLst>
                <a:ext uri="{63B3BB69-23CF-44E3-9099-C40C66FF867C}">
                  <a14:compatExt spid="_x0000_s7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71739" name="Check Box 59" hidden="1">
              <a:extLst>
                <a:ext uri="{63B3BB69-23CF-44E3-9099-C40C66FF867C}">
                  <a14:compatExt spid="_x0000_s7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12</xdr:row>
          <xdr:rowOff>0</xdr:rowOff>
        </xdr:from>
        <xdr:to>
          <xdr:col>16</xdr:col>
          <xdr:colOff>628650</xdr:colOff>
          <xdr:row>12</xdr:row>
          <xdr:rowOff>219075</xdr:rowOff>
        </xdr:to>
        <xdr:sp macro="" textlink="">
          <xdr:nvSpPr>
            <xdr:cNvPr id="71740" name="Check Box 60" hidden="1">
              <a:extLst>
                <a:ext uri="{63B3BB69-23CF-44E3-9099-C40C66FF867C}">
                  <a14:compatExt spid="_x0000_s7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219075</xdr:rowOff>
        </xdr:to>
        <xdr:sp macro="" textlink="">
          <xdr:nvSpPr>
            <xdr:cNvPr id="71741" name="Check Box 61" hidden="1">
              <a:extLst>
                <a:ext uri="{63B3BB69-23CF-44E3-9099-C40C66FF867C}">
                  <a14:compatExt spid="_x0000_s7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219075</xdr:rowOff>
        </xdr:to>
        <xdr:sp macro="" textlink="">
          <xdr:nvSpPr>
            <xdr:cNvPr id="71742" name="Check Box 62" hidden="1">
              <a:extLst>
                <a:ext uri="{63B3BB69-23CF-44E3-9099-C40C66FF867C}">
                  <a14:compatExt spid="_x0000_s7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219075</xdr:rowOff>
        </xdr:to>
        <xdr:sp macro="" textlink="">
          <xdr:nvSpPr>
            <xdr:cNvPr id="71743" name="Check Box 63" hidden="1">
              <a:extLst>
                <a:ext uri="{63B3BB69-23CF-44E3-9099-C40C66FF867C}">
                  <a14:compatExt spid="_x0000_s7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23</xdr:row>
          <xdr:rowOff>0</xdr:rowOff>
        </xdr:from>
        <xdr:to>
          <xdr:col>16</xdr:col>
          <xdr:colOff>628650</xdr:colOff>
          <xdr:row>23</xdr:row>
          <xdr:rowOff>219075</xdr:rowOff>
        </xdr:to>
        <xdr:sp macro="" textlink="">
          <xdr:nvSpPr>
            <xdr:cNvPr id="71744" name="Check Box 64" hidden="1">
              <a:extLst>
                <a:ext uri="{63B3BB69-23CF-44E3-9099-C40C66FF867C}">
                  <a14:compatExt spid="_x0000_s7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71745" name="Check Box 65" hidden="1">
              <a:extLst>
                <a:ext uri="{63B3BB69-23CF-44E3-9099-C40C66FF867C}">
                  <a14:compatExt spid="_x0000_s7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71746" name="Check Box 66" hidden="1">
              <a:extLst>
                <a:ext uri="{63B3BB69-23CF-44E3-9099-C40C66FF867C}">
                  <a14:compatExt spid="_x0000_s7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71747" name="Check Box 67" hidden="1">
              <a:extLst>
                <a:ext uri="{63B3BB69-23CF-44E3-9099-C40C66FF867C}">
                  <a14:compatExt spid="_x0000_s7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71748" name="Check Box 68" hidden="1">
              <a:extLst>
                <a:ext uri="{63B3BB69-23CF-44E3-9099-C40C66FF867C}">
                  <a14:compatExt spid="_x0000_s7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20</xdr:row>
          <xdr:rowOff>0</xdr:rowOff>
        </xdr:from>
        <xdr:to>
          <xdr:col>4</xdr:col>
          <xdr:colOff>619125</xdr:colOff>
          <xdr:row>20</xdr:row>
          <xdr:rowOff>219075</xdr:rowOff>
        </xdr:to>
        <xdr:sp macro="" textlink="">
          <xdr:nvSpPr>
            <xdr:cNvPr id="71749" name="Check Box 69" hidden="1">
              <a:extLst>
                <a:ext uri="{63B3BB69-23CF-44E3-9099-C40C66FF867C}">
                  <a14:compatExt spid="_x0000_s7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19</xdr:row>
          <xdr:rowOff>0</xdr:rowOff>
        </xdr:from>
        <xdr:to>
          <xdr:col>4</xdr:col>
          <xdr:colOff>628650</xdr:colOff>
          <xdr:row>19</xdr:row>
          <xdr:rowOff>219075</xdr:rowOff>
        </xdr:to>
        <xdr:sp macro="" textlink="">
          <xdr:nvSpPr>
            <xdr:cNvPr id="71750" name="Check Box 70" hidden="1">
              <a:extLst>
                <a:ext uri="{63B3BB69-23CF-44E3-9099-C40C66FF867C}">
                  <a14:compatExt spid="_x0000_s7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0</xdr:rowOff>
        </xdr:from>
        <xdr:to>
          <xdr:col>4</xdr:col>
          <xdr:colOff>628650</xdr:colOff>
          <xdr:row>36</xdr:row>
          <xdr:rowOff>228600</xdr:rowOff>
        </xdr:to>
        <xdr:sp macro="" textlink="">
          <xdr:nvSpPr>
            <xdr:cNvPr id="71751" name="Check Box 71" hidden="1">
              <a:extLst>
                <a:ext uri="{63B3BB69-23CF-44E3-9099-C40C66FF867C}">
                  <a14:compatExt spid="_x0000_s7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0</xdr:rowOff>
        </xdr:from>
        <xdr:to>
          <xdr:col>4</xdr:col>
          <xdr:colOff>628650</xdr:colOff>
          <xdr:row>22</xdr:row>
          <xdr:rowOff>219075</xdr:rowOff>
        </xdr:to>
        <xdr:sp macro="" textlink="">
          <xdr:nvSpPr>
            <xdr:cNvPr id="71752" name="Check Box 72" hidden="1">
              <a:extLst>
                <a:ext uri="{63B3BB69-23CF-44E3-9099-C40C66FF867C}">
                  <a14:compatExt spid="_x0000_s7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219075</xdr:rowOff>
        </xdr:to>
        <xdr:sp macro="" textlink="">
          <xdr:nvSpPr>
            <xdr:cNvPr id="71753" name="Check Box 73" hidden="1">
              <a:extLst>
                <a:ext uri="{63B3BB69-23CF-44E3-9099-C40C66FF867C}">
                  <a14:compatExt spid="_x0000_s7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219075</xdr:rowOff>
        </xdr:to>
        <xdr:sp macro="" textlink="">
          <xdr:nvSpPr>
            <xdr:cNvPr id="71754" name="Check Box 74" hidden="1">
              <a:extLst>
                <a:ext uri="{63B3BB69-23CF-44E3-9099-C40C66FF867C}">
                  <a14:compatExt spid="_x0000_s7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219075</xdr:rowOff>
        </xdr:to>
        <xdr:sp macro="" textlink="">
          <xdr:nvSpPr>
            <xdr:cNvPr id="71755" name="Check Box 75" hidden="1">
              <a:extLst>
                <a:ext uri="{63B3BB69-23CF-44E3-9099-C40C66FF867C}">
                  <a14:compatExt spid="_x0000_s7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71756" name="Check Box 76" hidden="1">
              <a:extLst>
                <a:ext uri="{63B3BB69-23CF-44E3-9099-C40C66FF867C}">
                  <a14:compatExt spid="_x0000_s7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19050</xdr:rowOff>
        </xdr:from>
        <xdr:to>
          <xdr:col>4</xdr:col>
          <xdr:colOff>628650</xdr:colOff>
          <xdr:row>34</xdr:row>
          <xdr:rowOff>238125</xdr:rowOff>
        </xdr:to>
        <xdr:sp macro="" textlink="">
          <xdr:nvSpPr>
            <xdr:cNvPr id="71757" name="Check Box 77" hidden="1">
              <a:extLst>
                <a:ext uri="{63B3BB69-23CF-44E3-9099-C40C66FF867C}">
                  <a14:compatExt spid="_x0000_s7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71758" name="Check Box 78" hidden="1">
              <a:extLst>
                <a:ext uri="{63B3BB69-23CF-44E3-9099-C40C66FF867C}">
                  <a14:compatExt spid="_x0000_s7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71759" name="Check Box 79" hidden="1">
              <a:extLst>
                <a:ext uri="{63B3BB69-23CF-44E3-9099-C40C66FF867C}">
                  <a14:compatExt spid="_x0000_s7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219075</xdr:rowOff>
        </xdr:to>
        <xdr:sp macro="" textlink="">
          <xdr:nvSpPr>
            <xdr:cNvPr id="71760" name="Check Box 80" hidden="1">
              <a:extLst>
                <a:ext uri="{63B3BB69-23CF-44E3-9099-C40C66FF867C}">
                  <a14:compatExt spid="_x0000_s7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16</xdr:col>
      <xdr:colOff>704850</xdr:colOff>
      <xdr:row>43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71793" name="Check Box 113" hidden="1">
              <a:extLst>
                <a:ext uri="{63B3BB69-23CF-44E3-9099-C40C66FF867C}">
                  <a14:compatExt spid="_x0000_s7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71794" name="Check Box 114" hidden="1">
              <a:extLst>
                <a:ext uri="{63B3BB69-23CF-44E3-9099-C40C66FF867C}">
                  <a14:compatExt spid="_x0000_s7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71795" name="Check Box 115" hidden="1">
              <a:extLst>
                <a:ext uri="{63B3BB69-23CF-44E3-9099-C40C66FF867C}">
                  <a14:compatExt spid="_x0000_s7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39</xdr:row>
          <xdr:rowOff>19050</xdr:rowOff>
        </xdr:from>
        <xdr:to>
          <xdr:col>16</xdr:col>
          <xdr:colOff>628650</xdr:colOff>
          <xdr:row>39</xdr:row>
          <xdr:rowOff>238125</xdr:rowOff>
        </xdr:to>
        <xdr:sp macro="" textlink="">
          <xdr:nvSpPr>
            <xdr:cNvPr id="71796" name="Check Box 116" hidden="1">
              <a:extLst>
                <a:ext uri="{63B3BB69-23CF-44E3-9099-C40C66FF867C}">
                  <a14:compatExt spid="_x0000_s7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71797" name="Check Box 117" hidden="1">
              <a:extLst>
                <a:ext uri="{63B3BB69-23CF-44E3-9099-C40C66FF867C}">
                  <a14:compatExt spid="_x0000_s7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71800" name="Check Box 120" hidden="1">
              <a:extLst>
                <a:ext uri="{63B3BB69-23CF-44E3-9099-C40C66FF867C}">
                  <a14:compatExt spid="_x0000_s7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40</xdr:row>
          <xdr:rowOff>19050</xdr:rowOff>
        </xdr:from>
        <xdr:to>
          <xdr:col>6</xdr:col>
          <xdr:colOff>628650</xdr:colOff>
          <xdr:row>40</xdr:row>
          <xdr:rowOff>238125</xdr:rowOff>
        </xdr:to>
        <xdr:sp macro="" textlink="">
          <xdr:nvSpPr>
            <xdr:cNvPr id="71801" name="Check Box 121" hidden="1">
              <a:extLst>
                <a:ext uri="{63B3BB69-23CF-44E3-9099-C40C66FF867C}">
                  <a14:compatExt spid="_x0000_s7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40</xdr:row>
          <xdr:rowOff>19050</xdr:rowOff>
        </xdr:from>
        <xdr:to>
          <xdr:col>8</xdr:col>
          <xdr:colOff>628650</xdr:colOff>
          <xdr:row>40</xdr:row>
          <xdr:rowOff>238125</xdr:rowOff>
        </xdr:to>
        <xdr:sp macro="" textlink="">
          <xdr:nvSpPr>
            <xdr:cNvPr id="71802" name="Check Box 122" hidden="1">
              <a:extLst>
                <a:ext uri="{63B3BB69-23CF-44E3-9099-C40C66FF867C}">
                  <a14:compatExt spid="_x0000_s7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40</xdr:row>
          <xdr:rowOff>19050</xdr:rowOff>
        </xdr:from>
        <xdr:to>
          <xdr:col>16</xdr:col>
          <xdr:colOff>628650</xdr:colOff>
          <xdr:row>40</xdr:row>
          <xdr:rowOff>238125</xdr:rowOff>
        </xdr:to>
        <xdr:sp macro="" textlink="">
          <xdr:nvSpPr>
            <xdr:cNvPr id="71803" name="Check Box 123" hidden="1">
              <a:extLst>
                <a:ext uri="{63B3BB69-23CF-44E3-9099-C40C66FF867C}">
                  <a14:compatExt spid="_x0000_s7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40</xdr:row>
          <xdr:rowOff>19050</xdr:rowOff>
        </xdr:from>
        <xdr:to>
          <xdr:col>4</xdr:col>
          <xdr:colOff>628650</xdr:colOff>
          <xdr:row>40</xdr:row>
          <xdr:rowOff>238125</xdr:rowOff>
        </xdr:to>
        <xdr:sp macro="" textlink="">
          <xdr:nvSpPr>
            <xdr:cNvPr id="71804" name="Check Box 124" hidden="1">
              <a:extLst>
                <a:ext uri="{63B3BB69-23CF-44E3-9099-C40C66FF867C}">
                  <a14:compatExt spid="_x0000_s7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71807" name="Check Box 127" hidden="1">
              <a:extLst>
                <a:ext uri="{63B3BB69-23CF-44E3-9099-C40C66FF867C}">
                  <a14:compatExt spid="_x0000_s7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71808" name="Check Box 128" hidden="1">
              <a:extLst>
                <a:ext uri="{63B3BB69-23CF-44E3-9099-C40C66FF867C}">
                  <a14:compatExt spid="_x0000_s7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71809" name="Check Box 129" hidden="1">
              <a:extLst>
                <a:ext uri="{63B3BB69-23CF-44E3-9099-C40C66FF867C}">
                  <a14:compatExt spid="_x0000_s7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15</xdr:row>
          <xdr:rowOff>0</xdr:rowOff>
        </xdr:from>
        <xdr:to>
          <xdr:col>16</xdr:col>
          <xdr:colOff>628650</xdr:colOff>
          <xdr:row>15</xdr:row>
          <xdr:rowOff>219075</xdr:rowOff>
        </xdr:to>
        <xdr:sp macro="" textlink="">
          <xdr:nvSpPr>
            <xdr:cNvPr id="71810" name="Check Box 130" hidden="1">
              <a:extLst>
                <a:ext uri="{63B3BB69-23CF-44E3-9099-C40C66FF867C}">
                  <a14:compatExt spid="_x0000_s7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71811" name="Check Box 131" hidden="1">
              <a:extLst>
                <a:ext uri="{63B3BB69-23CF-44E3-9099-C40C66FF867C}">
                  <a14:compatExt spid="_x0000_s7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71814" name="Check Box 134" hidden="1">
              <a:extLst>
                <a:ext uri="{63B3BB69-23CF-44E3-9099-C40C66FF867C}">
                  <a14:compatExt spid="_x0000_s7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71815" name="Check Box 135" hidden="1">
              <a:extLst>
                <a:ext uri="{63B3BB69-23CF-44E3-9099-C40C66FF867C}">
                  <a14:compatExt spid="_x0000_s7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71816" name="Check Box 136" hidden="1">
              <a:extLst>
                <a:ext uri="{63B3BB69-23CF-44E3-9099-C40C66FF867C}">
                  <a14:compatExt spid="_x0000_s7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17</xdr:row>
          <xdr:rowOff>0</xdr:rowOff>
        </xdr:from>
        <xdr:to>
          <xdr:col>16</xdr:col>
          <xdr:colOff>628650</xdr:colOff>
          <xdr:row>17</xdr:row>
          <xdr:rowOff>219075</xdr:rowOff>
        </xdr:to>
        <xdr:sp macro="" textlink="">
          <xdr:nvSpPr>
            <xdr:cNvPr id="71817" name="Check Box 137" hidden="1">
              <a:extLst>
                <a:ext uri="{63B3BB69-23CF-44E3-9099-C40C66FF867C}">
                  <a14:compatExt spid="_x0000_s7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71818" name="Check Box 138" hidden="1">
              <a:extLst>
                <a:ext uri="{63B3BB69-23CF-44E3-9099-C40C66FF867C}">
                  <a14:compatExt spid="_x0000_s7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21</xdr:row>
          <xdr:rowOff>0</xdr:rowOff>
        </xdr:from>
        <xdr:to>
          <xdr:col>2</xdr:col>
          <xdr:colOff>619125</xdr:colOff>
          <xdr:row>21</xdr:row>
          <xdr:rowOff>219075</xdr:rowOff>
        </xdr:to>
        <xdr:sp macro="" textlink="">
          <xdr:nvSpPr>
            <xdr:cNvPr id="71821" name="Check Box 141" hidden="1">
              <a:extLst>
                <a:ext uri="{63B3BB69-23CF-44E3-9099-C40C66FF867C}">
                  <a14:compatExt spid="_x0000_s7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21</xdr:row>
          <xdr:rowOff>0</xdr:rowOff>
        </xdr:from>
        <xdr:to>
          <xdr:col>6</xdr:col>
          <xdr:colOff>619125</xdr:colOff>
          <xdr:row>21</xdr:row>
          <xdr:rowOff>219075</xdr:rowOff>
        </xdr:to>
        <xdr:sp macro="" textlink="">
          <xdr:nvSpPr>
            <xdr:cNvPr id="71822" name="Check Box 142" hidden="1">
              <a:extLst>
                <a:ext uri="{63B3BB69-23CF-44E3-9099-C40C66FF867C}">
                  <a14:compatExt spid="_x0000_s7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21</xdr:row>
          <xdr:rowOff>0</xdr:rowOff>
        </xdr:from>
        <xdr:to>
          <xdr:col>8</xdr:col>
          <xdr:colOff>619125</xdr:colOff>
          <xdr:row>21</xdr:row>
          <xdr:rowOff>219075</xdr:rowOff>
        </xdr:to>
        <xdr:sp macro="" textlink="">
          <xdr:nvSpPr>
            <xdr:cNvPr id="71823" name="Check Box 143" hidden="1">
              <a:extLst>
                <a:ext uri="{63B3BB69-23CF-44E3-9099-C40C66FF867C}">
                  <a14:compatExt spid="_x0000_s7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21</xdr:row>
          <xdr:rowOff>0</xdr:rowOff>
        </xdr:from>
        <xdr:to>
          <xdr:col>16</xdr:col>
          <xdr:colOff>619125</xdr:colOff>
          <xdr:row>21</xdr:row>
          <xdr:rowOff>219075</xdr:rowOff>
        </xdr:to>
        <xdr:sp macro="" textlink="">
          <xdr:nvSpPr>
            <xdr:cNvPr id="71824" name="Check Box 144" hidden="1">
              <a:extLst>
                <a:ext uri="{63B3BB69-23CF-44E3-9099-C40C66FF867C}">
                  <a14:compatExt spid="_x0000_s7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21</xdr:row>
          <xdr:rowOff>0</xdr:rowOff>
        </xdr:from>
        <xdr:to>
          <xdr:col>4</xdr:col>
          <xdr:colOff>619125</xdr:colOff>
          <xdr:row>21</xdr:row>
          <xdr:rowOff>219075</xdr:rowOff>
        </xdr:to>
        <xdr:sp macro="" textlink="">
          <xdr:nvSpPr>
            <xdr:cNvPr id="71825" name="Check Box 145" hidden="1">
              <a:extLst>
                <a:ext uri="{63B3BB69-23CF-44E3-9099-C40C66FF867C}">
                  <a14:compatExt spid="_x0000_s7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219075</xdr:rowOff>
        </xdr:to>
        <xdr:sp macro="" textlink="">
          <xdr:nvSpPr>
            <xdr:cNvPr id="71828" name="Check Box 148" hidden="1">
              <a:extLst>
                <a:ext uri="{63B3BB69-23CF-44E3-9099-C40C66FF867C}">
                  <a14:compatExt spid="_x0000_s7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219075</xdr:rowOff>
        </xdr:to>
        <xdr:sp macro="" textlink="">
          <xdr:nvSpPr>
            <xdr:cNvPr id="71829" name="Check Box 149" hidden="1">
              <a:extLst>
                <a:ext uri="{63B3BB69-23CF-44E3-9099-C40C66FF867C}">
                  <a14:compatExt spid="_x0000_s7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219075</xdr:rowOff>
        </xdr:to>
        <xdr:sp macro="" textlink="">
          <xdr:nvSpPr>
            <xdr:cNvPr id="71830" name="Check Box 150" hidden="1">
              <a:extLst>
                <a:ext uri="{63B3BB69-23CF-44E3-9099-C40C66FF867C}">
                  <a14:compatExt spid="_x0000_s7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28</xdr:row>
          <xdr:rowOff>0</xdr:rowOff>
        </xdr:from>
        <xdr:to>
          <xdr:col>16</xdr:col>
          <xdr:colOff>628650</xdr:colOff>
          <xdr:row>28</xdr:row>
          <xdr:rowOff>219075</xdr:rowOff>
        </xdr:to>
        <xdr:sp macro="" textlink="">
          <xdr:nvSpPr>
            <xdr:cNvPr id="71831" name="Check Box 151" hidden="1">
              <a:extLst>
                <a:ext uri="{63B3BB69-23CF-44E3-9099-C40C66FF867C}">
                  <a14:compatExt spid="_x0000_s7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219075</xdr:rowOff>
        </xdr:to>
        <xdr:sp macro="" textlink="">
          <xdr:nvSpPr>
            <xdr:cNvPr id="71832" name="Check Box 152" hidden="1">
              <a:extLst>
                <a:ext uri="{63B3BB69-23CF-44E3-9099-C40C66FF867C}">
                  <a14:compatExt spid="_x0000_s7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219075</xdr:rowOff>
        </xdr:to>
        <xdr:sp macro="" textlink="">
          <xdr:nvSpPr>
            <xdr:cNvPr id="71835" name="Check Box 155" hidden="1">
              <a:extLst>
                <a:ext uri="{63B3BB69-23CF-44E3-9099-C40C66FF867C}">
                  <a14:compatExt spid="_x0000_s7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219075</xdr:rowOff>
        </xdr:to>
        <xdr:sp macro="" textlink="">
          <xdr:nvSpPr>
            <xdr:cNvPr id="71836" name="Check Box 156" hidden="1">
              <a:extLst>
                <a:ext uri="{63B3BB69-23CF-44E3-9099-C40C66FF867C}">
                  <a14:compatExt spid="_x0000_s7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219075</xdr:rowOff>
        </xdr:to>
        <xdr:sp macro="" textlink="">
          <xdr:nvSpPr>
            <xdr:cNvPr id="71837" name="Check Box 157" hidden="1">
              <a:extLst>
                <a:ext uri="{63B3BB69-23CF-44E3-9099-C40C66FF867C}">
                  <a14:compatExt spid="_x0000_s7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29</xdr:row>
          <xdr:rowOff>0</xdr:rowOff>
        </xdr:from>
        <xdr:to>
          <xdr:col>16</xdr:col>
          <xdr:colOff>628650</xdr:colOff>
          <xdr:row>29</xdr:row>
          <xdr:rowOff>219075</xdr:rowOff>
        </xdr:to>
        <xdr:sp macro="" textlink="">
          <xdr:nvSpPr>
            <xdr:cNvPr id="71838" name="Check Box 158" hidden="1">
              <a:extLst>
                <a:ext uri="{63B3BB69-23CF-44E3-9099-C40C66FF867C}">
                  <a14:compatExt spid="_x0000_s7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219075</xdr:rowOff>
        </xdr:to>
        <xdr:sp macro="" textlink="">
          <xdr:nvSpPr>
            <xdr:cNvPr id="71839" name="Check Box 159" hidden="1">
              <a:extLst>
                <a:ext uri="{63B3BB69-23CF-44E3-9099-C40C66FF867C}">
                  <a14:compatExt spid="_x0000_s7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219075</xdr:rowOff>
        </xdr:to>
        <xdr:sp macro="" textlink="">
          <xdr:nvSpPr>
            <xdr:cNvPr id="71842" name="Check Box 162" hidden="1">
              <a:extLst>
                <a:ext uri="{63B3BB69-23CF-44E3-9099-C40C66FF867C}">
                  <a14:compatExt spid="_x0000_s7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219075</xdr:rowOff>
        </xdr:to>
        <xdr:sp macro="" textlink="">
          <xdr:nvSpPr>
            <xdr:cNvPr id="71843" name="Check Box 163" hidden="1">
              <a:extLst>
                <a:ext uri="{63B3BB69-23CF-44E3-9099-C40C66FF867C}">
                  <a14:compatExt spid="_x0000_s7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219075</xdr:rowOff>
        </xdr:to>
        <xdr:sp macro="" textlink="">
          <xdr:nvSpPr>
            <xdr:cNvPr id="71844" name="Check Box 164" hidden="1">
              <a:extLst>
                <a:ext uri="{63B3BB69-23CF-44E3-9099-C40C66FF867C}">
                  <a14:compatExt spid="_x0000_s7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30</xdr:row>
          <xdr:rowOff>0</xdr:rowOff>
        </xdr:from>
        <xdr:to>
          <xdr:col>16</xdr:col>
          <xdr:colOff>628650</xdr:colOff>
          <xdr:row>30</xdr:row>
          <xdr:rowOff>219075</xdr:rowOff>
        </xdr:to>
        <xdr:sp macro="" textlink="">
          <xdr:nvSpPr>
            <xdr:cNvPr id="71845" name="Check Box 165" hidden="1">
              <a:extLst>
                <a:ext uri="{63B3BB69-23CF-44E3-9099-C40C66FF867C}">
                  <a14:compatExt spid="_x0000_s7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219075</xdr:rowOff>
        </xdr:to>
        <xdr:sp macro="" textlink="">
          <xdr:nvSpPr>
            <xdr:cNvPr id="71846" name="Check Box 166" hidden="1">
              <a:extLst>
                <a:ext uri="{63B3BB69-23CF-44E3-9099-C40C66FF867C}">
                  <a14:compatExt spid="_x0000_s7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0</xdr:rowOff>
        </xdr:from>
        <xdr:to>
          <xdr:col>2</xdr:col>
          <xdr:colOff>628650</xdr:colOff>
          <xdr:row>31</xdr:row>
          <xdr:rowOff>219075</xdr:rowOff>
        </xdr:to>
        <xdr:sp macro="" textlink="">
          <xdr:nvSpPr>
            <xdr:cNvPr id="71849" name="Check Box 169" hidden="1">
              <a:extLst>
                <a:ext uri="{63B3BB69-23CF-44E3-9099-C40C66FF867C}">
                  <a14:compatExt spid="_x0000_s7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0</xdr:rowOff>
        </xdr:from>
        <xdr:to>
          <xdr:col>6</xdr:col>
          <xdr:colOff>628650</xdr:colOff>
          <xdr:row>31</xdr:row>
          <xdr:rowOff>219075</xdr:rowOff>
        </xdr:to>
        <xdr:sp macro="" textlink="">
          <xdr:nvSpPr>
            <xdr:cNvPr id="71850" name="Check Box 170" hidden="1">
              <a:extLst>
                <a:ext uri="{63B3BB69-23CF-44E3-9099-C40C66FF867C}">
                  <a14:compatExt spid="_x0000_s7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0</xdr:rowOff>
        </xdr:from>
        <xdr:to>
          <xdr:col>8</xdr:col>
          <xdr:colOff>628650</xdr:colOff>
          <xdr:row>31</xdr:row>
          <xdr:rowOff>219075</xdr:rowOff>
        </xdr:to>
        <xdr:sp macro="" textlink="">
          <xdr:nvSpPr>
            <xdr:cNvPr id="71851" name="Check Box 171" hidden="1">
              <a:extLst>
                <a:ext uri="{63B3BB69-23CF-44E3-9099-C40C66FF867C}">
                  <a14:compatExt spid="_x0000_s7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31</xdr:row>
          <xdr:rowOff>0</xdr:rowOff>
        </xdr:from>
        <xdr:to>
          <xdr:col>16</xdr:col>
          <xdr:colOff>628650</xdr:colOff>
          <xdr:row>31</xdr:row>
          <xdr:rowOff>219075</xdr:rowOff>
        </xdr:to>
        <xdr:sp macro="" textlink="">
          <xdr:nvSpPr>
            <xdr:cNvPr id="71852" name="Check Box 172" hidden="1">
              <a:extLst>
                <a:ext uri="{63B3BB69-23CF-44E3-9099-C40C66FF867C}">
                  <a14:compatExt spid="_x0000_s7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0</xdr:rowOff>
        </xdr:from>
        <xdr:to>
          <xdr:col>4</xdr:col>
          <xdr:colOff>628650</xdr:colOff>
          <xdr:row>31</xdr:row>
          <xdr:rowOff>219075</xdr:rowOff>
        </xdr:to>
        <xdr:sp macro="" textlink="">
          <xdr:nvSpPr>
            <xdr:cNvPr id="71853" name="Check Box 173" hidden="1">
              <a:extLst>
                <a:ext uri="{63B3BB69-23CF-44E3-9099-C40C66FF867C}">
                  <a14:compatExt spid="_x0000_s7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0</xdr:rowOff>
        </xdr:from>
        <xdr:to>
          <xdr:col>2</xdr:col>
          <xdr:colOff>628650</xdr:colOff>
          <xdr:row>32</xdr:row>
          <xdr:rowOff>219075</xdr:rowOff>
        </xdr:to>
        <xdr:sp macro="" textlink="">
          <xdr:nvSpPr>
            <xdr:cNvPr id="71856" name="Check Box 176" hidden="1">
              <a:extLst>
                <a:ext uri="{63B3BB69-23CF-44E3-9099-C40C66FF867C}">
                  <a14:compatExt spid="_x0000_s7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0</xdr:rowOff>
        </xdr:from>
        <xdr:to>
          <xdr:col>6</xdr:col>
          <xdr:colOff>628650</xdr:colOff>
          <xdr:row>32</xdr:row>
          <xdr:rowOff>219075</xdr:rowOff>
        </xdr:to>
        <xdr:sp macro="" textlink="">
          <xdr:nvSpPr>
            <xdr:cNvPr id="71857" name="Check Box 177" hidden="1">
              <a:extLst>
                <a:ext uri="{63B3BB69-23CF-44E3-9099-C40C66FF867C}">
                  <a14:compatExt spid="_x0000_s7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0</xdr:rowOff>
        </xdr:from>
        <xdr:to>
          <xdr:col>8</xdr:col>
          <xdr:colOff>628650</xdr:colOff>
          <xdr:row>32</xdr:row>
          <xdr:rowOff>219075</xdr:rowOff>
        </xdr:to>
        <xdr:sp macro="" textlink="">
          <xdr:nvSpPr>
            <xdr:cNvPr id="71858" name="Check Box 178" hidden="1">
              <a:extLst>
                <a:ext uri="{63B3BB69-23CF-44E3-9099-C40C66FF867C}">
                  <a14:compatExt spid="_x0000_s7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32</xdr:row>
          <xdr:rowOff>0</xdr:rowOff>
        </xdr:from>
        <xdr:to>
          <xdr:col>16</xdr:col>
          <xdr:colOff>628650</xdr:colOff>
          <xdr:row>32</xdr:row>
          <xdr:rowOff>219075</xdr:rowOff>
        </xdr:to>
        <xdr:sp macro="" textlink="">
          <xdr:nvSpPr>
            <xdr:cNvPr id="71859" name="Check Box 179" hidden="1">
              <a:extLst>
                <a:ext uri="{63B3BB69-23CF-44E3-9099-C40C66FF867C}">
                  <a14:compatExt spid="_x0000_s7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0</xdr:rowOff>
        </xdr:from>
        <xdr:to>
          <xdr:col>4</xdr:col>
          <xdr:colOff>628650</xdr:colOff>
          <xdr:row>32</xdr:row>
          <xdr:rowOff>219075</xdr:rowOff>
        </xdr:to>
        <xdr:sp macro="" textlink="">
          <xdr:nvSpPr>
            <xdr:cNvPr id="71860" name="Check Box 180" hidden="1">
              <a:extLst>
                <a:ext uri="{63B3BB69-23CF-44E3-9099-C40C66FF867C}">
                  <a14:compatExt spid="_x0000_s7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71863" name="Check Box 183" hidden="1">
              <a:extLst>
                <a:ext uri="{63B3BB69-23CF-44E3-9099-C40C66FF867C}">
                  <a14:compatExt spid="_x0000_s7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71864" name="Check Box 184" hidden="1">
              <a:extLst>
                <a:ext uri="{63B3BB69-23CF-44E3-9099-C40C66FF867C}">
                  <a14:compatExt spid="_x0000_s7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71865" name="Check Box 185" hidden="1">
              <a:extLst>
                <a:ext uri="{63B3BB69-23CF-44E3-9099-C40C66FF867C}">
                  <a14:compatExt spid="_x0000_s7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35</xdr:row>
          <xdr:rowOff>0</xdr:rowOff>
        </xdr:from>
        <xdr:to>
          <xdr:col>16</xdr:col>
          <xdr:colOff>628650</xdr:colOff>
          <xdr:row>35</xdr:row>
          <xdr:rowOff>228600</xdr:rowOff>
        </xdr:to>
        <xdr:sp macro="" textlink="">
          <xdr:nvSpPr>
            <xdr:cNvPr id="71866" name="Check Box 186" hidden="1">
              <a:extLst>
                <a:ext uri="{63B3BB69-23CF-44E3-9099-C40C66FF867C}">
                  <a14:compatExt spid="_x0000_s7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71867" name="Check Box 187" hidden="1">
              <a:extLst>
                <a:ext uri="{63B3BB69-23CF-44E3-9099-C40C66FF867C}">
                  <a14:compatExt spid="_x0000_s7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19050</xdr:rowOff>
        </xdr:from>
        <xdr:to>
          <xdr:col>2</xdr:col>
          <xdr:colOff>628650</xdr:colOff>
          <xdr:row>24</xdr:row>
          <xdr:rowOff>238125</xdr:rowOff>
        </xdr:to>
        <xdr:sp macro="" textlink="">
          <xdr:nvSpPr>
            <xdr:cNvPr id="71870" name="Check Box 190" descr="Fosfaat" hidden="1">
              <a:extLst>
                <a:ext uri="{63B3BB69-23CF-44E3-9099-C40C66FF867C}">
                  <a14:compatExt spid="_x0000_s71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19050</xdr:rowOff>
        </xdr:from>
        <xdr:to>
          <xdr:col>6</xdr:col>
          <xdr:colOff>628650</xdr:colOff>
          <xdr:row>24</xdr:row>
          <xdr:rowOff>238125</xdr:rowOff>
        </xdr:to>
        <xdr:sp macro="" textlink="">
          <xdr:nvSpPr>
            <xdr:cNvPr id="71871" name="Check Box 191" descr="Fosfaat" hidden="1">
              <a:extLst>
                <a:ext uri="{63B3BB69-23CF-44E3-9099-C40C66FF867C}">
                  <a14:compatExt spid="_x0000_s71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19050</xdr:rowOff>
        </xdr:from>
        <xdr:to>
          <xdr:col>8</xdr:col>
          <xdr:colOff>628650</xdr:colOff>
          <xdr:row>24</xdr:row>
          <xdr:rowOff>238125</xdr:rowOff>
        </xdr:to>
        <xdr:sp macro="" textlink="">
          <xdr:nvSpPr>
            <xdr:cNvPr id="71872" name="Check Box 192" descr="Fosfaat" hidden="1">
              <a:extLst>
                <a:ext uri="{63B3BB69-23CF-44E3-9099-C40C66FF867C}">
                  <a14:compatExt spid="_x0000_s71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24</xdr:row>
          <xdr:rowOff>19050</xdr:rowOff>
        </xdr:from>
        <xdr:to>
          <xdr:col>16</xdr:col>
          <xdr:colOff>628650</xdr:colOff>
          <xdr:row>24</xdr:row>
          <xdr:rowOff>238125</xdr:rowOff>
        </xdr:to>
        <xdr:sp macro="" textlink="">
          <xdr:nvSpPr>
            <xdr:cNvPr id="71873" name="Check Box 193" descr="Fosfaat" hidden="1">
              <a:extLst>
                <a:ext uri="{63B3BB69-23CF-44E3-9099-C40C66FF867C}">
                  <a14:compatExt spid="_x0000_s7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19050</xdr:rowOff>
        </xdr:from>
        <xdr:to>
          <xdr:col>4</xdr:col>
          <xdr:colOff>628650</xdr:colOff>
          <xdr:row>24</xdr:row>
          <xdr:rowOff>238125</xdr:rowOff>
        </xdr:to>
        <xdr:sp macro="" textlink="">
          <xdr:nvSpPr>
            <xdr:cNvPr id="71874" name="Check Box 194" descr="Fosfaat" hidden="1">
              <a:extLst>
                <a:ext uri="{63B3BB69-23CF-44E3-9099-C40C66FF867C}">
                  <a14:compatExt spid="_x0000_s7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10</xdr:row>
          <xdr:rowOff>0</xdr:rowOff>
        </xdr:from>
        <xdr:to>
          <xdr:col>10</xdr:col>
          <xdr:colOff>628650</xdr:colOff>
          <xdr:row>10</xdr:row>
          <xdr:rowOff>219075</xdr:rowOff>
        </xdr:to>
        <xdr:sp macro="" textlink="">
          <xdr:nvSpPr>
            <xdr:cNvPr id="71877" name="Check Box 197" hidden="1">
              <a:extLst>
                <a:ext uri="{63B3BB69-23CF-44E3-9099-C40C66FF867C}">
                  <a14:compatExt spid="_x0000_s71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11</xdr:row>
          <xdr:rowOff>0</xdr:rowOff>
        </xdr:from>
        <xdr:to>
          <xdr:col>10</xdr:col>
          <xdr:colOff>628650</xdr:colOff>
          <xdr:row>11</xdr:row>
          <xdr:rowOff>219075</xdr:rowOff>
        </xdr:to>
        <xdr:sp macro="" textlink="">
          <xdr:nvSpPr>
            <xdr:cNvPr id="71878" name="Check Box 198" hidden="1">
              <a:extLst>
                <a:ext uri="{63B3BB69-23CF-44E3-9099-C40C66FF867C}">
                  <a14:compatExt spid="_x0000_s71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13</xdr:row>
          <xdr:rowOff>0</xdr:rowOff>
        </xdr:from>
        <xdr:to>
          <xdr:col>10</xdr:col>
          <xdr:colOff>628650</xdr:colOff>
          <xdr:row>13</xdr:row>
          <xdr:rowOff>219075</xdr:rowOff>
        </xdr:to>
        <xdr:sp macro="" textlink="">
          <xdr:nvSpPr>
            <xdr:cNvPr id="71879" name="Check Box 199" hidden="1">
              <a:extLst>
                <a:ext uri="{63B3BB69-23CF-44E3-9099-C40C66FF867C}">
                  <a14:compatExt spid="_x0000_s71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14</xdr:row>
          <xdr:rowOff>0</xdr:rowOff>
        </xdr:from>
        <xdr:to>
          <xdr:col>10</xdr:col>
          <xdr:colOff>628650</xdr:colOff>
          <xdr:row>14</xdr:row>
          <xdr:rowOff>219075</xdr:rowOff>
        </xdr:to>
        <xdr:sp macro="" textlink="">
          <xdr:nvSpPr>
            <xdr:cNvPr id="71880" name="Check Box 200" hidden="1">
              <a:extLst>
                <a:ext uri="{63B3BB69-23CF-44E3-9099-C40C66FF867C}">
                  <a14:compatExt spid="_x0000_s71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20</xdr:row>
          <xdr:rowOff>0</xdr:rowOff>
        </xdr:from>
        <xdr:to>
          <xdr:col>10</xdr:col>
          <xdr:colOff>619125</xdr:colOff>
          <xdr:row>20</xdr:row>
          <xdr:rowOff>219075</xdr:rowOff>
        </xdr:to>
        <xdr:sp macro="" textlink="">
          <xdr:nvSpPr>
            <xdr:cNvPr id="71881" name="Check Box 201" hidden="1">
              <a:extLst>
                <a:ext uri="{63B3BB69-23CF-44E3-9099-C40C66FF867C}">
                  <a14:compatExt spid="_x0000_s71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19</xdr:row>
          <xdr:rowOff>0</xdr:rowOff>
        </xdr:from>
        <xdr:to>
          <xdr:col>10</xdr:col>
          <xdr:colOff>628650</xdr:colOff>
          <xdr:row>19</xdr:row>
          <xdr:rowOff>219075</xdr:rowOff>
        </xdr:to>
        <xdr:sp macro="" textlink="">
          <xdr:nvSpPr>
            <xdr:cNvPr id="71882" name="Check Box 202" hidden="1">
              <a:extLst>
                <a:ext uri="{63B3BB69-23CF-44E3-9099-C40C66FF867C}">
                  <a14:compatExt spid="_x0000_s71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36</xdr:row>
          <xdr:rowOff>0</xdr:rowOff>
        </xdr:from>
        <xdr:to>
          <xdr:col>10</xdr:col>
          <xdr:colOff>628650</xdr:colOff>
          <xdr:row>36</xdr:row>
          <xdr:rowOff>228600</xdr:rowOff>
        </xdr:to>
        <xdr:sp macro="" textlink="">
          <xdr:nvSpPr>
            <xdr:cNvPr id="71883" name="Check Box 203" hidden="1">
              <a:extLst>
                <a:ext uri="{63B3BB69-23CF-44E3-9099-C40C66FF867C}">
                  <a14:compatExt spid="_x0000_s71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22</xdr:row>
          <xdr:rowOff>0</xdr:rowOff>
        </xdr:from>
        <xdr:to>
          <xdr:col>10</xdr:col>
          <xdr:colOff>628650</xdr:colOff>
          <xdr:row>22</xdr:row>
          <xdr:rowOff>219075</xdr:rowOff>
        </xdr:to>
        <xdr:sp macro="" textlink="">
          <xdr:nvSpPr>
            <xdr:cNvPr id="71884" name="Check Box 204" hidden="1">
              <a:extLst>
                <a:ext uri="{63B3BB69-23CF-44E3-9099-C40C66FF867C}">
                  <a14:compatExt spid="_x0000_s71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25</xdr:row>
          <xdr:rowOff>0</xdr:rowOff>
        </xdr:from>
        <xdr:to>
          <xdr:col>10</xdr:col>
          <xdr:colOff>628650</xdr:colOff>
          <xdr:row>25</xdr:row>
          <xdr:rowOff>219075</xdr:rowOff>
        </xdr:to>
        <xdr:sp macro="" textlink="">
          <xdr:nvSpPr>
            <xdr:cNvPr id="71885" name="Check Box 205" hidden="1">
              <a:extLst>
                <a:ext uri="{63B3BB69-23CF-44E3-9099-C40C66FF867C}">
                  <a14:compatExt spid="_x0000_s71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26</xdr:row>
          <xdr:rowOff>0</xdr:rowOff>
        </xdr:from>
        <xdr:to>
          <xdr:col>10</xdr:col>
          <xdr:colOff>628650</xdr:colOff>
          <xdr:row>26</xdr:row>
          <xdr:rowOff>219075</xdr:rowOff>
        </xdr:to>
        <xdr:sp macro="" textlink="">
          <xdr:nvSpPr>
            <xdr:cNvPr id="71886" name="Check Box 206" hidden="1">
              <a:extLst>
                <a:ext uri="{63B3BB69-23CF-44E3-9099-C40C66FF867C}">
                  <a14:compatExt spid="_x0000_s71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27</xdr:row>
          <xdr:rowOff>0</xdr:rowOff>
        </xdr:from>
        <xdr:to>
          <xdr:col>10</xdr:col>
          <xdr:colOff>628650</xdr:colOff>
          <xdr:row>27</xdr:row>
          <xdr:rowOff>219075</xdr:rowOff>
        </xdr:to>
        <xdr:sp macro="" textlink="">
          <xdr:nvSpPr>
            <xdr:cNvPr id="71887" name="Check Box 207" hidden="1">
              <a:extLst>
                <a:ext uri="{63B3BB69-23CF-44E3-9099-C40C66FF867C}">
                  <a14:compatExt spid="_x0000_s71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0</xdr:rowOff>
        </xdr:from>
        <xdr:to>
          <xdr:col>10</xdr:col>
          <xdr:colOff>619125</xdr:colOff>
          <xdr:row>18</xdr:row>
          <xdr:rowOff>219075</xdr:rowOff>
        </xdr:to>
        <xdr:sp macro="" textlink="">
          <xdr:nvSpPr>
            <xdr:cNvPr id="71888" name="Check Box 208" hidden="1">
              <a:extLst>
                <a:ext uri="{63B3BB69-23CF-44E3-9099-C40C66FF867C}">
                  <a14:compatExt spid="_x0000_s71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34</xdr:row>
          <xdr:rowOff>19050</xdr:rowOff>
        </xdr:from>
        <xdr:to>
          <xdr:col>10</xdr:col>
          <xdr:colOff>628650</xdr:colOff>
          <xdr:row>34</xdr:row>
          <xdr:rowOff>238125</xdr:rowOff>
        </xdr:to>
        <xdr:sp macro="" textlink="">
          <xdr:nvSpPr>
            <xdr:cNvPr id="71889" name="Check Box 209" hidden="1">
              <a:extLst>
                <a:ext uri="{63B3BB69-23CF-44E3-9099-C40C66FF867C}">
                  <a14:compatExt spid="_x0000_s71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10</xdr:row>
          <xdr:rowOff>0</xdr:rowOff>
        </xdr:from>
        <xdr:to>
          <xdr:col>12</xdr:col>
          <xdr:colOff>628650</xdr:colOff>
          <xdr:row>10</xdr:row>
          <xdr:rowOff>219075</xdr:rowOff>
        </xdr:to>
        <xdr:sp macro="" textlink="">
          <xdr:nvSpPr>
            <xdr:cNvPr id="71890" name="Check Box 210" hidden="1">
              <a:extLst>
                <a:ext uri="{63B3BB69-23CF-44E3-9099-C40C66FF867C}">
                  <a14:compatExt spid="_x0000_s71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11</xdr:row>
          <xdr:rowOff>0</xdr:rowOff>
        </xdr:from>
        <xdr:to>
          <xdr:col>12</xdr:col>
          <xdr:colOff>628650</xdr:colOff>
          <xdr:row>11</xdr:row>
          <xdr:rowOff>219075</xdr:rowOff>
        </xdr:to>
        <xdr:sp macro="" textlink="">
          <xdr:nvSpPr>
            <xdr:cNvPr id="71891" name="Check Box 211" hidden="1">
              <a:extLst>
                <a:ext uri="{63B3BB69-23CF-44E3-9099-C40C66FF867C}">
                  <a14:compatExt spid="_x0000_s71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13</xdr:row>
          <xdr:rowOff>0</xdr:rowOff>
        </xdr:from>
        <xdr:to>
          <xdr:col>12</xdr:col>
          <xdr:colOff>628650</xdr:colOff>
          <xdr:row>13</xdr:row>
          <xdr:rowOff>219075</xdr:rowOff>
        </xdr:to>
        <xdr:sp macro="" textlink="">
          <xdr:nvSpPr>
            <xdr:cNvPr id="71892" name="Check Box 212" hidden="1">
              <a:extLst>
                <a:ext uri="{63B3BB69-23CF-44E3-9099-C40C66FF867C}">
                  <a14:compatExt spid="_x0000_s71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14</xdr:row>
          <xdr:rowOff>0</xdr:rowOff>
        </xdr:from>
        <xdr:to>
          <xdr:col>12</xdr:col>
          <xdr:colOff>628650</xdr:colOff>
          <xdr:row>14</xdr:row>
          <xdr:rowOff>219075</xdr:rowOff>
        </xdr:to>
        <xdr:sp macro="" textlink="">
          <xdr:nvSpPr>
            <xdr:cNvPr id="71893" name="Check Box 213" hidden="1">
              <a:extLst>
                <a:ext uri="{63B3BB69-23CF-44E3-9099-C40C66FF867C}">
                  <a14:compatExt spid="_x0000_s71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20</xdr:row>
          <xdr:rowOff>0</xdr:rowOff>
        </xdr:from>
        <xdr:to>
          <xdr:col>12</xdr:col>
          <xdr:colOff>619125</xdr:colOff>
          <xdr:row>20</xdr:row>
          <xdr:rowOff>219075</xdr:rowOff>
        </xdr:to>
        <xdr:sp macro="" textlink="">
          <xdr:nvSpPr>
            <xdr:cNvPr id="71894" name="Check Box 214" hidden="1">
              <a:extLst>
                <a:ext uri="{63B3BB69-23CF-44E3-9099-C40C66FF867C}">
                  <a14:compatExt spid="_x0000_s71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19</xdr:row>
          <xdr:rowOff>0</xdr:rowOff>
        </xdr:from>
        <xdr:to>
          <xdr:col>12</xdr:col>
          <xdr:colOff>628650</xdr:colOff>
          <xdr:row>19</xdr:row>
          <xdr:rowOff>219075</xdr:rowOff>
        </xdr:to>
        <xdr:sp macro="" textlink="">
          <xdr:nvSpPr>
            <xdr:cNvPr id="71895" name="Check Box 215" hidden="1">
              <a:extLst>
                <a:ext uri="{63B3BB69-23CF-44E3-9099-C40C66FF867C}">
                  <a14:compatExt spid="_x0000_s71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36</xdr:row>
          <xdr:rowOff>0</xdr:rowOff>
        </xdr:from>
        <xdr:to>
          <xdr:col>12</xdr:col>
          <xdr:colOff>628650</xdr:colOff>
          <xdr:row>36</xdr:row>
          <xdr:rowOff>228600</xdr:rowOff>
        </xdr:to>
        <xdr:sp macro="" textlink="">
          <xdr:nvSpPr>
            <xdr:cNvPr id="71896" name="Check Box 216" hidden="1">
              <a:extLst>
                <a:ext uri="{63B3BB69-23CF-44E3-9099-C40C66FF867C}">
                  <a14:compatExt spid="_x0000_s71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22</xdr:row>
          <xdr:rowOff>0</xdr:rowOff>
        </xdr:from>
        <xdr:to>
          <xdr:col>12</xdr:col>
          <xdr:colOff>628650</xdr:colOff>
          <xdr:row>22</xdr:row>
          <xdr:rowOff>219075</xdr:rowOff>
        </xdr:to>
        <xdr:sp macro="" textlink="">
          <xdr:nvSpPr>
            <xdr:cNvPr id="71897" name="Check Box 217" hidden="1">
              <a:extLst>
                <a:ext uri="{63B3BB69-23CF-44E3-9099-C40C66FF867C}">
                  <a14:compatExt spid="_x0000_s71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25</xdr:row>
          <xdr:rowOff>0</xdr:rowOff>
        </xdr:from>
        <xdr:to>
          <xdr:col>12</xdr:col>
          <xdr:colOff>628650</xdr:colOff>
          <xdr:row>25</xdr:row>
          <xdr:rowOff>219075</xdr:rowOff>
        </xdr:to>
        <xdr:sp macro="" textlink="">
          <xdr:nvSpPr>
            <xdr:cNvPr id="71898" name="Check Box 218" hidden="1">
              <a:extLst>
                <a:ext uri="{63B3BB69-23CF-44E3-9099-C40C66FF867C}">
                  <a14:compatExt spid="_x0000_s71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26</xdr:row>
          <xdr:rowOff>0</xdr:rowOff>
        </xdr:from>
        <xdr:to>
          <xdr:col>12</xdr:col>
          <xdr:colOff>628650</xdr:colOff>
          <xdr:row>26</xdr:row>
          <xdr:rowOff>219075</xdr:rowOff>
        </xdr:to>
        <xdr:sp macro="" textlink="">
          <xdr:nvSpPr>
            <xdr:cNvPr id="71899" name="Check Box 219" hidden="1">
              <a:extLst>
                <a:ext uri="{63B3BB69-23CF-44E3-9099-C40C66FF867C}">
                  <a14:compatExt spid="_x0000_s71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27</xdr:row>
          <xdr:rowOff>0</xdr:rowOff>
        </xdr:from>
        <xdr:to>
          <xdr:col>12</xdr:col>
          <xdr:colOff>628650</xdr:colOff>
          <xdr:row>27</xdr:row>
          <xdr:rowOff>219075</xdr:rowOff>
        </xdr:to>
        <xdr:sp macro="" textlink="">
          <xdr:nvSpPr>
            <xdr:cNvPr id="71900" name="Check Box 220" hidden="1">
              <a:extLst>
                <a:ext uri="{63B3BB69-23CF-44E3-9099-C40C66FF867C}">
                  <a14:compatExt spid="_x0000_s71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18</xdr:row>
          <xdr:rowOff>0</xdr:rowOff>
        </xdr:from>
        <xdr:to>
          <xdr:col>12</xdr:col>
          <xdr:colOff>619125</xdr:colOff>
          <xdr:row>18</xdr:row>
          <xdr:rowOff>219075</xdr:rowOff>
        </xdr:to>
        <xdr:sp macro="" textlink="">
          <xdr:nvSpPr>
            <xdr:cNvPr id="71901" name="Check Box 221" hidden="1">
              <a:extLst>
                <a:ext uri="{63B3BB69-23CF-44E3-9099-C40C66FF867C}">
                  <a14:compatExt spid="_x0000_s71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34</xdr:row>
          <xdr:rowOff>19050</xdr:rowOff>
        </xdr:from>
        <xdr:to>
          <xdr:col>12</xdr:col>
          <xdr:colOff>628650</xdr:colOff>
          <xdr:row>34</xdr:row>
          <xdr:rowOff>238125</xdr:rowOff>
        </xdr:to>
        <xdr:sp macro="" textlink="">
          <xdr:nvSpPr>
            <xdr:cNvPr id="71902" name="Check Box 222" hidden="1">
              <a:extLst>
                <a:ext uri="{63B3BB69-23CF-44E3-9099-C40C66FF867C}">
                  <a14:compatExt spid="_x0000_s71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38</xdr:row>
          <xdr:rowOff>19050</xdr:rowOff>
        </xdr:from>
        <xdr:to>
          <xdr:col>10</xdr:col>
          <xdr:colOff>628650</xdr:colOff>
          <xdr:row>38</xdr:row>
          <xdr:rowOff>238125</xdr:rowOff>
        </xdr:to>
        <xdr:sp macro="" textlink="">
          <xdr:nvSpPr>
            <xdr:cNvPr id="71903" name="Check Box 223" hidden="1">
              <a:extLst>
                <a:ext uri="{63B3BB69-23CF-44E3-9099-C40C66FF867C}">
                  <a14:compatExt spid="_x0000_s71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38</xdr:row>
          <xdr:rowOff>19050</xdr:rowOff>
        </xdr:from>
        <xdr:to>
          <xdr:col>12</xdr:col>
          <xdr:colOff>628650</xdr:colOff>
          <xdr:row>38</xdr:row>
          <xdr:rowOff>238125</xdr:rowOff>
        </xdr:to>
        <xdr:sp macro="" textlink="">
          <xdr:nvSpPr>
            <xdr:cNvPr id="71904" name="Check Box 224" hidden="1">
              <a:extLst>
                <a:ext uri="{63B3BB69-23CF-44E3-9099-C40C66FF867C}">
                  <a14:compatExt spid="_x0000_s71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12</xdr:row>
          <xdr:rowOff>0</xdr:rowOff>
        </xdr:from>
        <xdr:to>
          <xdr:col>10</xdr:col>
          <xdr:colOff>628650</xdr:colOff>
          <xdr:row>12</xdr:row>
          <xdr:rowOff>219075</xdr:rowOff>
        </xdr:to>
        <xdr:sp macro="" textlink="">
          <xdr:nvSpPr>
            <xdr:cNvPr id="71905" name="Check Box 225" hidden="1">
              <a:extLst>
                <a:ext uri="{63B3BB69-23CF-44E3-9099-C40C66FF867C}">
                  <a14:compatExt spid="_x0000_s71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12</xdr:row>
          <xdr:rowOff>0</xdr:rowOff>
        </xdr:from>
        <xdr:to>
          <xdr:col>12</xdr:col>
          <xdr:colOff>628650</xdr:colOff>
          <xdr:row>12</xdr:row>
          <xdr:rowOff>219075</xdr:rowOff>
        </xdr:to>
        <xdr:sp macro="" textlink="">
          <xdr:nvSpPr>
            <xdr:cNvPr id="71906" name="Check Box 226" hidden="1">
              <a:extLst>
                <a:ext uri="{63B3BB69-23CF-44E3-9099-C40C66FF867C}">
                  <a14:compatExt spid="_x0000_s71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23</xdr:row>
          <xdr:rowOff>0</xdr:rowOff>
        </xdr:from>
        <xdr:to>
          <xdr:col>10</xdr:col>
          <xdr:colOff>628650</xdr:colOff>
          <xdr:row>23</xdr:row>
          <xdr:rowOff>219075</xdr:rowOff>
        </xdr:to>
        <xdr:sp macro="" textlink="">
          <xdr:nvSpPr>
            <xdr:cNvPr id="71907" name="Check Box 227" hidden="1">
              <a:extLst>
                <a:ext uri="{63B3BB69-23CF-44E3-9099-C40C66FF867C}">
                  <a14:compatExt spid="_x0000_s71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23</xdr:row>
          <xdr:rowOff>0</xdr:rowOff>
        </xdr:from>
        <xdr:to>
          <xdr:col>12</xdr:col>
          <xdr:colOff>628650</xdr:colOff>
          <xdr:row>23</xdr:row>
          <xdr:rowOff>219075</xdr:rowOff>
        </xdr:to>
        <xdr:sp macro="" textlink="">
          <xdr:nvSpPr>
            <xdr:cNvPr id="71908" name="Check Box 228" hidden="1">
              <a:extLst>
                <a:ext uri="{63B3BB69-23CF-44E3-9099-C40C66FF867C}">
                  <a14:compatExt spid="_x0000_s71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39</xdr:row>
          <xdr:rowOff>19050</xdr:rowOff>
        </xdr:from>
        <xdr:to>
          <xdr:col>10</xdr:col>
          <xdr:colOff>628650</xdr:colOff>
          <xdr:row>39</xdr:row>
          <xdr:rowOff>238125</xdr:rowOff>
        </xdr:to>
        <xdr:sp macro="" textlink="">
          <xdr:nvSpPr>
            <xdr:cNvPr id="71909" name="Check Box 229" hidden="1">
              <a:extLst>
                <a:ext uri="{63B3BB69-23CF-44E3-9099-C40C66FF867C}">
                  <a14:compatExt spid="_x0000_s71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39</xdr:row>
          <xdr:rowOff>19050</xdr:rowOff>
        </xdr:from>
        <xdr:to>
          <xdr:col>12</xdr:col>
          <xdr:colOff>628650</xdr:colOff>
          <xdr:row>39</xdr:row>
          <xdr:rowOff>238125</xdr:rowOff>
        </xdr:to>
        <xdr:sp macro="" textlink="">
          <xdr:nvSpPr>
            <xdr:cNvPr id="71910" name="Check Box 230" hidden="1">
              <a:extLst>
                <a:ext uri="{63B3BB69-23CF-44E3-9099-C40C66FF867C}">
                  <a14:compatExt spid="_x0000_s71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40</xdr:row>
          <xdr:rowOff>19050</xdr:rowOff>
        </xdr:from>
        <xdr:to>
          <xdr:col>10</xdr:col>
          <xdr:colOff>628650</xdr:colOff>
          <xdr:row>40</xdr:row>
          <xdr:rowOff>238125</xdr:rowOff>
        </xdr:to>
        <xdr:sp macro="" textlink="">
          <xdr:nvSpPr>
            <xdr:cNvPr id="71911" name="Check Box 231" hidden="1">
              <a:extLst>
                <a:ext uri="{63B3BB69-23CF-44E3-9099-C40C66FF867C}">
                  <a14:compatExt spid="_x0000_s71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40</xdr:row>
          <xdr:rowOff>19050</xdr:rowOff>
        </xdr:from>
        <xdr:to>
          <xdr:col>12</xdr:col>
          <xdr:colOff>628650</xdr:colOff>
          <xdr:row>40</xdr:row>
          <xdr:rowOff>238125</xdr:rowOff>
        </xdr:to>
        <xdr:sp macro="" textlink="">
          <xdr:nvSpPr>
            <xdr:cNvPr id="71912" name="Check Box 232" hidden="1">
              <a:extLst>
                <a:ext uri="{63B3BB69-23CF-44E3-9099-C40C66FF867C}">
                  <a14:compatExt spid="_x0000_s71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15</xdr:row>
          <xdr:rowOff>0</xdr:rowOff>
        </xdr:from>
        <xdr:to>
          <xdr:col>10</xdr:col>
          <xdr:colOff>628650</xdr:colOff>
          <xdr:row>15</xdr:row>
          <xdr:rowOff>219075</xdr:rowOff>
        </xdr:to>
        <xdr:sp macro="" textlink="">
          <xdr:nvSpPr>
            <xdr:cNvPr id="71913" name="Check Box 233" hidden="1">
              <a:extLst>
                <a:ext uri="{63B3BB69-23CF-44E3-9099-C40C66FF867C}">
                  <a14:compatExt spid="_x0000_s71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15</xdr:row>
          <xdr:rowOff>0</xdr:rowOff>
        </xdr:from>
        <xdr:to>
          <xdr:col>12</xdr:col>
          <xdr:colOff>628650</xdr:colOff>
          <xdr:row>15</xdr:row>
          <xdr:rowOff>219075</xdr:rowOff>
        </xdr:to>
        <xdr:sp macro="" textlink="">
          <xdr:nvSpPr>
            <xdr:cNvPr id="71914" name="Check Box 234" hidden="1">
              <a:extLst>
                <a:ext uri="{63B3BB69-23CF-44E3-9099-C40C66FF867C}">
                  <a14:compatExt spid="_x0000_s71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17</xdr:row>
          <xdr:rowOff>0</xdr:rowOff>
        </xdr:from>
        <xdr:to>
          <xdr:col>10</xdr:col>
          <xdr:colOff>628650</xdr:colOff>
          <xdr:row>17</xdr:row>
          <xdr:rowOff>219075</xdr:rowOff>
        </xdr:to>
        <xdr:sp macro="" textlink="">
          <xdr:nvSpPr>
            <xdr:cNvPr id="71915" name="Check Box 235" hidden="1">
              <a:extLst>
                <a:ext uri="{63B3BB69-23CF-44E3-9099-C40C66FF867C}">
                  <a14:compatExt spid="_x0000_s71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17</xdr:row>
          <xdr:rowOff>0</xdr:rowOff>
        </xdr:from>
        <xdr:to>
          <xdr:col>12</xdr:col>
          <xdr:colOff>628650</xdr:colOff>
          <xdr:row>17</xdr:row>
          <xdr:rowOff>219075</xdr:rowOff>
        </xdr:to>
        <xdr:sp macro="" textlink="">
          <xdr:nvSpPr>
            <xdr:cNvPr id="71916" name="Check Box 236" hidden="1">
              <a:extLst>
                <a:ext uri="{63B3BB69-23CF-44E3-9099-C40C66FF867C}">
                  <a14:compatExt spid="_x0000_s71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21</xdr:row>
          <xdr:rowOff>0</xdr:rowOff>
        </xdr:from>
        <xdr:to>
          <xdr:col>10</xdr:col>
          <xdr:colOff>619125</xdr:colOff>
          <xdr:row>21</xdr:row>
          <xdr:rowOff>219075</xdr:rowOff>
        </xdr:to>
        <xdr:sp macro="" textlink="">
          <xdr:nvSpPr>
            <xdr:cNvPr id="71917" name="Check Box 237" hidden="1">
              <a:extLst>
                <a:ext uri="{63B3BB69-23CF-44E3-9099-C40C66FF867C}">
                  <a14:compatExt spid="_x0000_s71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21</xdr:row>
          <xdr:rowOff>0</xdr:rowOff>
        </xdr:from>
        <xdr:to>
          <xdr:col>12</xdr:col>
          <xdr:colOff>619125</xdr:colOff>
          <xdr:row>21</xdr:row>
          <xdr:rowOff>219075</xdr:rowOff>
        </xdr:to>
        <xdr:sp macro="" textlink="">
          <xdr:nvSpPr>
            <xdr:cNvPr id="71918" name="Check Box 238" hidden="1">
              <a:extLst>
                <a:ext uri="{63B3BB69-23CF-44E3-9099-C40C66FF867C}">
                  <a14:compatExt spid="_x0000_s71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28</xdr:row>
          <xdr:rowOff>0</xdr:rowOff>
        </xdr:from>
        <xdr:to>
          <xdr:col>10</xdr:col>
          <xdr:colOff>628650</xdr:colOff>
          <xdr:row>28</xdr:row>
          <xdr:rowOff>219075</xdr:rowOff>
        </xdr:to>
        <xdr:sp macro="" textlink="">
          <xdr:nvSpPr>
            <xdr:cNvPr id="71919" name="Check Box 239" hidden="1">
              <a:extLst>
                <a:ext uri="{63B3BB69-23CF-44E3-9099-C40C66FF867C}">
                  <a14:compatExt spid="_x0000_s71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28</xdr:row>
          <xdr:rowOff>0</xdr:rowOff>
        </xdr:from>
        <xdr:to>
          <xdr:col>12</xdr:col>
          <xdr:colOff>628650</xdr:colOff>
          <xdr:row>28</xdr:row>
          <xdr:rowOff>219075</xdr:rowOff>
        </xdr:to>
        <xdr:sp macro="" textlink="">
          <xdr:nvSpPr>
            <xdr:cNvPr id="71920" name="Check Box 240" hidden="1">
              <a:extLst>
                <a:ext uri="{63B3BB69-23CF-44E3-9099-C40C66FF867C}">
                  <a14:compatExt spid="_x0000_s71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29</xdr:row>
          <xdr:rowOff>0</xdr:rowOff>
        </xdr:from>
        <xdr:to>
          <xdr:col>10</xdr:col>
          <xdr:colOff>628650</xdr:colOff>
          <xdr:row>29</xdr:row>
          <xdr:rowOff>219075</xdr:rowOff>
        </xdr:to>
        <xdr:sp macro="" textlink="">
          <xdr:nvSpPr>
            <xdr:cNvPr id="71921" name="Check Box 241" hidden="1">
              <a:extLst>
                <a:ext uri="{63B3BB69-23CF-44E3-9099-C40C66FF867C}">
                  <a14:compatExt spid="_x0000_s71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29</xdr:row>
          <xdr:rowOff>0</xdr:rowOff>
        </xdr:from>
        <xdr:to>
          <xdr:col>12</xdr:col>
          <xdr:colOff>628650</xdr:colOff>
          <xdr:row>29</xdr:row>
          <xdr:rowOff>219075</xdr:rowOff>
        </xdr:to>
        <xdr:sp macro="" textlink="">
          <xdr:nvSpPr>
            <xdr:cNvPr id="71922" name="Check Box 242" hidden="1">
              <a:extLst>
                <a:ext uri="{63B3BB69-23CF-44E3-9099-C40C66FF867C}">
                  <a14:compatExt spid="_x0000_s7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30</xdr:row>
          <xdr:rowOff>0</xdr:rowOff>
        </xdr:from>
        <xdr:to>
          <xdr:col>10</xdr:col>
          <xdr:colOff>628650</xdr:colOff>
          <xdr:row>30</xdr:row>
          <xdr:rowOff>219075</xdr:rowOff>
        </xdr:to>
        <xdr:sp macro="" textlink="">
          <xdr:nvSpPr>
            <xdr:cNvPr id="71923" name="Check Box 243" hidden="1">
              <a:extLst>
                <a:ext uri="{63B3BB69-23CF-44E3-9099-C40C66FF867C}">
                  <a14:compatExt spid="_x0000_s71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30</xdr:row>
          <xdr:rowOff>0</xdr:rowOff>
        </xdr:from>
        <xdr:to>
          <xdr:col>12</xdr:col>
          <xdr:colOff>628650</xdr:colOff>
          <xdr:row>30</xdr:row>
          <xdr:rowOff>219075</xdr:rowOff>
        </xdr:to>
        <xdr:sp macro="" textlink="">
          <xdr:nvSpPr>
            <xdr:cNvPr id="71924" name="Check Box 244" hidden="1">
              <a:extLst>
                <a:ext uri="{63B3BB69-23CF-44E3-9099-C40C66FF867C}">
                  <a14:compatExt spid="_x0000_s71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31</xdr:row>
          <xdr:rowOff>0</xdr:rowOff>
        </xdr:from>
        <xdr:to>
          <xdr:col>10</xdr:col>
          <xdr:colOff>628650</xdr:colOff>
          <xdr:row>31</xdr:row>
          <xdr:rowOff>219075</xdr:rowOff>
        </xdr:to>
        <xdr:sp macro="" textlink="">
          <xdr:nvSpPr>
            <xdr:cNvPr id="71925" name="Check Box 245" hidden="1">
              <a:extLst>
                <a:ext uri="{63B3BB69-23CF-44E3-9099-C40C66FF867C}">
                  <a14:compatExt spid="_x0000_s71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31</xdr:row>
          <xdr:rowOff>0</xdr:rowOff>
        </xdr:from>
        <xdr:to>
          <xdr:col>12</xdr:col>
          <xdr:colOff>628650</xdr:colOff>
          <xdr:row>31</xdr:row>
          <xdr:rowOff>219075</xdr:rowOff>
        </xdr:to>
        <xdr:sp macro="" textlink="">
          <xdr:nvSpPr>
            <xdr:cNvPr id="71926" name="Check Box 246" hidden="1">
              <a:extLst>
                <a:ext uri="{63B3BB69-23CF-44E3-9099-C40C66FF867C}">
                  <a14:compatExt spid="_x0000_s71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32</xdr:row>
          <xdr:rowOff>0</xdr:rowOff>
        </xdr:from>
        <xdr:to>
          <xdr:col>10</xdr:col>
          <xdr:colOff>628650</xdr:colOff>
          <xdr:row>32</xdr:row>
          <xdr:rowOff>219075</xdr:rowOff>
        </xdr:to>
        <xdr:sp macro="" textlink="">
          <xdr:nvSpPr>
            <xdr:cNvPr id="71927" name="Check Box 247" hidden="1">
              <a:extLst>
                <a:ext uri="{63B3BB69-23CF-44E3-9099-C40C66FF867C}">
                  <a14:compatExt spid="_x0000_s71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32</xdr:row>
          <xdr:rowOff>0</xdr:rowOff>
        </xdr:from>
        <xdr:to>
          <xdr:col>12</xdr:col>
          <xdr:colOff>628650</xdr:colOff>
          <xdr:row>32</xdr:row>
          <xdr:rowOff>219075</xdr:rowOff>
        </xdr:to>
        <xdr:sp macro="" textlink="">
          <xdr:nvSpPr>
            <xdr:cNvPr id="71928" name="Check Box 248" hidden="1">
              <a:extLst>
                <a:ext uri="{63B3BB69-23CF-44E3-9099-C40C66FF867C}">
                  <a14:compatExt spid="_x0000_s71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35</xdr:row>
          <xdr:rowOff>0</xdr:rowOff>
        </xdr:from>
        <xdr:to>
          <xdr:col>10</xdr:col>
          <xdr:colOff>628650</xdr:colOff>
          <xdr:row>35</xdr:row>
          <xdr:rowOff>228600</xdr:rowOff>
        </xdr:to>
        <xdr:sp macro="" textlink="">
          <xdr:nvSpPr>
            <xdr:cNvPr id="71929" name="Check Box 249" hidden="1">
              <a:extLst>
                <a:ext uri="{63B3BB69-23CF-44E3-9099-C40C66FF867C}">
                  <a14:compatExt spid="_x0000_s71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35</xdr:row>
          <xdr:rowOff>0</xdr:rowOff>
        </xdr:from>
        <xdr:to>
          <xdr:col>12</xdr:col>
          <xdr:colOff>628650</xdr:colOff>
          <xdr:row>35</xdr:row>
          <xdr:rowOff>228600</xdr:rowOff>
        </xdr:to>
        <xdr:sp macro="" textlink="">
          <xdr:nvSpPr>
            <xdr:cNvPr id="71930" name="Check Box 250" hidden="1">
              <a:extLst>
                <a:ext uri="{63B3BB69-23CF-44E3-9099-C40C66FF867C}">
                  <a14:compatExt spid="_x0000_s71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24</xdr:row>
          <xdr:rowOff>19050</xdr:rowOff>
        </xdr:from>
        <xdr:to>
          <xdr:col>10</xdr:col>
          <xdr:colOff>628650</xdr:colOff>
          <xdr:row>24</xdr:row>
          <xdr:rowOff>238125</xdr:rowOff>
        </xdr:to>
        <xdr:sp macro="" textlink="">
          <xdr:nvSpPr>
            <xdr:cNvPr id="71931" name="Check Box 251" descr="Fosfaat" hidden="1">
              <a:extLst>
                <a:ext uri="{63B3BB69-23CF-44E3-9099-C40C66FF867C}">
                  <a14:compatExt spid="_x0000_s71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24</xdr:row>
          <xdr:rowOff>19050</xdr:rowOff>
        </xdr:from>
        <xdr:to>
          <xdr:col>12</xdr:col>
          <xdr:colOff>628650</xdr:colOff>
          <xdr:row>24</xdr:row>
          <xdr:rowOff>238125</xdr:rowOff>
        </xdr:to>
        <xdr:sp macro="" textlink="">
          <xdr:nvSpPr>
            <xdr:cNvPr id="71932" name="Check Box 252" descr="Fosfaat" hidden="1">
              <a:extLst>
                <a:ext uri="{63B3BB69-23CF-44E3-9099-C40C66FF867C}">
                  <a14:compatExt spid="_x0000_s71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16</xdr:row>
          <xdr:rowOff>0</xdr:rowOff>
        </xdr:from>
        <xdr:to>
          <xdr:col>2</xdr:col>
          <xdr:colOff>628650</xdr:colOff>
          <xdr:row>16</xdr:row>
          <xdr:rowOff>219075</xdr:rowOff>
        </xdr:to>
        <xdr:sp macro="" textlink="">
          <xdr:nvSpPr>
            <xdr:cNvPr id="71933" name="Check Box 253" descr="Leuko's + diff" hidden="1">
              <a:extLst>
                <a:ext uri="{63B3BB69-23CF-44E3-9099-C40C66FF867C}">
                  <a14:compatExt spid="_x0000_s71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16</xdr:row>
          <xdr:rowOff>0</xdr:rowOff>
        </xdr:from>
        <xdr:to>
          <xdr:col>6</xdr:col>
          <xdr:colOff>628650</xdr:colOff>
          <xdr:row>16</xdr:row>
          <xdr:rowOff>219075</xdr:rowOff>
        </xdr:to>
        <xdr:sp macro="" textlink="">
          <xdr:nvSpPr>
            <xdr:cNvPr id="71934" name="Check Box 254" hidden="1">
              <a:extLst>
                <a:ext uri="{63B3BB69-23CF-44E3-9099-C40C66FF867C}">
                  <a14:compatExt spid="_x0000_s71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16</xdr:row>
          <xdr:rowOff>0</xdr:rowOff>
        </xdr:from>
        <xdr:to>
          <xdr:col>8</xdr:col>
          <xdr:colOff>628650</xdr:colOff>
          <xdr:row>16</xdr:row>
          <xdr:rowOff>219075</xdr:rowOff>
        </xdr:to>
        <xdr:sp macro="" textlink="">
          <xdr:nvSpPr>
            <xdr:cNvPr id="71935" name="Check Box 255" hidden="1">
              <a:extLst>
                <a:ext uri="{63B3BB69-23CF-44E3-9099-C40C66FF867C}">
                  <a14:compatExt spid="_x0000_s71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16</xdr:row>
          <xdr:rowOff>0</xdr:rowOff>
        </xdr:from>
        <xdr:to>
          <xdr:col>16</xdr:col>
          <xdr:colOff>628650</xdr:colOff>
          <xdr:row>16</xdr:row>
          <xdr:rowOff>219075</xdr:rowOff>
        </xdr:to>
        <xdr:sp macro="" textlink="">
          <xdr:nvSpPr>
            <xdr:cNvPr id="71936" name="Check Box 256" hidden="1">
              <a:extLst>
                <a:ext uri="{63B3BB69-23CF-44E3-9099-C40C66FF867C}">
                  <a14:compatExt spid="_x0000_s71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16</xdr:row>
          <xdr:rowOff>0</xdr:rowOff>
        </xdr:from>
        <xdr:to>
          <xdr:col>4</xdr:col>
          <xdr:colOff>628650</xdr:colOff>
          <xdr:row>16</xdr:row>
          <xdr:rowOff>219075</xdr:rowOff>
        </xdr:to>
        <xdr:sp macro="" textlink="">
          <xdr:nvSpPr>
            <xdr:cNvPr id="71937" name="Check Box 257" hidden="1">
              <a:extLst>
                <a:ext uri="{63B3BB69-23CF-44E3-9099-C40C66FF867C}">
                  <a14:compatExt spid="_x0000_s71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16</xdr:row>
          <xdr:rowOff>0</xdr:rowOff>
        </xdr:from>
        <xdr:to>
          <xdr:col>10</xdr:col>
          <xdr:colOff>628650</xdr:colOff>
          <xdr:row>16</xdr:row>
          <xdr:rowOff>219075</xdr:rowOff>
        </xdr:to>
        <xdr:sp macro="" textlink="">
          <xdr:nvSpPr>
            <xdr:cNvPr id="71940" name="Check Box 260" hidden="1">
              <a:extLst>
                <a:ext uri="{63B3BB69-23CF-44E3-9099-C40C66FF867C}">
                  <a14:compatExt spid="_x0000_s71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16</xdr:row>
          <xdr:rowOff>0</xdr:rowOff>
        </xdr:from>
        <xdr:to>
          <xdr:col>12</xdr:col>
          <xdr:colOff>628650</xdr:colOff>
          <xdr:row>16</xdr:row>
          <xdr:rowOff>219075</xdr:rowOff>
        </xdr:to>
        <xdr:sp macro="" textlink="">
          <xdr:nvSpPr>
            <xdr:cNvPr id="71941" name="Check Box 261" hidden="1">
              <a:extLst>
                <a:ext uri="{63B3BB69-23CF-44E3-9099-C40C66FF867C}">
                  <a14:compatExt spid="_x0000_s71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0</xdr:rowOff>
        </xdr:from>
        <xdr:to>
          <xdr:col>2</xdr:col>
          <xdr:colOff>628650</xdr:colOff>
          <xdr:row>37</xdr:row>
          <xdr:rowOff>228600</xdr:rowOff>
        </xdr:to>
        <xdr:sp macro="" textlink="">
          <xdr:nvSpPr>
            <xdr:cNvPr id="71942" name="Check Box 262" descr="NICU APTT " hidden="1">
              <a:extLst>
                <a:ext uri="{63B3BB69-23CF-44E3-9099-C40C66FF867C}">
                  <a14:compatExt spid="_x0000_s71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0</xdr:rowOff>
        </xdr:from>
        <xdr:to>
          <xdr:col>6</xdr:col>
          <xdr:colOff>628650</xdr:colOff>
          <xdr:row>37</xdr:row>
          <xdr:rowOff>228600</xdr:rowOff>
        </xdr:to>
        <xdr:sp macro="" textlink="">
          <xdr:nvSpPr>
            <xdr:cNvPr id="71943" name="Check Box 263" hidden="1">
              <a:extLst>
                <a:ext uri="{63B3BB69-23CF-44E3-9099-C40C66FF867C}">
                  <a14:compatExt spid="_x0000_s71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0</xdr:rowOff>
        </xdr:from>
        <xdr:to>
          <xdr:col>8</xdr:col>
          <xdr:colOff>628650</xdr:colOff>
          <xdr:row>37</xdr:row>
          <xdr:rowOff>228600</xdr:rowOff>
        </xdr:to>
        <xdr:sp macro="" textlink="">
          <xdr:nvSpPr>
            <xdr:cNvPr id="71944" name="Check Box 264" hidden="1">
              <a:extLst>
                <a:ext uri="{63B3BB69-23CF-44E3-9099-C40C66FF867C}">
                  <a14:compatExt spid="_x0000_s71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37</xdr:row>
          <xdr:rowOff>0</xdr:rowOff>
        </xdr:from>
        <xdr:to>
          <xdr:col>16</xdr:col>
          <xdr:colOff>628650</xdr:colOff>
          <xdr:row>37</xdr:row>
          <xdr:rowOff>228600</xdr:rowOff>
        </xdr:to>
        <xdr:sp macro="" textlink="">
          <xdr:nvSpPr>
            <xdr:cNvPr id="71945" name="Check Box 265" hidden="1">
              <a:extLst>
                <a:ext uri="{63B3BB69-23CF-44E3-9099-C40C66FF867C}">
                  <a14:compatExt spid="_x0000_s71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0</xdr:rowOff>
        </xdr:from>
        <xdr:to>
          <xdr:col>4</xdr:col>
          <xdr:colOff>628650</xdr:colOff>
          <xdr:row>37</xdr:row>
          <xdr:rowOff>228600</xdr:rowOff>
        </xdr:to>
        <xdr:sp macro="" textlink="">
          <xdr:nvSpPr>
            <xdr:cNvPr id="71946" name="Check Box 266" hidden="1">
              <a:extLst>
                <a:ext uri="{63B3BB69-23CF-44E3-9099-C40C66FF867C}">
                  <a14:compatExt spid="_x0000_s71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37</xdr:row>
          <xdr:rowOff>0</xdr:rowOff>
        </xdr:from>
        <xdr:to>
          <xdr:col>10</xdr:col>
          <xdr:colOff>628650</xdr:colOff>
          <xdr:row>37</xdr:row>
          <xdr:rowOff>228600</xdr:rowOff>
        </xdr:to>
        <xdr:sp macro="" textlink="">
          <xdr:nvSpPr>
            <xdr:cNvPr id="71949" name="Check Box 269" hidden="1">
              <a:extLst>
                <a:ext uri="{63B3BB69-23CF-44E3-9099-C40C66FF867C}">
                  <a14:compatExt spid="_x0000_s71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37</xdr:row>
          <xdr:rowOff>0</xdr:rowOff>
        </xdr:from>
        <xdr:to>
          <xdr:col>12</xdr:col>
          <xdr:colOff>628650</xdr:colOff>
          <xdr:row>37</xdr:row>
          <xdr:rowOff>228600</xdr:rowOff>
        </xdr:to>
        <xdr:sp macro="" textlink="">
          <xdr:nvSpPr>
            <xdr:cNvPr id="71950" name="Check Box 270" hidden="1">
              <a:extLst>
                <a:ext uri="{63B3BB69-23CF-44E3-9099-C40C66FF867C}">
                  <a14:compatExt spid="_x0000_s71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71951" name="Check Box 271" descr="Triglyceriden" hidden="1">
              <a:extLst>
                <a:ext uri="{63B3BB69-23CF-44E3-9099-C40C66FF867C}">
                  <a14:compatExt spid="_x0000_s71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71952" name="Check Box 272" descr="Fosfaat" hidden="1">
              <a:extLst>
                <a:ext uri="{63B3BB69-23CF-44E3-9099-C40C66FF867C}">
                  <a14:compatExt spid="_x0000_s71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71953" name="Check Box 273" descr="Fosfaat" hidden="1">
              <a:extLst>
                <a:ext uri="{63B3BB69-23CF-44E3-9099-C40C66FF867C}">
                  <a14:compatExt spid="_x0000_s71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33</xdr:row>
          <xdr:rowOff>19050</xdr:rowOff>
        </xdr:from>
        <xdr:to>
          <xdr:col>16</xdr:col>
          <xdr:colOff>628650</xdr:colOff>
          <xdr:row>33</xdr:row>
          <xdr:rowOff>238125</xdr:rowOff>
        </xdr:to>
        <xdr:sp macro="" textlink="">
          <xdr:nvSpPr>
            <xdr:cNvPr id="71954" name="Check Box 274" descr="Fosfaat" hidden="1">
              <a:extLst>
                <a:ext uri="{63B3BB69-23CF-44E3-9099-C40C66FF867C}">
                  <a14:compatExt spid="_x0000_s71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71955" name="Check Box 275" descr="Fosfaat" hidden="1">
              <a:extLst>
                <a:ext uri="{63B3BB69-23CF-44E3-9099-C40C66FF867C}">
                  <a14:compatExt spid="_x0000_s71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33</xdr:row>
          <xdr:rowOff>19050</xdr:rowOff>
        </xdr:from>
        <xdr:to>
          <xdr:col>10</xdr:col>
          <xdr:colOff>628650</xdr:colOff>
          <xdr:row>33</xdr:row>
          <xdr:rowOff>238125</xdr:rowOff>
        </xdr:to>
        <xdr:sp macro="" textlink="">
          <xdr:nvSpPr>
            <xdr:cNvPr id="71958" name="Check Box 278" descr="Fosfaat" hidden="1">
              <a:extLst>
                <a:ext uri="{63B3BB69-23CF-44E3-9099-C40C66FF867C}">
                  <a14:compatExt spid="_x0000_s71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33</xdr:row>
          <xdr:rowOff>19050</xdr:rowOff>
        </xdr:from>
        <xdr:to>
          <xdr:col>12</xdr:col>
          <xdr:colOff>628650</xdr:colOff>
          <xdr:row>33</xdr:row>
          <xdr:rowOff>238125</xdr:rowOff>
        </xdr:to>
        <xdr:sp macro="" textlink="">
          <xdr:nvSpPr>
            <xdr:cNvPr id="71959" name="Check Box 279" descr="Fosfaat" hidden="1">
              <a:extLst>
                <a:ext uri="{63B3BB69-23CF-44E3-9099-C40C66FF867C}">
                  <a14:compatExt spid="_x0000_s71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41</xdr:row>
          <xdr:rowOff>19050</xdr:rowOff>
        </xdr:from>
        <xdr:to>
          <xdr:col>2</xdr:col>
          <xdr:colOff>628650</xdr:colOff>
          <xdr:row>41</xdr:row>
          <xdr:rowOff>238125</xdr:rowOff>
        </xdr:to>
        <xdr:sp macro="" textlink="">
          <xdr:nvSpPr>
            <xdr:cNvPr id="71960" name="Check Box 280" descr="Triglyceriden" hidden="1">
              <a:extLst>
                <a:ext uri="{63B3BB69-23CF-44E3-9099-C40C66FF867C}">
                  <a14:compatExt spid="_x0000_s71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Coombs test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10</xdr:row>
          <xdr:rowOff>0</xdr:rowOff>
        </xdr:from>
        <xdr:to>
          <xdr:col>18</xdr:col>
          <xdr:colOff>628650</xdr:colOff>
          <xdr:row>10</xdr:row>
          <xdr:rowOff>219075</xdr:rowOff>
        </xdr:to>
        <xdr:sp macro="" textlink="">
          <xdr:nvSpPr>
            <xdr:cNvPr id="71961" name="Check Box 281" hidden="1">
              <a:extLst>
                <a:ext uri="{63B3BB69-23CF-44E3-9099-C40C66FF867C}">
                  <a14:compatExt spid="_x0000_s71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11</xdr:row>
          <xdr:rowOff>0</xdr:rowOff>
        </xdr:from>
        <xdr:to>
          <xdr:col>18</xdr:col>
          <xdr:colOff>628650</xdr:colOff>
          <xdr:row>11</xdr:row>
          <xdr:rowOff>219075</xdr:rowOff>
        </xdr:to>
        <xdr:sp macro="" textlink="">
          <xdr:nvSpPr>
            <xdr:cNvPr id="71962" name="Check Box 282" hidden="1">
              <a:extLst>
                <a:ext uri="{63B3BB69-23CF-44E3-9099-C40C66FF867C}">
                  <a14:compatExt spid="_x0000_s71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13</xdr:row>
          <xdr:rowOff>0</xdr:rowOff>
        </xdr:from>
        <xdr:to>
          <xdr:col>18</xdr:col>
          <xdr:colOff>628650</xdr:colOff>
          <xdr:row>13</xdr:row>
          <xdr:rowOff>219075</xdr:rowOff>
        </xdr:to>
        <xdr:sp macro="" textlink="">
          <xdr:nvSpPr>
            <xdr:cNvPr id="71963" name="Check Box 283" hidden="1">
              <a:extLst>
                <a:ext uri="{63B3BB69-23CF-44E3-9099-C40C66FF867C}">
                  <a14:compatExt spid="_x0000_s71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14</xdr:row>
          <xdr:rowOff>0</xdr:rowOff>
        </xdr:from>
        <xdr:to>
          <xdr:col>18</xdr:col>
          <xdr:colOff>628650</xdr:colOff>
          <xdr:row>14</xdr:row>
          <xdr:rowOff>219075</xdr:rowOff>
        </xdr:to>
        <xdr:sp macro="" textlink="">
          <xdr:nvSpPr>
            <xdr:cNvPr id="71964" name="Check Box 284" hidden="1">
              <a:extLst>
                <a:ext uri="{63B3BB69-23CF-44E3-9099-C40C66FF867C}">
                  <a14:compatExt spid="_x0000_s71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20</xdr:row>
          <xdr:rowOff>0</xdr:rowOff>
        </xdr:from>
        <xdr:to>
          <xdr:col>18</xdr:col>
          <xdr:colOff>619125</xdr:colOff>
          <xdr:row>20</xdr:row>
          <xdr:rowOff>219075</xdr:rowOff>
        </xdr:to>
        <xdr:sp macro="" textlink="">
          <xdr:nvSpPr>
            <xdr:cNvPr id="71965" name="Check Box 285" hidden="1">
              <a:extLst>
                <a:ext uri="{63B3BB69-23CF-44E3-9099-C40C66FF867C}">
                  <a14:compatExt spid="_x0000_s71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19</xdr:row>
          <xdr:rowOff>0</xdr:rowOff>
        </xdr:from>
        <xdr:to>
          <xdr:col>18</xdr:col>
          <xdr:colOff>628650</xdr:colOff>
          <xdr:row>19</xdr:row>
          <xdr:rowOff>219075</xdr:rowOff>
        </xdr:to>
        <xdr:sp macro="" textlink="">
          <xdr:nvSpPr>
            <xdr:cNvPr id="71966" name="Check Box 286" hidden="1">
              <a:extLst>
                <a:ext uri="{63B3BB69-23CF-44E3-9099-C40C66FF867C}">
                  <a14:compatExt spid="_x0000_s71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36</xdr:row>
          <xdr:rowOff>0</xdr:rowOff>
        </xdr:from>
        <xdr:to>
          <xdr:col>18</xdr:col>
          <xdr:colOff>628650</xdr:colOff>
          <xdr:row>36</xdr:row>
          <xdr:rowOff>228600</xdr:rowOff>
        </xdr:to>
        <xdr:sp macro="" textlink="">
          <xdr:nvSpPr>
            <xdr:cNvPr id="71967" name="Check Box 287" hidden="1">
              <a:extLst>
                <a:ext uri="{63B3BB69-23CF-44E3-9099-C40C66FF867C}">
                  <a14:compatExt spid="_x0000_s71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22</xdr:row>
          <xdr:rowOff>0</xdr:rowOff>
        </xdr:from>
        <xdr:to>
          <xdr:col>18</xdr:col>
          <xdr:colOff>628650</xdr:colOff>
          <xdr:row>22</xdr:row>
          <xdr:rowOff>219075</xdr:rowOff>
        </xdr:to>
        <xdr:sp macro="" textlink="">
          <xdr:nvSpPr>
            <xdr:cNvPr id="71968" name="Check Box 288" hidden="1">
              <a:extLst>
                <a:ext uri="{63B3BB69-23CF-44E3-9099-C40C66FF867C}">
                  <a14:compatExt spid="_x0000_s71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25</xdr:row>
          <xdr:rowOff>0</xdr:rowOff>
        </xdr:from>
        <xdr:to>
          <xdr:col>18</xdr:col>
          <xdr:colOff>628650</xdr:colOff>
          <xdr:row>25</xdr:row>
          <xdr:rowOff>219075</xdr:rowOff>
        </xdr:to>
        <xdr:sp macro="" textlink="">
          <xdr:nvSpPr>
            <xdr:cNvPr id="71969" name="Check Box 289" hidden="1">
              <a:extLst>
                <a:ext uri="{63B3BB69-23CF-44E3-9099-C40C66FF867C}">
                  <a14:compatExt spid="_x0000_s71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26</xdr:row>
          <xdr:rowOff>0</xdr:rowOff>
        </xdr:from>
        <xdr:to>
          <xdr:col>18</xdr:col>
          <xdr:colOff>628650</xdr:colOff>
          <xdr:row>26</xdr:row>
          <xdr:rowOff>219075</xdr:rowOff>
        </xdr:to>
        <xdr:sp macro="" textlink="">
          <xdr:nvSpPr>
            <xdr:cNvPr id="71970" name="Check Box 290" hidden="1">
              <a:extLst>
                <a:ext uri="{63B3BB69-23CF-44E3-9099-C40C66FF867C}">
                  <a14:compatExt spid="_x0000_s71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27</xdr:row>
          <xdr:rowOff>0</xdr:rowOff>
        </xdr:from>
        <xdr:to>
          <xdr:col>18</xdr:col>
          <xdr:colOff>628650</xdr:colOff>
          <xdr:row>27</xdr:row>
          <xdr:rowOff>219075</xdr:rowOff>
        </xdr:to>
        <xdr:sp macro="" textlink="">
          <xdr:nvSpPr>
            <xdr:cNvPr id="71971" name="Check Box 291" hidden="1">
              <a:extLst>
                <a:ext uri="{63B3BB69-23CF-44E3-9099-C40C66FF867C}">
                  <a14:compatExt spid="_x0000_s71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18</xdr:row>
          <xdr:rowOff>0</xdr:rowOff>
        </xdr:from>
        <xdr:to>
          <xdr:col>18</xdr:col>
          <xdr:colOff>619125</xdr:colOff>
          <xdr:row>18</xdr:row>
          <xdr:rowOff>219075</xdr:rowOff>
        </xdr:to>
        <xdr:sp macro="" textlink="">
          <xdr:nvSpPr>
            <xdr:cNvPr id="71972" name="Check Box 292" hidden="1">
              <a:extLst>
                <a:ext uri="{63B3BB69-23CF-44E3-9099-C40C66FF867C}">
                  <a14:compatExt spid="_x0000_s71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34</xdr:row>
          <xdr:rowOff>19050</xdr:rowOff>
        </xdr:from>
        <xdr:to>
          <xdr:col>18</xdr:col>
          <xdr:colOff>628650</xdr:colOff>
          <xdr:row>34</xdr:row>
          <xdr:rowOff>238125</xdr:rowOff>
        </xdr:to>
        <xdr:sp macro="" textlink="">
          <xdr:nvSpPr>
            <xdr:cNvPr id="71973" name="Check Box 293" hidden="1">
              <a:extLst>
                <a:ext uri="{63B3BB69-23CF-44E3-9099-C40C66FF867C}">
                  <a14:compatExt spid="_x0000_s71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38</xdr:row>
          <xdr:rowOff>19050</xdr:rowOff>
        </xdr:from>
        <xdr:to>
          <xdr:col>18</xdr:col>
          <xdr:colOff>628650</xdr:colOff>
          <xdr:row>38</xdr:row>
          <xdr:rowOff>238125</xdr:rowOff>
        </xdr:to>
        <xdr:sp macro="" textlink="">
          <xdr:nvSpPr>
            <xdr:cNvPr id="71974" name="Check Box 294" hidden="1">
              <a:extLst>
                <a:ext uri="{63B3BB69-23CF-44E3-9099-C40C66FF867C}">
                  <a14:compatExt spid="_x0000_s71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12</xdr:row>
          <xdr:rowOff>0</xdr:rowOff>
        </xdr:from>
        <xdr:to>
          <xdr:col>18</xdr:col>
          <xdr:colOff>628650</xdr:colOff>
          <xdr:row>12</xdr:row>
          <xdr:rowOff>219075</xdr:rowOff>
        </xdr:to>
        <xdr:sp macro="" textlink="">
          <xdr:nvSpPr>
            <xdr:cNvPr id="71975" name="Check Box 295" hidden="1">
              <a:extLst>
                <a:ext uri="{63B3BB69-23CF-44E3-9099-C40C66FF867C}">
                  <a14:compatExt spid="_x0000_s71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23</xdr:row>
          <xdr:rowOff>0</xdr:rowOff>
        </xdr:from>
        <xdr:to>
          <xdr:col>18</xdr:col>
          <xdr:colOff>628650</xdr:colOff>
          <xdr:row>23</xdr:row>
          <xdr:rowOff>219075</xdr:rowOff>
        </xdr:to>
        <xdr:sp macro="" textlink="">
          <xdr:nvSpPr>
            <xdr:cNvPr id="71976" name="Check Box 296" hidden="1">
              <a:extLst>
                <a:ext uri="{63B3BB69-23CF-44E3-9099-C40C66FF867C}">
                  <a14:compatExt spid="_x0000_s71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39</xdr:row>
          <xdr:rowOff>19050</xdr:rowOff>
        </xdr:from>
        <xdr:to>
          <xdr:col>18</xdr:col>
          <xdr:colOff>628650</xdr:colOff>
          <xdr:row>39</xdr:row>
          <xdr:rowOff>238125</xdr:rowOff>
        </xdr:to>
        <xdr:sp macro="" textlink="">
          <xdr:nvSpPr>
            <xdr:cNvPr id="71977" name="Check Box 297" hidden="1">
              <a:extLst>
                <a:ext uri="{63B3BB69-23CF-44E3-9099-C40C66FF867C}">
                  <a14:compatExt spid="_x0000_s71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40</xdr:row>
          <xdr:rowOff>19050</xdr:rowOff>
        </xdr:from>
        <xdr:to>
          <xdr:col>18</xdr:col>
          <xdr:colOff>628650</xdr:colOff>
          <xdr:row>40</xdr:row>
          <xdr:rowOff>238125</xdr:rowOff>
        </xdr:to>
        <xdr:sp macro="" textlink="">
          <xdr:nvSpPr>
            <xdr:cNvPr id="71978" name="Check Box 298" hidden="1">
              <a:extLst>
                <a:ext uri="{63B3BB69-23CF-44E3-9099-C40C66FF867C}">
                  <a14:compatExt spid="_x0000_s71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15</xdr:row>
          <xdr:rowOff>0</xdr:rowOff>
        </xdr:from>
        <xdr:to>
          <xdr:col>18</xdr:col>
          <xdr:colOff>628650</xdr:colOff>
          <xdr:row>15</xdr:row>
          <xdr:rowOff>219075</xdr:rowOff>
        </xdr:to>
        <xdr:sp macro="" textlink="">
          <xdr:nvSpPr>
            <xdr:cNvPr id="71979" name="Check Box 299" hidden="1">
              <a:extLst>
                <a:ext uri="{63B3BB69-23CF-44E3-9099-C40C66FF867C}">
                  <a14:compatExt spid="_x0000_s71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17</xdr:row>
          <xdr:rowOff>0</xdr:rowOff>
        </xdr:from>
        <xdr:to>
          <xdr:col>18</xdr:col>
          <xdr:colOff>628650</xdr:colOff>
          <xdr:row>17</xdr:row>
          <xdr:rowOff>219075</xdr:rowOff>
        </xdr:to>
        <xdr:sp macro="" textlink="">
          <xdr:nvSpPr>
            <xdr:cNvPr id="71980" name="Check Box 300" hidden="1">
              <a:extLst>
                <a:ext uri="{63B3BB69-23CF-44E3-9099-C40C66FF867C}">
                  <a14:compatExt spid="_x0000_s71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21</xdr:row>
          <xdr:rowOff>0</xdr:rowOff>
        </xdr:from>
        <xdr:to>
          <xdr:col>18</xdr:col>
          <xdr:colOff>619125</xdr:colOff>
          <xdr:row>21</xdr:row>
          <xdr:rowOff>219075</xdr:rowOff>
        </xdr:to>
        <xdr:sp macro="" textlink="">
          <xdr:nvSpPr>
            <xdr:cNvPr id="71981" name="Check Box 301" hidden="1">
              <a:extLst>
                <a:ext uri="{63B3BB69-23CF-44E3-9099-C40C66FF867C}">
                  <a14:compatExt spid="_x0000_s71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28</xdr:row>
          <xdr:rowOff>0</xdr:rowOff>
        </xdr:from>
        <xdr:to>
          <xdr:col>18</xdr:col>
          <xdr:colOff>628650</xdr:colOff>
          <xdr:row>28</xdr:row>
          <xdr:rowOff>219075</xdr:rowOff>
        </xdr:to>
        <xdr:sp macro="" textlink="">
          <xdr:nvSpPr>
            <xdr:cNvPr id="71982" name="Check Box 302" hidden="1">
              <a:extLst>
                <a:ext uri="{63B3BB69-23CF-44E3-9099-C40C66FF867C}">
                  <a14:compatExt spid="_x0000_s71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29</xdr:row>
          <xdr:rowOff>0</xdr:rowOff>
        </xdr:from>
        <xdr:to>
          <xdr:col>18</xdr:col>
          <xdr:colOff>628650</xdr:colOff>
          <xdr:row>29</xdr:row>
          <xdr:rowOff>219075</xdr:rowOff>
        </xdr:to>
        <xdr:sp macro="" textlink="">
          <xdr:nvSpPr>
            <xdr:cNvPr id="71983" name="Check Box 303" hidden="1">
              <a:extLst>
                <a:ext uri="{63B3BB69-23CF-44E3-9099-C40C66FF867C}">
                  <a14:compatExt spid="_x0000_s71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30</xdr:row>
          <xdr:rowOff>0</xdr:rowOff>
        </xdr:from>
        <xdr:to>
          <xdr:col>18</xdr:col>
          <xdr:colOff>628650</xdr:colOff>
          <xdr:row>30</xdr:row>
          <xdr:rowOff>219075</xdr:rowOff>
        </xdr:to>
        <xdr:sp macro="" textlink="">
          <xdr:nvSpPr>
            <xdr:cNvPr id="71984" name="Check Box 304" hidden="1">
              <a:extLst>
                <a:ext uri="{63B3BB69-23CF-44E3-9099-C40C66FF867C}">
                  <a14:compatExt spid="_x0000_s71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31</xdr:row>
          <xdr:rowOff>0</xdr:rowOff>
        </xdr:from>
        <xdr:to>
          <xdr:col>18</xdr:col>
          <xdr:colOff>628650</xdr:colOff>
          <xdr:row>31</xdr:row>
          <xdr:rowOff>219075</xdr:rowOff>
        </xdr:to>
        <xdr:sp macro="" textlink="">
          <xdr:nvSpPr>
            <xdr:cNvPr id="71985" name="Check Box 305" hidden="1">
              <a:extLst>
                <a:ext uri="{63B3BB69-23CF-44E3-9099-C40C66FF867C}">
                  <a14:compatExt spid="_x0000_s7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32</xdr:row>
          <xdr:rowOff>0</xdr:rowOff>
        </xdr:from>
        <xdr:to>
          <xdr:col>18</xdr:col>
          <xdr:colOff>628650</xdr:colOff>
          <xdr:row>32</xdr:row>
          <xdr:rowOff>219075</xdr:rowOff>
        </xdr:to>
        <xdr:sp macro="" textlink="">
          <xdr:nvSpPr>
            <xdr:cNvPr id="71986" name="Check Box 306" hidden="1">
              <a:extLst>
                <a:ext uri="{63B3BB69-23CF-44E3-9099-C40C66FF867C}">
                  <a14:compatExt spid="_x0000_s7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35</xdr:row>
          <xdr:rowOff>0</xdr:rowOff>
        </xdr:from>
        <xdr:to>
          <xdr:col>18</xdr:col>
          <xdr:colOff>628650</xdr:colOff>
          <xdr:row>35</xdr:row>
          <xdr:rowOff>228600</xdr:rowOff>
        </xdr:to>
        <xdr:sp macro="" textlink="">
          <xdr:nvSpPr>
            <xdr:cNvPr id="71987" name="Check Box 307" hidden="1">
              <a:extLst>
                <a:ext uri="{63B3BB69-23CF-44E3-9099-C40C66FF867C}">
                  <a14:compatExt spid="_x0000_s7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24</xdr:row>
          <xdr:rowOff>19050</xdr:rowOff>
        </xdr:from>
        <xdr:to>
          <xdr:col>18</xdr:col>
          <xdr:colOff>628650</xdr:colOff>
          <xdr:row>24</xdr:row>
          <xdr:rowOff>238125</xdr:rowOff>
        </xdr:to>
        <xdr:sp macro="" textlink="">
          <xdr:nvSpPr>
            <xdr:cNvPr id="71988" name="Check Box 308" descr="Fosfaat" hidden="1">
              <a:extLst>
                <a:ext uri="{63B3BB69-23CF-44E3-9099-C40C66FF867C}">
                  <a14:compatExt spid="_x0000_s7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16</xdr:row>
          <xdr:rowOff>0</xdr:rowOff>
        </xdr:from>
        <xdr:to>
          <xdr:col>18</xdr:col>
          <xdr:colOff>628650</xdr:colOff>
          <xdr:row>16</xdr:row>
          <xdr:rowOff>219075</xdr:rowOff>
        </xdr:to>
        <xdr:sp macro="" textlink="">
          <xdr:nvSpPr>
            <xdr:cNvPr id="71989" name="Check Box 309" hidden="1">
              <a:extLst>
                <a:ext uri="{63B3BB69-23CF-44E3-9099-C40C66FF867C}">
                  <a14:compatExt spid="_x0000_s71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37</xdr:row>
          <xdr:rowOff>0</xdr:rowOff>
        </xdr:from>
        <xdr:to>
          <xdr:col>18</xdr:col>
          <xdr:colOff>628650</xdr:colOff>
          <xdr:row>37</xdr:row>
          <xdr:rowOff>228600</xdr:rowOff>
        </xdr:to>
        <xdr:sp macro="" textlink="">
          <xdr:nvSpPr>
            <xdr:cNvPr id="71990" name="Check Box 310" hidden="1">
              <a:extLst>
                <a:ext uri="{63B3BB69-23CF-44E3-9099-C40C66FF867C}">
                  <a14:compatExt spid="_x0000_s71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33</xdr:row>
          <xdr:rowOff>19050</xdr:rowOff>
        </xdr:from>
        <xdr:to>
          <xdr:col>18</xdr:col>
          <xdr:colOff>628650</xdr:colOff>
          <xdr:row>33</xdr:row>
          <xdr:rowOff>238125</xdr:rowOff>
        </xdr:to>
        <xdr:sp macro="" textlink="">
          <xdr:nvSpPr>
            <xdr:cNvPr id="71991" name="Check Box 311" descr="Fosfaat" hidden="1">
              <a:extLst>
                <a:ext uri="{63B3BB69-23CF-44E3-9099-C40C66FF867C}">
                  <a14:compatExt spid="_x0000_s71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10</xdr:row>
          <xdr:rowOff>0</xdr:rowOff>
        </xdr:from>
        <xdr:to>
          <xdr:col>20</xdr:col>
          <xdr:colOff>628650</xdr:colOff>
          <xdr:row>10</xdr:row>
          <xdr:rowOff>219075</xdr:rowOff>
        </xdr:to>
        <xdr:sp macro="" textlink="">
          <xdr:nvSpPr>
            <xdr:cNvPr id="71992" name="Check Box 312" hidden="1">
              <a:extLst>
                <a:ext uri="{63B3BB69-23CF-44E3-9099-C40C66FF867C}">
                  <a14:compatExt spid="_x0000_s71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11</xdr:row>
          <xdr:rowOff>0</xdr:rowOff>
        </xdr:from>
        <xdr:to>
          <xdr:col>20</xdr:col>
          <xdr:colOff>628650</xdr:colOff>
          <xdr:row>11</xdr:row>
          <xdr:rowOff>219075</xdr:rowOff>
        </xdr:to>
        <xdr:sp macro="" textlink="">
          <xdr:nvSpPr>
            <xdr:cNvPr id="71993" name="Check Box 313" hidden="1">
              <a:extLst>
                <a:ext uri="{63B3BB69-23CF-44E3-9099-C40C66FF867C}">
                  <a14:compatExt spid="_x0000_s71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13</xdr:row>
          <xdr:rowOff>0</xdr:rowOff>
        </xdr:from>
        <xdr:to>
          <xdr:col>20</xdr:col>
          <xdr:colOff>628650</xdr:colOff>
          <xdr:row>13</xdr:row>
          <xdr:rowOff>219075</xdr:rowOff>
        </xdr:to>
        <xdr:sp macro="" textlink="">
          <xdr:nvSpPr>
            <xdr:cNvPr id="71994" name="Check Box 314" hidden="1">
              <a:extLst>
                <a:ext uri="{63B3BB69-23CF-44E3-9099-C40C66FF867C}">
                  <a14:compatExt spid="_x0000_s71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14</xdr:row>
          <xdr:rowOff>0</xdr:rowOff>
        </xdr:from>
        <xdr:to>
          <xdr:col>20</xdr:col>
          <xdr:colOff>628650</xdr:colOff>
          <xdr:row>14</xdr:row>
          <xdr:rowOff>219075</xdr:rowOff>
        </xdr:to>
        <xdr:sp macro="" textlink="">
          <xdr:nvSpPr>
            <xdr:cNvPr id="71995" name="Check Box 315" hidden="1">
              <a:extLst>
                <a:ext uri="{63B3BB69-23CF-44E3-9099-C40C66FF867C}">
                  <a14:compatExt spid="_x0000_s71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20</xdr:row>
          <xdr:rowOff>0</xdr:rowOff>
        </xdr:from>
        <xdr:to>
          <xdr:col>20</xdr:col>
          <xdr:colOff>619125</xdr:colOff>
          <xdr:row>20</xdr:row>
          <xdr:rowOff>219075</xdr:rowOff>
        </xdr:to>
        <xdr:sp macro="" textlink="">
          <xdr:nvSpPr>
            <xdr:cNvPr id="71996" name="Check Box 316" hidden="1">
              <a:extLst>
                <a:ext uri="{63B3BB69-23CF-44E3-9099-C40C66FF867C}">
                  <a14:compatExt spid="_x0000_s71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19</xdr:row>
          <xdr:rowOff>0</xdr:rowOff>
        </xdr:from>
        <xdr:to>
          <xdr:col>20</xdr:col>
          <xdr:colOff>628650</xdr:colOff>
          <xdr:row>19</xdr:row>
          <xdr:rowOff>219075</xdr:rowOff>
        </xdr:to>
        <xdr:sp macro="" textlink="">
          <xdr:nvSpPr>
            <xdr:cNvPr id="71997" name="Check Box 317" hidden="1">
              <a:extLst>
                <a:ext uri="{63B3BB69-23CF-44E3-9099-C40C66FF867C}">
                  <a14:compatExt spid="_x0000_s71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36</xdr:row>
          <xdr:rowOff>0</xdr:rowOff>
        </xdr:from>
        <xdr:to>
          <xdr:col>20</xdr:col>
          <xdr:colOff>628650</xdr:colOff>
          <xdr:row>36</xdr:row>
          <xdr:rowOff>228600</xdr:rowOff>
        </xdr:to>
        <xdr:sp macro="" textlink="">
          <xdr:nvSpPr>
            <xdr:cNvPr id="71998" name="Check Box 318" hidden="1">
              <a:extLst>
                <a:ext uri="{63B3BB69-23CF-44E3-9099-C40C66FF867C}">
                  <a14:compatExt spid="_x0000_s71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22</xdr:row>
          <xdr:rowOff>0</xdr:rowOff>
        </xdr:from>
        <xdr:to>
          <xdr:col>20</xdr:col>
          <xdr:colOff>628650</xdr:colOff>
          <xdr:row>22</xdr:row>
          <xdr:rowOff>219075</xdr:rowOff>
        </xdr:to>
        <xdr:sp macro="" textlink="">
          <xdr:nvSpPr>
            <xdr:cNvPr id="71999" name="Check Box 319" hidden="1">
              <a:extLst>
                <a:ext uri="{63B3BB69-23CF-44E3-9099-C40C66FF867C}">
                  <a14:compatExt spid="_x0000_s71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25</xdr:row>
          <xdr:rowOff>0</xdr:rowOff>
        </xdr:from>
        <xdr:to>
          <xdr:col>20</xdr:col>
          <xdr:colOff>628650</xdr:colOff>
          <xdr:row>25</xdr:row>
          <xdr:rowOff>219075</xdr:rowOff>
        </xdr:to>
        <xdr:sp macro="" textlink="">
          <xdr:nvSpPr>
            <xdr:cNvPr id="72000" name="Check Box 320" hidden="1">
              <a:extLst>
                <a:ext uri="{63B3BB69-23CF-44E3-9099-C40C66FF867C}">
                  <a14:compatExt spid="_x0000_s72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26</xdr:row>
          <xdr:rowOff>0</xdr:rowOff>
        </xdr:from>
        <xdr:to>
          <xdr:col>20</xdr:col>
          <xdr:colOff>628650</xdr:colOff>
          <xdr:row>26</xdr:row>
          <xdr:rowOff>219075</xdr:rowOff>
        </xdr:to>
        <xdr:sp macro="" textlink="">
          <xdr:nvSpPr>
            <xdr:cNvPr id="72001" name="Check Box 321" hidden="1">
              <a:extLst>
                <a:ext uri="{63B3BB69-23CF-44E3-9099-C40C66FF867C}">
                  <a14:compatExt spid="_x0000_s72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27</xdr:row>
          <xdr:rowOff>0</xdr:rowOff>
        </xdr:from>
        <xdr:to>
          <xdr:col>20</xdr:col>
          <xdr:colOff>628650</xdr:colOff>
          <xdr:row>27</xdr:row>
          <xdr:rowOff>219075</xdr:rowOff>
        </xdr:to>
        <xdr:sp macro="" textlink="">
          <xdr:nvSpPr>
            <xdr:cNvPr id="72002" name="Check Box 322" hidden="1">
              <a:extLst>
                <a:ext uri="{63B3BB69-23CF-44E3-9099-C40C66FF867C}">
                  <a14:compatExt spid="_x0000_s72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18</xdr:row>
          <xdr:rowOff>0</xdr:rowOff>
        </xdr:from>
        <xdr:to>
          <xdr:col>20</xdr:col>
          <xdr:colOff>619125</xdr:colOff>
          <xdr:row>18</xdr:row>
          <xdr:rowOff>219075</xdr:rowOff>
        </xdr:to>
        <xdr:sp macro="" textlink="">
          <xdr:nvSpPr>
            <xdr:cNvPr id="72003" name="Check Box 323" hidden="1">
              <a:extLst>
                <a:ext uri="{63B3BB69-23CF-44E3-9099-C40C66FF867C}">
                  <a14:compatExt spid="_x0000_s72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34</xdr:row>
          <xdr:rowOff>19050</xdr:rowOff>
        </xdr:from>
        <xdr:to>
          <xdr:col>20</xdr:col>
          <xdr:colOff>628650</xdr:colOff>
          <xdr:row>34</xdr:row>
          <xdr:rowOff>238125</xdr:rowOff>
        </xdr:to>
        <xdr:sp macro="" textlink="">
          <xdr:nvSpPr>
            <xdr:cNvPr id="72004" name="Check Box 324" hidden="1">
              <a:extLst>
                <a:ext uri="{63B3BB69-23CF-44E3-9099-C40C66FF867C}">
                  <a14:compatExt spid="_x0000_s72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38</xdr:row>
          <xdr:rowOff>19050</xdr:rowOff>
        </xdr:from>
        <xdr:to>
          <xdr:col>20</xdr:col>
          <xdr:colOff>628650</xdr:colOff>
          <xdr:row>38</xdr:row>
          <xdr:rowOff>238125</xdr:rowOff>
        </xdr:to>
        <xdr:sp macro="" textlink="">
          <xdr:nvSpPr>
            <xdr:cNvPr id="72005" name="Check Box 325" hidden="1">
              <a:extLst>
                <a:ext uri="{63B3BB69-23CF-44E3-9099-C40C66FF867C}">
                  <a14:compatExt spid="_x0000_s72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12</xdr:row>
          <xdr:rowOff>0</xdr:rowOff>
        </xdr:from>
        <xdr:to>
          <xdr:col>20</xdr:col>
          <xdr:colOff>628650</xdr:colOff>
          <xdr:row>12</xdr:row>
          <xdr:rowOff>219075</xdr:rowOff>
        </xdr:to>
        <xdr:sp macro="" textlink="">
          <xdr:nvSpPr>
            <xdr:cNvPr id="72006" name="Check Box 326" hidden="1">
              <a:extLst>
                <a:ext uri="{63B3BB69-23CF-44E3-9099-C40C66FF867C}">
                  <a14:compatExt spid="_x0000_s72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23</xdr:row>
          <xdr:rowOff>0</xdr:rowOff>
        </xdr:from>
        <xdr:to>
          <xdr:col>20</xdr:col>
          <xdr:colOff>628650</xdr:colOff>
          <xdr:row>23</xdr:row>
          <xdr:rowOff>219075</xdr:rowOff>
        </xdr:to>
        <xdr:sp macro="" textlink="">
          <xdr:nvSpPr>
            <xdr:cNvPr id="72007" name="Check Box 327" hidden="1">
              <a:extLst>
                <a:ext uri="{63B3BB69-23CF-44E3-9099-C40C66FF867C}">
                  <a14:compatExt spid="_x0000_s72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39</xdr:row>
          <xdr:rowOff>19050</xdr:rowOff>
        </xdr:from>
        <xdr:to>
          <xdr:col>20</xdr:col>
          <xdr:colOff>628650</xdr:colOff>
          <xdr:row>39</xdr:row>
          <xdr:rowOff>238125</xdr:rowOff>
        </xdr:to>
        <xdr:sp macro="" textlink="">
          <xdr:nvSpPr>
            <xdr:cNvPr id="72008" name="Check Box 328" hidden="1">
              <a:extLst>
                <a:ext uri="{63B3BB69-23CF-44E3-9099-C40C66FF867C}">
                  <a14:compatExt spid="_x0000_s72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40</xdr:row>
          <xdr:rowOff>19050</xdr:rowOff>
        </xdr:from>
        <xdr:to>
          <xdr:col>20</xdr:col>
          <xdr:colOff>628650</xdr:colOff>
          <xdr:row>40</xdr:row>
          <xdr:rowOff>238125</xdr:rowOff>
        </xdr:to>
        <xdr:sp macro="" textlink="">
          <xdr:nvSpPr>
            <xdr:cNvPr id="72009" name="Check Box 329" hidden="1">
              <a:extLst>
                <a:ext uri="{63B3BB69-23CF-44E3-9099-C40C66FF867C}">
                  <a14:compatExt spid="_x0000_s72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15</xdr:row>
          <xdr:rowOff>0</xdr:rowOff>
        </xdr:from>
        <xdr:to>
          <xdr:col>20</xdr:col>
          <xdr:colOff>628650</xdr:colOff>
          <xdr:row>15</xdr:row>
          <xdr:rowOff>219075</xdr:rowOff>
        </xdr:to>
        <xdr:sp macro="" textlink="">
          <xdr:nvSpPr>
            <xdr:cNvPr id="72010" name="Check Box 330" hidden="1">
              <a:extLst>
                <a:ext uri="{63B3BB69-23CF-44E3-9099-C40C66FF867C}">
                  <a14:compatExt spid="_x0000_s72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17</xdr:row>
          <xdr:rowOff>0</xdr:rowOff>
        </xdr:from>
        <xdr:to>
          <xdr:col>20</xdr:col>
          <xdr:colOff>628650</xdr:colOff>
          <xdr:row>17</xdr:row>
          <xdr:rowOff>219075</xdr:rowOff>
        </xdr:to>
        <xdr:sp macro="" textlink="">
          <xdr:nvSpPr>
            <xdr:cNvPr id="72011" name="Check Box 331" hidden="1">
              <a:extLst>
                <a:ext uri="{63B3BB69-23CF-44E3-9099-C40C66FF867C}">
                  <a14:compatExt spid="_x0000_s72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21</xdr:row>
          <xdr:rowOff>0</xdr:rowOff>
        </xdr:from>
        <xdr:to>
          <xdr:col>20</xdr:col>
          <xdr:colOff>619125</xdr:colOff>
          <xdr:row>21</xdr:row>
          <xdr:rowOff>219075</xdr:rowOff>
        </xdr:to>
        <xdr:sp macro="" textlink="">
          <xdr:nvSpPr>
            <xdr:cNvPr id="72012" name="Check Box 332" hidden="1">
              <a:extLst>
                <a:ext uri="{63B3BB69-23CF-44E3-9099-C40C66FF867C}">
                  <a14:compatExt spid="_x0000_s72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28</xdr:row>
          <xdr:rowOff>0</xdr:rowOff>
        </xdr:from>
        <xdr:to>
          <xdr:col>20</xdr:col>
          <xdr:colOff>628650</xdr:colOff>
          <xdr:row>28</xdr:row>
          <xdr:rowOff>219075</xdr:rowOff>
        </xdr:to>
        <xdr:sp macro="" textlink="">
          <xdr:nvSpPr>
            <xdr:cNvPr id="72013" name="Check Box 333" hidden="1">
              <a:extLst>
                <a:ext uri="{63B3BB69-23CF-44E3-9099-C40C66FF867C}">
                  <a14:compatExt spid="_x0000_s72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29</xdr:row>
          <xdr:rowOff>0</xdr:rowOff>
        </xdr:from>
        <xdr:to>
          <xdr:col>20</xdr:col>
          <xdr:colOff>628650</xdr:colOff>
          <xdr:row>29</xdr:row>
          <xdr:rowOff>219075</xdr:rowOff>
        </xdr:to>
        <xdr:sp macro="" textlink="">
          <xdr:nvSpPr>
            <xdr:cNvPr id="72014" name="Check Box 334" hidden="1">
              <a:extLst>
                <a:ext uri="{63B3BB69-23CF-44E3-9099-C40C66FF867C}">
                  <a14:compatExt spid="_x0000_s72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30</xdr:row>
          <xdr:rowOff>0</xdr:rowOff>
        </xdr:from>
        <xdr:to>
          <xdr:col>20</xdr:col>
          <xdr:colOff>628650</xdr:colOff>
          <xdr:row>30</xdr:row>
          <xdr:rowOff>219075</xdr:rowOff>
        </xdr:to>
        <xdr:sp macro="" textlink="">
          <xdr:nvSpPr>
            <xdr:cNvPr id="72015" name="Check Box 335" hidden="1">
              <a:extLst>
                <a:ext uri="{63B3BB69-23CF-44E3-9099-C40C66FF867C}">
                  <a14:compatExt spid="_x0000_s72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31</xdr:row>
          <xdr:rowOff>0</xdr:rowOff>
        </xdr:from>
        <xdr:to>
          <xdr:col>20</xdr:col>
          <xdr:colOff>628650</xdr:colOff>
          <xdr:row>31</xdr:row>
          <xdr:rowOff>219075</xdr:rowOff>
        </xdr:to>
        <xdr:sp macro="" textlink="">
          <xdr:nvSpPr>
            <xdr:cNvPr id="72016" name="Check Box 336" hidden="1">
              <a:extLst>
                <a:ext uri="{63B3BB69-23CF-44E3-9099-C40C66FF867C}">
                  <a14:compatExt spid="_x0000_s72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32</xdr:row>
          <xdr:rowOff>0</xdr:rowOff>
        </xdr:from>
        <xdr:to>
          <xdr:col>20</xdr:col>
          <xdr:colOff>628650</xdr:colOff>
          <xdr:row>32</xdr:row>
          <xdr:rowOff>219075</xdr:rowOff>
        </xdr:to>
        <xdr:sp macro="" textlink="">
          <xdr:nvSpPr>
            <xdr:cNvPr id="72017" name="Check Box 337" hidden="1">
              <a:extLst>
                <a:ext uri="{63B3BB69-23CF-44E3-9099-C40C66FF867C}">
                  <a14:compatExt spid="_x0000_s72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35</xdr:row>
          <xdr:rowOff>0</xdr:rowOff>
        </xdr:from>
        <xdr:to>
          <xdr:col>20</xdr:col>
          <xdr:colOff>628650</xdr:colOff>
          <xdr:row>35</xdr:row>
          <xdr:rowOff>228600</xdr:rowOff>
        </xdr:to>
        <xdr:sp macro="" textlink="">
          <xdr:nvSpPr>
            <xdr:cNvPr id="72018" name="Check Box 338" hidden="1">
              <a:extLst>
                <a:ext uri="{63B3BB69-23CF-44E3-9099-C40C66FF867C}">
                  <a14:compatExt spid="_x0000_s72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24</xdr:row>
          <xdr:rowOff>19050</xdr:rowOff>
        </xdr:from>
        <xdr:to>
          <xdr:col>20</xdr:col>
          <xdr:colOff>628650</xdr:colOff>
          <xdr:row>24</xdr:row>
          <xdr:rowOff>238125</xdr:rowOff>
        </xdr:to>
        <xdr:sp macro="" textlink="">
          <xdr:nvSpPr>
            <xdr:cNvPr id="72019" name="Check Box 339" descr="Fosfaat" hidden="1">
              <a:extLst>
                <a:ext uri="{63B3BB69-23CF-44E3-9099-C40C66FF867C}">
                  <a14:compatExt spid="_x0000_s72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16</xdr:row>
          <xdr:rowOff>0</xdr:rowOff>
        </xdr:from>
        <xdr:to>
          <xdr:col>20</xdr:col>
          <xdr:colOff>628650</xdr:colOff>
          <xdr:row>16</xdr:row>
          <xdr:rowOff>219075</xdr:rowOff>
        </xdr:to>
        <xdr:sp macro="" textlink="">
          <xdr:nvSpPr>
            <xdr:cNvPr id="72020" name="Check Box 340" hidden="1">
              <a:extLst>
                <a:ext uri="{63B3BB69-23CF-44E3-9099-C40C66FF867C}">
                  <a14:compatExt spid="_x0000_s72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37</xdr:row>
          <xdr:rowOff>0</xdr:rowOff>
        </xdr:from>
        <xdr:to>
          <xdr:col>20</xdr:col>
          <xdr:colOff>628650</xdr:colOff>
          <xdr:row>37</xdr:row>
          <xdr:rowOff>228600</xdr:rowOff>
        </xdr:to>
        <xdr:sp macro="" textlink="">
          <xdr:nvSpPr>
            <xdr:cNvPr id="72021" name="Check Box 341" hidden="1">
              <a:extLst>
                <a:ext uri="{63B3BB69-23CF-44E3-9099-C40C66FF867C}">
                  <a14:compatExt spid="_x0000_s72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33</xdr:row>
          <xdr:rowOff>19050</xdr:rowOff>
        </xdr:from>
        <xdr:to>
          <xdr:col>20</xdr:col>
          <xdr:colOff>628650</xdr:colOff>
          <xdr:row>33</xdr:row>
          <xdr:rowOff>238125</xdr:rowOff>
        </xdr:to>
        <xdr:sp macro="" textlink="">
          <xdr:nvSpPr>
            <xdr:cNvPr id="72022" name="Check Box 342" descr="Fosfaat" hidden="1">
              <a:extLst>
                <a:ext uri="{63B3BB69-23CF-44E3-9099-C40C66FF867C}">
                  <a14:compatExt spid="_x0000_s72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638175</xdr:colOff>
          <xdr:row>2</xdr:row>
          <xdr:rowOff>57150</xdr:rowOff>
        </xdr:from>
        <xdr:to>
          <xdr:col>10</xdr:col>
          <xdr:colOff>714375</xdr:colOff>
          <xdr:row>3</xdr:row>
          <xdr:rowOff>9525</xdr:rowOff>
        </xdr:to>
        <xdr:sp macro="" textlink="">
          <xdr:nvSpPr>
            <xdr:cNvPr id="72023" name="Spinner 343" hidden="1">
              <a:extLst>
                <a:ext uri="{63B3BB69-23CF-44E3-9099-C40C66FF867C}">
                  <a14:compatExt spid="_x0000_s72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85" name="Rectangle 113"/>
        <xdr:cNvSpPr>
          <a:spLocks noChangeArrowheads="1"/>
        </xdr:cNvSpPr>
      </xdr:nvSpPr>
      <xdr:spPr bwMode="auto">
        <a:xfrm>
          <a:off x="5981700" y="142875"/>
          <a:ext cx="123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86" name="Rectangle 114"/>
        <xdr:cNvSpPr>
          <a:spLocks noChangeArrowheads="1"/>
        </xdr:cNvSpPr>
      </xdr:nvSpPr>
      <xdr:spPr bwMode="auto">
        <a:xfrm>
          <a:off x="5991225" y="333375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87" name="Rectangle 115"/>
        <xdr:cNvSpPr>
          <a:spLocks noChangeArrowheads="1"/>
        </xdr:cNvSpPr>
      </xdr:nvSpPr>
      <xdr:spPr bwMode="auto">
        <a:xfrm flipV="1">
          <a:off x="1676400" y="314325"/>
          <a:ext cx="14287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12" Type="http://schemas.openxmlformats.org/officeDocument/2006/relationships/ctrlProp" Target="../ctrlProps/ctrlProp8.xml"/><Relationship Id="rId33" Type="http://schemas.openxmlformats.org/officeDocument/2006/relationships/ctrlProp" Target="../ctrlProps/ctrlProp29.xml"/><Relationship Id="rId108" Type="http://schemas.openxmlformats.org/officeDocument/2006/relationships/ctrlProp" Target="../ctrlProps/ctrlProp104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5" Type="http://schemas.openxmlformats.org/officeDocument/2006/relationships/ctrlProp" Target="../ctrlProps/ctrlProp71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61" Type="http://schemas.openxmlformats.org/officeDocument/2006/relationships/ctrlProp" Target="../ctrlProps/ctrlProp157.xml"/><Relationship Id="rId182" Type="http://schemas.openxmlformats.org/officeDocument/2006/relationships/ctrlProp" Target="../ctrlProps/ctrlProp178.xml"/><Relationship Id="rId217" Type="http://schemas.openxmlformats.org/officeDocument/2006/relationships/ctrlProp" Target="../ctrlProps/ctrlProp213.xml"/><Relationship Id="rId6" Type="http://schemas.openxmlformats.org/officeDocument/2006/relationships/ctrlProp" Target="../ctrlProps/ctrlProp2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5" Type="http://schemas.openxmlformats.org/officeDocument/2006/relationships/ctrlProp" Target="../ctrlProps/ctrlProp61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51" Type="http://schemas.openxmlformats.org/officeDocument/2006/relationships/ctrlProp" Target="../ctrlProps/ctrlProp147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7" Type="http://schemas.openxmlformats.org/officeDocument/2006/relationships/ctrlProp" Target="../ctrlProps/ctrlProp203.xml"/><Relationship Id="rId228" Type="http://schemas.openxmlformats.org/officeDocument/2006/relationships/ctrlProp" Target="../ctrlProps/ctrlProp224.xml"/><Relationship Id="rId13" Type="http://schemas.openxmlformats.org/officeDocument/2006/relationships/ctrlProp" Target="../ctrlProps/ctrlProp9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20" Type="http://schemas.openxmlformats.org/officeDocument/2006/relationships/ctrlProp" Target="../ctrlProps/ctrlProp116.xml"/><Relationship Id="rId141" Type="http://schemas.openxmlformats.org/officeDocument/2006/relationships/ctrlProp" Target="../ctrlProps/ctrlProp137.xml"/><Relationship Id="rId7" Type="http://schemas.openxmlformats.org/officeDocument/2006/relationships/ctrlProp" Target="../ctrlProps/ctrlProp3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8" Type="http://schemas.openxmlformats.org/officeDocument/2006/relationships/ctrlProp" Target="../ctrlProps/ctrlProp214.xml"/><Relationship Id="rId239" Type="http://schemas.openxmlformats.org/officeDocument/2006/relationships/ctrlProp" Target="../ctrlProps/ctrlProp235.xml"/><Relationship Id="rId24" Type="http://schemas.openxmlformats.org/officeDocument/2006/relationships/ctrlProp" Target="../ctrlProps/ctrlProp20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31" Type="http://schemas.openxmlformats.org/officeDocument/2006/relationships/ctrlProp" Target="../ctrlProps/ctrlProp127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240" Type="http://schemas.openxmlformats.org/officeDocument/2006/relationships/ctrlProp" Target="../ctrlProps/ctrlProp236.xml"/><Relationship Id="rId14" Type="http://schemas.openxmlformats.org/officeDocument/2006/relationships/ctrlProp" Target="../ctrlProps/ctrlProp10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8" Type="http://schemas.openxmlformats.org/officeDocument/2006/relationships/ctrlProp" Target="../ctrlProps/ctrlProp4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219" Type="http://schemas.openxmlformats.org/officeDocument/2006/relationships/ctrlProp" Target="../ctrlProps/ctrlProp215.xml"/><Relationship Id="rId230" Type="http://schemas.openxmlformats.org/officeDocument/2006/relationships/ctrlProp" Target="../ctrlProps/ctrlProp226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220" Type="http://schemas.openxmlformats.org/officeDocument/2006/relationships/ctrlProp" Target="../ctrlProps/ctrlProp216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7" Type="http://schemas.openxmlformats.org/officeDocument/2006/relationships/ctrlProp" Target="../ctrlProps/ctrlProp13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24" Type="http://schemas.openxmlformats.org/officeDocument/2006/relationships/ctrlProp" Target="../ctrlProps/ctrlProp120.xml"/><Relationship Id="rId70" Type="http://schemas.openxmlformats.org/officeDocument/2006/relationships/ctrlProp" Target="../ctrlProps/ctrlProp66.xml"/><Relationship Id="rId91" Type="http://schemas.openxmlformats.org/officeDocument/2006/relationships/ctrlProp" Target="../ctrlProps/ctrlProp87.xml"/><Relationship Id="rId145" Type="http://schemas.openxmlformats.org/officeDocument/2006/relationships/ctrlProp" Target="../ctrlProps/ctrlProp141.xml"/><Relationship Id="rId166" Type="http://schemas.openxmlformats.org/officeDocument/2006/relationships/ctrlProp" Target="../ctrlProps/ctrlProp162.xml"/><Relationship Id="rId187" Type="http://schemas.openxmlformats.org/officeDocument/2006/relationships/ctrlProp" Target="../ctrlProps/ctrlProp183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60" Type="http://schemas.openxmlformats.org/officeDocument/2006/relationships/ctrlProp" Target="../ctrlProps/ctrlProp56.xml"/><Relationship Id="rId81" Type="http://schemas.openxmlformats.org/officeDocument/2006/relationships/ctrlProp" Target="../ctrlProps/ctrlProp77.xml"/><Relationship Id="rId135" Type="http://schemas.openxmlformats.org/officeDocument/2006/relationships/ctrlProp" Target="../ctrlProps/ctrlProp131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202" Type="http://schemas.openxmlformats.org/officeDocument/2006/relationships/ctrlProp" Target="../ctrlProps/ctrlProp198.xml"/><Relationship Id="rId223" Type="http://schemas.openxmlformats.org/officeDocument/2006/relationships/ctrlProp" Target="../ctrlProps/ctrlProp219.xml"/><Relationship Id="rId244" Type="http://schemas.openxmlformats.org/officeDocument/2006/relationships/ctrlProp" Target="../ctrlProps/ctrlProp240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50" Type="http://schemas.openxmlformats.org/officeDocument/2006/relationships/ctrlProp" Target="../ctrlProps/ctrlProp46.xml"/><Relationship Id="rId104" Type="http://schemas.openxmlformats.org/officeDocument/2006/relationships/ctrlProp" Target="../ctrlProps/ctrlProp100.xml"/><Relationship Id="rId125" Type="http://schemas.openxmlformats.org/officeDocument/2006/relationships/ctrlProp" Target="../ctrlProps/ctrlProp121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213" Type="http://schemas.openxmlformats.org/officeDocument/2006/relationships/ctrlProp" Target="../ctrlProps/ctrlProp209.xml"/><Relationship Id="rId234" Type="http://schemas.openxmlformats.org/officeDocument/2006/relationships/ctrlProp" Target="../ctrlProps/ctrlProp230.xml"/><Relationship Id="rId2" Type="http://schemas.openxmlformats.org/officeDocument/2006/relationships/printerSettings" Target="../printerSettings/printerSettings2.bin"/><Relationship Id="rId29" Type="http://schemas.openxmlformats.org/officeDocument/2006/relationships/ctrlProp" Target="../ctrlProps/ctrlProp25.xml"/><Relationship Id="rId40" Type="http://schemas.openxmlformats.org/officeDocument/2006/relationships/ctrlProp" Target="../ctrlProps/ctrlProp36.xml"/><Relationship Id="rId115" Type="http://schemas.openxmlformats.org/officeDocument/2006/relationships/ctrlProp" Target="../ctrlProps/ctrlProp111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5" Type="http://schemas.openxmlformats.org/officeDocument/2006/relationships/ctrlProp" Target="../ctrlProps/ctrlProp241.xml"/><Relationship Id="rId30" Type="http://schemas.openxmlformats.org/officeDocument/2006/relationships/ctrlProp" Target="../ctrlProps/ctrlProp2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189" Type="http://schemas.openxmlformats.org/officeDocument/2006/relationships/ctrlProp" Target="../ctrlProps/ctrlProp18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5" Type="http://schemas.openxmlformats.org/officeDocument/2006/relationships/ctrlProp" Target="../ctrlProps/ctrlProp231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179" Type="http://schemas.openxmlformats.org/officeDocument/2006/relationships/ctrlProp" Target="../ctrlProps/ctrlProp17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5" Type="http://schemas.openxmlformats.org/officeDocument/2006/relationships/ctrlProp" Target="../ctrlProps/ctrlProp221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63.xml"/><Relationship Id="rId21" Type="http://schemas.openxmlformats.org/officeDocument/2006/relationships/ctrlProp" Target="../ctrlProps/ctrlProp258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16" Type="http://schemas.openxmlformats.org/officeDocument/2006/relationships/ctrlProp" Target="../ctrlProps/ctrlProp253.xml"/><Relationship Id="rId11" Type="http://schemas.openxmlformats.org/officeDocument/2006/relationships/ctrlProp" Target="../ctrlProps/ctrlProp248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5" Type="http://schemas.openxmlformats.org/officeDocument/2006/relationships/ctrlProp" Target="../ctrlProps/ctrlProp242.xml"/><Relationship Id="rId90" Type="http://schemas.openxmlformats.org/officeDocument/2006/relationships/ctrlProp" Target="../ctrlProps/ctrlProp327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39" Type="http://schemas.openxmlformats.org/officeDocument/2006/relationships/ctrlProp" Target="../ctrlProps/ctrlProp276.xml"/><Relationship Id="rId34" Type="http://schemas.openxmlformats.org/officeDocument/2006/relationships/ctrlProp" Target="../ctrlProps/ctrlProp271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76" Type="http://schemas.openxmlformats.org/officeDocument/2006/relationships/ctrlProp" Target="../ctrlProps/ctrlProp313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29" Type="http://schemas.openxmlformats.org/officeDocument/2006/relationships/ctrlProp" Target="../ctrlProps/ctrlProp266.xml"/><Relationship Id="rId24" Type="http://schemas.openxmlformats.org/officeDocument/2006/relationships/ctrlProp" Target="../ctrlProps/ctrlProp261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66" Type="http://schemas.openxmlformats.org/officeDocument/2006/relationships/ctrlProp" Target="../ctrlProps/ctrlProp303.xml"/><Relationship Id="rId87" Type="http://schemas.openxmlformats.org/officeDocument/2006/relationships/ctrlProp" Target="../ctrlProps/ctrlProp324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56" Type="http://schemas.openxmlformats.org/officeDocument/2006/relationships/ctrlProp" Target="../ctrlProps/ctrlProp293.xml"/><Relationship Id="rId77" Type="http://schemas.openxmlformats.org/officeDocument/2006/relationships/ctrlProp" Target="../ctrlProps/ctrlProp3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9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7" Type="http://schemas.openxmlformats.org/officeDocument/2006/relationships/ctrlProp" Target="../ctrlProps/ctrlProp348.xml"/><Relationship Id="rId2" Type="http://schemas.openxmlformats.org/officeDocument/2006/relationships/printerSettings" Target="../printerSettings/printerSettings22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8" Type="http://schemas.openxmlformats.org/officeDocument/2006/relationships/ctrlProp" Target="../ctrlProps/ctrlProp349.xml"/><Relationship Id="rId3" Type="http://schemas.openxmlformats.org/officeDocument/2006/relationships/drawing" Target="../drawings/drawing4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8.xml"/><Relationship Id="rId21" Type="http://schemas.openxmlformats.org/officeDocument/2006/relationships/ctrlProp" Target="../ctrlProps/ctrlProp402.xml"/><Relationship Id="rId42" Type="http://schemas.openxmlformats.org/officeDocument/2006/relationships/ctrlProp" Target="../ctrlProps/ctrlProp423.xml"/><Relationship Id="rId63" Type="http://schemas.openxmlformats.org/officeDocument/2006/relationships/ctrlProp" Target="../ctrlProps/ctrlProp444.xml"/><Relationship Id="rId84" Type="http://schemas.openxmlformats.org/officeDocument/2006/relationships/ctrlProp" Target="../ctrlProps/ctrlProp465.xml"/><Relationship Id="rId138" Type="http://schemas.openxmlformats.org/officeDocument/2006/relationships/ctrlProp" Target="../ctrlProps/ctrlProp519.xml"/><Relationship Id="rId159" Type="http://schemas.openxmlformats.org/officeDocument/2006/relationships/ctrlProp" Target="../ctrlProps/ctrlProp540.xml"/><Relationship Id="rId107" Type="http://schemas.openxmlformats.org/officeDocument/2006/relationships/ctrlProp" Target="../ctrlProps/ctrlProp488.xml"/><Relationship Id="rId11" Type="http://schemas.openxmlformats.org/officeDocument/2006/relationships/ctrlProp" Target="../ctrlProps/ctrlProp392.xml"/><Relationship Id="rId32" Type="http://schemas.openxmlformats.org/officeDocument/2006/relationships/ctrlProp" Target="../ctrlProps/ctrlProp413.xml"/><Relationship Id="rId53" Type="http://schemas.openxmlformats.org/officeDocument/2006/relationships/ctrlProp" Target="../ctrlProps/ctrlProp434.xml"/><Relationship Id="rId74" Type="http://schemas.openxmlformats.org/officeDocument/2006/relationships/ctrlProp" Target="../ctrlProps/ctrlProp455.xml"/><Relationship Id="rId128" Type="http://schemas.openxmlformats.org/officeDocument/2006/relationships/ctrlProp" Target="../ctrlProps/ctrlProp509.xml"/><Relationship Id="rId149" Type="http://schemas.openxmlformats.org/officeDocument/2006/relationships/ctrlProp" Target="../ctrlProps/ctrlProp530.xml"/><Relationship Id="rId5" Type="http://schemas.openxmlformats.org/officeDocument/2006/relationships/ctrlProp" Target="../ctrlProps/ctrlProp386.xml"/><Relationship Id="rId95" Type="http://schemas.openxmlformats.org/officeDocument/2006/relationships/ctrlProp" Target="../ctrlProps/ctrlProp476.xml"/><Relationship Id="rId22" Type="http://schemas.openxmlformats.org/officeDocument/2006/relationships/ctrlProp" Target="../ctrlProps/ctrlProp403.xml"/><Relationship Id="rId43" Type="http://schemas.openxmlformats.org/officeDocument/2006/relationships/ctrlProp" Target="../ctrlProps/ctrlProp424.xml"/><Relationship Id="rId64" Type="http://schemas.openxmlformats.org/officeDocument/2006/relationships/ctrlProp" Target="../ctrlProps/ctrlProp445.xml"/><Relationship Id="rId118" Type="http://schemas.openxmlformats.org/officeDocument/2006/relationships/ctrlProp" Target="../ctrlProps/ctrlProp499.xml"/><Relationship Id="rId139" Type="http://schemas.openxmlformats.org/officeDocument/2006/relationships/ctrlProp" Target="../ctrlProps/ctrlProp520.xml"/><Relationship Id="rId80" Type="http://schemas.openxmlformats.org/officeDocument/2006/relationships/ctrlProp" Target="../ctrlProps/ctrlProp461.xml"/><Relationship Id="rId85" Type="http://schemas.openxmlformats.org/officeDocument/2006/relationships/ctrlProp" Target="../ctrlProps/ctrlProp466.xml"/><Relationship Id="rId150" Type="http://schemas.openxmlformats.org/officeDocument/2006/relationships/ctrlProp" Target="../ctrlProps/ctrlProp531.xml"/><Relationship Id="rId155" Type="http://schemas.openxmlformats.org/officeDocument/2006/relationships/ctrlProp" Target="../ctrlProps/ctrlProp536.xml"/><Relationship Id="rId12" Type="http://schemas.openxmlformats.org/officeDocument/2006/relationships/ctrlProp" Target="../ctrlProps/ctrlProp393.xml"/><Relationship Id="rId17" Type="http://schemas.openxmlformats.org/officeDocument/2006/relationships/ctrlProp" Target="../ctrlProps/ctrlProp398.xml"/><Relationship Id="rId33" Type="http://schemas.openxmlformats.org/officeDocument/2006/relationships/ctrlProp" Target="../ctrlProps/ctrlProp414.xml"/><Relationship Id="rId38" Type="http://schemas.openxmlformats.org/officeDocument/2006/relationships/ctrlProp" Target="../ctrlProps/ctrlProp419.xml"/><Relationship Id="rId59" Type="http://schemas.openxmlformats.org/officeDocument/2006/relationships/ctrlProp" Target="../ctrlProps/ctrlProp440.xml"/><Relationship Id="rId103" Type="http://schemas.openxmlformats.org/officeDocument/2006/relationships/ctrlProp" Target="../ctrlProps/ctrlProp484.xml"/><Relationship Id="rId108" Type="http://schemas.openxmlformats.org/officeDocument/2006/relationships/ctrlProp" Target="../ctrlProps/ctrlProp489.xml"/><Relationship Id="rId124" Type="http://schemas.openxmlformats.org/officeDocument/2006/relationships/ctrlProp" Target="../ctrlProps/ctrlProp505.xml"/><Relationship Id="rId129" Type="http://schemas.openxmlformats.org/officeDocument/2006/relationships/ctrlProp" Target="../ctrlProps/ctrlProp510.xml"/><Relationship Id="rId54" Type="http://schemas.openxmlformats.org/officeDocument/2006/relationships/ctrlProp" Target="../ctrlProps/ctrlProp435.xml"/><Relationship Id="rId70" Type="http://schemas.openxmlformats.org/officeDocument/2006/relationships/ctrlProp" Target="../ctrlProps/ctrlProp451.xml"/><Relationship Id="rId75" Type="http://schemas.openxmlformats.org/officeDocument/2006/relationships/ctrlProp" Target="../ctrlProps/ctrlProp456.xml"/><Relationship Id="rId91" Type="http://schemas.openxmlformats.org/officeDocument/2006/relationships/ctrlProp" Target="../ctrlProps/ctrlProp472.xml"/><Relationship Id="rId96" Type="http://schemas.openxmlformats.org/officeDocument/2006/relationships/ctrlProp" Target="../ctrlProps/ctrlProp477.xml"/><Relationship Id="rId140" Type="http://schemas.openxmlformats.org/officeDocument/2006/relationships/ctrlProp" Target="../ctrlProps/ctrlProp521.xml"/><Relationship Id="rId145" Type="http://schemas.openxmlformats.org/officeDocument/2006/relationships/ctrlProp" Target="../ctrlProps/ctrlProp526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87.xml"/><Relationship Id="rId23" Type="http://schemas.openxmlformats.org/officeDocument/2006/relationships/ctrlProp" Target="../ctrlProps/ctrlProp404.xml"/><Relationship Id="rId28" Type="http://schemas.openxmlformats.org/officeDocument/2006/relationships/ctrlProp" Target="../ctrlProps/ctrlProp409.xml"/><Relationship Id="rId49" Type="http://schemas.openxmlformats.org/officeDocument/2006/relationships/ctrlProp" Target="../ctrlProps/ctrlProp430.xml"/><Relationship Id="rId114" Type="http://schemas.openxmlformats.org/officeDocument/2006/relationships/ctrlProp" Target="../ctrlProps/ctrlProp495.xml"/><Relationship Id="rId119" Type="http://schemas.openxmlformats.org/officeDocument/2006/relationships/ctrlProp" Target="../ctrlProps/ctrlProp500.xml"/><Relationship Id="rId44" Type="http://schemas.openxmlformats.org/officeDocument/2006/relationships/ctrlProp" Target="../ctrlProps/ctrlProp425.xml"/><Relationship Id="rId60" Type="http://schemas.openxmlformats.org/officeDocument/2006/relationships/ctrlProp" Target="../ctrlProps/ctrlProp441.xml"/><Relationship Id="rId65" Type="http://schemas.openxmlformats.org/officeDocument/2006/relationships/ctrlProp" Target="../ctrlProps/ctrlProp446.xml"/><Relationship Id="rId81" Type="http://schemas.openxmlformats.org/officeDocument/2006/relationships/ctrlProp" Target="../ctrlProps/ctrlProp462.xml"/><Relationship Id="rId86" Type="http://schemas.openxmlformats.org/officeDocument/2006/relationships/ctrlProp" Target="../ctrlProps/ctrlProp467.xml"/><Relationship Id="rId130" Type="http://schemas.openxmlformats.org/officeDocument/2006/relationships/ctrlProp" Target="../ctrlProps/ctrlProp511.xml"/><Relationship Id="rId135" Type="http://schemas.openxmlformats.org/officeDocument/2006/relationships/ctrlProp" Target="../ctrlProps/ctrlProp516.xml"/><Relationship Id="rId151" Type="http://schemas.openxmlformats.org/officeDocument/2006/relationships/ctrlProp" Target="../ctrlProps/ctrlProp532.xml"/><Relationship Id="rId156" Type="http://schemas.openxmlformats.org/officeDocument/2006/relationships/ctrlProp" Target="../ctrlProps/ctrlProp537.xml"/><Relationship Id="rId13" Type="http://schemas.openxmlformats.org/officeDocument/2006/relationships/ctrlProp" Target="../ctrlProps/ctrlProp394.xml"/><Relationship Id="rId18" Type="http://schemas.openxmlformats.org/officeDocument/2006/relationships/ctrlProp" Target="../ctrlProps/ctrlProp399.xml"/><Relationship Id="rId39" Type="http://schemas.openxmlformats.org/officeDocument/2006/relationships/ctrlProp" Target="../ctrlProps/ctrlProp420.xml"/><Relationship Id="rId109" Type="http://schemas.openxmlformats.org/officeDocument/2006/relationships/ctrlProp" Target="../ctrlProps/ctrlProp490.xml"/><Relationship Id="rId34" Type="http://schemas.openxmlformats.org/officeDocument/2006/relationships/ctrlProp" Target="../ctrlProps/ctrlProp415.xml"/><Relationship Id="rId50" Type="http://schemas.openxmlformats.org/officeDocument/2006/relationships/ctrlProp" Target="../ctrlProps/ctrlProp431.xml"/><Relationship Id="rId55" Type="http://schemas.openxmlformats.org/officeDocument/2006/relationships/ctrlProp" Target="../ctrlProps/ctrlProp436.xml"/><Relationship Id="rId76" Type="http://schemas.openxmlformats.org/officeDocument/2006/relationships/ctrlProp" Target="../ctrlProps/ctrlProp457.xml"/><Relationship Id="rId97" Type="http://schemas.openxmlformats.org/officeDocument/2006/relationships/ctrlProp" Target="../ctrlProps/ctrlProp478.xml"/><Relationship Id="rId104" Type="http://schemas.openxmlformats.org/officeDocument/2006/relationships/ctrlProp" Target="../ctrlProps/ctrlProp485.xml"/><Relationship Id="rId120" Type="http://schemas.openxmlformats.org/officeDocument/2006/relationships/ctrlProp" Target="../ctrlProps/ctrlProp501.xml"/><Relationship Id="rId125" Type="http://schemas.openxmlformats.org/officeDocument/2006/relationships/ctrlProp" Target="../ctrlProps/ctrlProp506.xml"/><Relationship Id="rId141" Type="http://schemas.openxmlformats.org/officeDocument/2006/relationships/ctrlProp" Target="../ctrlProps/ctrlProp522.xml"/><Relationship Id="rId146" Type="http://schemas.openxmlformats.org/officeDocument/2006/relationships/ctrlProp" Target="../ctrlProps/ctrlProp527.xml"/><Relationship Id="rId7" Type="http://schemas.openxmlformats.org/officeDocument/2006/relationships/ctrlProp" Target="../ctrlProps/ctrlProp388.xml"/><Relationship Id="rId71" Type="http://schemas.openxmlformats.org/officeDocument/2006/relationships/ctrlProp" Target="../ctrlProps/ctrlProp452.xml"/><Relationship Id="rId92" Type="http://schemas.openxmlformats.org/officeDocument/2006/relationships/ctrlProp" Target="../ctrlProps/ctrlProp473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0.xml"/><Relationship Id="rId24" Type="http://schemas.openxmlformats.org/officeDocument/2006/relationships/ctrlProp" Target="../ctrlProps/ctrlProp405.xml"/><Relationship Id="rId40" Type="http://schemas.openxmlformats.org/officeDocument/2006/relationships/ctrlProp" Target="../ctrlProps/ctrlProp421.xml"/><Relationship Id="rId45" Type="http://schemas.openxmlformats.org/officeDocument/2006/relationships/ctrlProp" Target="../ctrlProps/ctrlProp426.xml"/><Relationship Id="rId66" Type="http://schemas.openxmlformats.org/officeDocument/2006/relationships/ctrlProp" Target="../ctrlProps/ctrlProp447.xml"/><Relationship Id="rId87" Type="http://schemas.openxmlformats.org/officeDocument/2006/relationships/ctrlProp" Target="../ctrlProps/ctrlProp468.xml"/><Relationship Id="rId110" Type="http://schemas.openxmlformats.org/officeDocument/2006/relationships/ctrlProp" Target="../ctrlProps/ctrlProp491.xml"/><Relationship Id="rId115" Type="http://schemas.openxmlformats.org/officeDocument/2006/relationships/ctrlProp" Target="../ctrlProps/ctrlProp496.xml"/><Relationship Id="rId131" Type="http://schemas.openxmlformats.org/officeDocument/2006/relationships/ctrlProp" Target="../ctrlProps/ctrlProp512.xml"/><Relationship Id="rId136" Type="http://schemas.openxmlformats.org/officeDocument/2006/relationships/ctrlProp" Target="../ctrlProps/ctrlProp517.xml"/><Relationship Id="rId157" Type="http://schemas.openxmlformats.org/officeDocument/2006/relationships/ctrlProp" Target="../ctrlProps/ctrlProp538.xml"/><Relationship Id="rId61" Type="http://schemas.openxmlformats.org/officeDocument/2006/relationships/ctrlProp" Target="../ctrlProps/ctrlProp442.xml"/><Relationship Id="rId82" Type="http://schemas.openxmlformats.org/officeDocument/2006/relationships/ctrlProp" Target="../ctrlProps/ctrlProp463.xml"/><Relationship Id="rId152" Type="http://schemas.openxmlformats.org/officeDocument/2006/relationships/ctrlProp" Target="../ctrlProps/ctrlProp533.xml"/><Relationship Id="rId19" Type="http://schemas.openxmlformats.org/officeDocument/2006/relationships/ctrlProp" Target="../ctrlProps/ctrlProp400.xml"/><Relationship Id="rId14" Type="http://schemas.openxmlformats.org/officeDocument/2006/relationships/ctrlProp" Target="../ctrlProps/ctrlProp395.xml"/><Relationship Id="rId30" Type="http://schemas.openxmlformats.org/officeDocument/2006/relationships/ctrlProp" Target="../ctrlProps/ctrlProp411.xml"/><Relationship Id="rId35" Type="http://schemas.openxmlformats.org/officeDocument/2006/relationships/ctrlProp" Target="../ctrlProps/ctrlProp416.xml"/><Relationship Id="rId56" Type="http://schemas.openxmlformats.org/officeDocument/2006/relationships/ctrlProp" Target="../ctrlProps/ctrlProp437.xml"/><Relationship Id="rId77" Type="http://schemas.openxmlformats.org/officeDocument/2006/relationships/ctrlProp" Target="../ctrlProps/ctrlProp458.xml"/><Relationship Id="rId100" Type="http://schemas.openxmlformats.org/officeDocument/2006/relationships/ctrlProp" Target="../ctrlProps/ctrlProp481.xml"/><Relationship Id="rId105" Type="http://schemas.openxmlformats.org/officeDocument/2006/relationships/ctrlProp" Target="../ctrlProps/ctrlProp486.xml"/><Relationship Id="rId126" Type="http://schemas.openxmlformats.org/officeDocument/2006/relationships/ctrlProp" Target="../ctrlProps/ctrlProp507.xml"/><Relationship Id="rId147" Type="http://schemas.openxmlformats.org/officeDocument/2006/relationships/ctrlProp" Target="../ctrlProps/ctrlProp528.xml"/><Relationship Id="rId8" Type="http://schemas.openxmlformats.org/officeDocument/2006/relationships/ctrlProp" Target="../ctrlProps/ctrlProp389.xml"/><Relationship Id="rId51" Type="http://schemas.openxmlformats.org/officeDocument/2006/relationships/ctrlProp" Target="../ctrlProps/ctrlProp432.xml"/><Relationship Id="rId72" Type="http://schemas.openxmlformats.org/officeDocument/2006/relationships/ctrlProp" Target="../ctrlProps/ctrlProp453.xml"/><Relationship Id="rId93" Type="http://schemas.openxmlformats.org/officeDocument/2006/relationships/ctrlProp" Target="../ctrlProps/ctrlProp474.xml"/><Relationship Id="rId98" Type="http://schemas.openxmlformats.org/officeDocument/2006/relationships/ctrlProp" Target="../ctrlProps/ctrlProp479.xml"/><Relationship Id="rId121" Type="http://schemas.openxmlformats.org/officeDocument/2006/relationships/ctrlProp" Target="../ctrlProps/ctrlProp502.xml"/><Relationship Id="rId142" Type="http://schemas.openxmlformats.org/officeDocument/2006/relationships/ctrlProp" Target="../ctrlProps/ctrlProp523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06.xml"/><Relationship Id="rId46" Type="http://schemas.openxmlformats.org/officeDocument/2006/relationships/ctrlProp" Target="../ctrlProps/ctrlProp427.xml"/><Relationship Id="rId67" Type="http://schemas.openxmlformats.org/officeDocument/2006/relationships/ctrlProp" Target="../ctrlProps/ctrlProp448.xml"/><Relationship Id="rId116" Type="http://schemas.openxmlformats.org/officeDocument/2006/relationships/ctrlProp" Target="../ctrlProps/ctrlProp497.xml"/><Relationship Id="rId137" Type="http://schemas.openxmlformats.org/officeDocument/2006/relationships/ctrlProp" Target="../ctrlProps/ctrlProp518.xml"/><Relationship Id="rId158" Type="http://schemas.openxmlformats.org/officeDocument/2006/relationships/ctrlProp" Target="../ctrlProps/ctrlProp539.xml"/><Relationship Id="rId20" Type="http://schemas.openxmlformats.org/officeDocument/2006/relationships/ctrlProp" Target="../ctrlProps/ctrlProp401.xml"/><Relationship Id="rId41" Type="http://schemas.openxmlformats.org/officeDocument/2006/relationships/ctrlProp" Target="../ctrlProps/ctrlProp422.xml"/><Relationship Id="rId62" Type="http://schemas.openxmlformats.org/officeDocument/2006/relationships/ctrlProp" Target="../ctrlProps/ctrlProp443.xml"/><Relationship Id="rId83" Type="http://schemas.openxmlformats.org/officeDocument/2006/relationships/ctrlProp" Target="../ctrlProps/ctrlProp464.xml"/><Relationship Id="rId88" Type="http://schemas.openxmlformats.org/officeDocument/2006/relationships/ctrlProp" Target="../ctrlProps/ctrlProp469.xml"/><Relationship Id="rId111" Type="http://schemas.openxmlformats.org/officeDocument/2006/relationships/ctrlProp" Target="../ctrlProps/ctrlProp492.xml"/><Relationship Id="rId132" Type="http://schemas.openxmlformats.org/officeDocument/2006/relationships/ctrlProp" Target="../ctrlProps/ctrlProp513.xml"/><Relationship Id="rId153" Type="http://schemas.openxmlformats.org/officeDocument/2006/relationships/ctrlProp" Target="../ctrlProps/ctrlProp534.xml"/><Relationship Id="rId15" Type="http://schemas.openxmlformats.org/officeDocument/2006/relationships/ctrlProp" Target="../ctrlProps/ctrlProp396.xml"/><Relationship Id="rId36" Type="http://schemas.openxmlformats.org/officeDocument/2006/relationships/ctrlProp" Target="../ctrlProps/ctrlProp417.xml"/><Relationship Id="rId57" Type="http://schemas.openxmlformats.org/officeDocument/2006/relationships/ctrlProp" Target="../ctrlProps/ctrlProp438.xml"/><Relationship Id="rId106" Type="http://schemas.openxmlformats.org/officeDocument/2006/relationships/ctrlProp" Target="../ctrlProps/ctrlProp487.xml"/><Relationship Id="rId127" Type="http://schemas.openxmlformats.org/officeDocument/2006/relationships/ctrlProp" Target="../ctrlProps/ctrlProp508.xml"/><Relationship Id="rId10" Type="http://schemas.openxmlformats.org/officeDocument/2006/relationships/ctrlProp" Target="../ctrlProps/ctrlProp391.xml"/><Relationship Id="rId31" Type="http://schemas.openxmlformats.org/officeDocument/2006/relationships/ctrlProp" Target="../ctrlProps/ctrlProp412.xml"/><Relationship Id="rId52" Type="http://schemas.openxmlformats.org/officeDocument/2006/relationships/ctrlProp" Target="../ctrlProps/ctrlProp433.xml"/><Relationship Id="rId73" Type="http://schemas.openxmlformats.org/officeDocument/2006/relationships/ctrlProp" Target="../ctrlProps/ctrlProp454.xml"/><Relationship Id="rId78" Type="http://schemas.openxmlformats.org/officeDocument/2006/relationships/ctrlProp" Target="../ctrlProps/ctrlProp459.xml"/><Relationship Id="rId94" Type="http://schemas.openxmlformats.org/officeDocument/2006/relationships/ctrlProp" Target="../ctrlProps/ctrlProp475.xml"/><Relationship Id="rId99" Type="http://schemas.openxmlformats.org/officeDocument/2006/relationships/ctrlProp" Target="../ctrlProps/ctrlProp480.xml"/><Relationship Id="rId101" Type="http://schemas.openxmlformats.org/officeDocument/2006/relationships/ctrlProp" Target="../ctrlProps/ctrlProp482.xml"/><Relationship Id="rId122" Type="http://schemas.openxmlformats.org/officeDocument/2006/relationships/ctrlProp" Target="../ctrlProps/ctrlProp503.xml"/><Relationship Id="rId143" Type="http://schemas.openxmlformats.org/officeDocument/2006/relationships/ctrlProp" Target="../ctrlProps/ctrlProp524.xml"/><Relationship Id="rId148" Type="http://schemas.openxmlformats.org/officeDocument/2006/relationships/ctrlProp" Target="../ctrlProps/ctrlProp529.xml"/><Relationship Id="rId4" Type="http://schemas.openxmlformats.org/officeDocument/2006/relationships/ctrlProp" Target="../ctrlProps/ctrlProp385.xml"/><Relationship Id="rId9" Type="http://schemas.openxmlformats.org/officeDocument/2006/relationships/ctrlProp" Target="../ctrlProps/ctrlProp390.xml"/><Relationship Id="rId26" Type="http://schemas.openxmlformats.org/officeDocument/2006/relationships/ctrlProp" Target="../ctrlProps/ctrlProp407.xml"/><Relationship Id="rId47" Type="http://schemas.openxmlformats.org/officeDocument/2006/relationships/ctrlProp" Target="../ctrlProps/ctrlProp428.xml"/><Relationship Id="rId68" Type="http://schemas.openxmlformats.org/officeDocument/2006/relationships/ctrlProp" Target="../ctrlProps/ctrlProp449.xml"/><Relationship Id="rId89" Type="http://schemas.openxmlformats.org/officeDocument/2006/relationships/ctrlProp" Target="../ctrlProps/ctrlProp470.xml"/><Relationship Id="rId112" Type="http://schemas.openxmlformats.org/officeDocument/2006/relationships/ctrlProp" Target="../ctrlProps/ctrlProp493.xml"/><Relationship Id="rId133" Type="http://schemas.openxmlformats.org/officeDocument/2006/relationships/ctrlProp" Target="../ctrlProps/ctrlProp514.xml"/><Relationship Id="rId154" Type="http://schemas.openxmlformats.org/officeDocument/2006/relationships/ctrlProp" Target="../ctrlProps/ctrlProp535.xml"/><Relationship Id="rId16" Type="http://schemas.openxmlformats.org/officeDocument/2006/relationships/ctrlProp" Target="../ctrlProps/ctrlProp397.xml"/><Relationship Id="rId37" Type="http://schemas.openxmlformats.org/officeDocument/2006/relationships/ctrlProp" Target="../ctrlProps/ctrlProp418.xml"/><Relationship Id="rId58" Type="http://schemas.openxmlformats.org/officeDocument/2006/relationships/ctrlProp" Target="../ctrlProps/ctrlProp439.xml"/><Relationship Id="rId79" Type="http://schemas.openxmlformats.org/officeDocument/2006/relationships/ctrlProp" Target="../ctrlProps/ctrlProp460.xml"/><Relationship Id="rId102" Type="http://schemas.openxmlformats.org/officeDocument/2006/relationships/ctrlProp" Target="../ctrlProps/ctrlProp483.xml"/><Relationship Id="rId123" Type="http://schemas.openxmlformats.org/officeDocument/2006/relationships/ctrlProp" Target="../ctrlProps/ctrlProp504.xml"/><Relationship Id="rId144" Type="http://schemas.openxmlformats.org/officeDocument/2006/relationships/ctrlProp" Target="../ctrlProps/ctrlProp525.xml"/><Relationship Id="rId90" Type="http://schemas.openxmlformats.org/officeDocument/2006/relationships/ctrlProp" Target="../ctrlProps/ctrlProp471.xml"/><Relationship Id="rId27" Type="http://schemas.openxmlformats.org/officeDocument/2006/relationships/ctrlProp" Target="../ctrlProps/ctrlProp408.xml"/><Relationship Id="rId48" Type="http://schemas.openxmlformats.org/officeDocument/2006/relationships/ctrlProp" Target="../ctrlProps/ctrlProp429.xml"/><Relationship Id="rId69" Type="http://schemas.openxmlformats.org/officeDocument/2006/relationships/ctrlProp" Target="../ctrlProps/ctrlProp450.xml"/><Relationship Id="rId113" Type="http://schemas.openxmlformats.org/officeDocument/2006/relationships/ctrlProp" Target="../ctrlProps/ctrlProp494.xml"/><Relationship Id="rId134" Type="http://schemas.openxmlformats.org/officeDocument/2006/relationships/ctrlProp" Target="../ctrlProps/ctrlProp515.xml"/></Relationships>
</file>

<file path=xl/worksheets/_rels/sheet2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63.xml"/><Relationship Id="rId21" Type="http://schemas.openxmlformats.org/officeDocument/2006/relationships/ctrlProp" Target="../ctrlProps/ctrlProp558.xml"/><Relationship Id="rId42" Type="http://schemas.openxmlformats.org/officeDocument/2006/relationships/ctrlProp" Target="../ctrlProps/ctrlProp579.xml"/><Relationship Id="rId47" Type="http://schemas.openxmlformats.org/officeDocument/2006/relationships/ctrlProp" Target="../ctrlProps/ctrlProp584.xml"/><Relationship Id="rId63" Type="http://schemas.openxmlformats.org/officeDocument/2006/relationships/ctrlProp" Target="../ctrlProps/ctrlProp600.xml"/><Relationship Id="rId68" Type="http://schemas.openxmlformats.org/officeDocument/2006/relationships/ctrlProp" Target="../ctrlProps/ctrlProp605.xml"/><Relationship Id="rId7" Type="http://schemas.openxmlformats.org/officeDocument/2006/relationships/ctrlProp" Target="../ctrlProps/ctrlProp544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3.xml"/><Relationship Id="rId29" Type="http://schemas.openxmlformats.org/officeDocument/2006/relationships/ctrlProp" Target="../ctrlProps/ctrlProp566.xml"/><Relationship Id="rId11" Type="http://schemas.openxmlformats.org/officeDocument/2006/relationships/ctrlProp" Target="../ctrlProps/ctrlProp548.xml"/><Relationship Id="rId24" Type="http://schemas.openxmlformats.org/officeDocument/2006/relationships/ctrlProp" Target="../ctrlProps/ctrlProp561.xml"/><Relationship Id="rId32" Type="http://schemas.openxmlformats.org/officeDocument/2006/relationships/ctrlProp" Target="../ctrlProps/ctrlProp569.xml"/><Relationship Id="rId37" Type="http://schemas.openxmlformats.org/officeDocument/2006/relationships/ctrlProp" Target="../ctrlProps/ctrlProp574.xml"/><Relationship Id="rId40" Type="http://schemas.openxmlformats.org/officeDocument/2006/relationships/ctrlProp" Target="../ctrlProps/ctrlProp577.xml"/><Relationship Id="rId45" Type="http://schemas.openxmlformats.org/officeDocument/2006/relationships/ctrlProp" Target="../ctrlProps/ctrlProp582.xml"/><Relationship Id="rId53" Type="http://schemas.openxmlformats.org/officeDocument/2006/relationships/ctrlProp" Target="../ctrlProps/ctrlProp590.xml"/><Relationship Id="rId58" Type="http://schemas.openxmlformats.org/officeDocument/2006/relationships/ctrlProp" Target="../ctrlProps/ctrlProp595.xml"/><Relationship Id="rId66" Type="http://schemas.openxmlformats.org/officeDocument/2006/relationships/ctrlProp" Target="../ctrlProps/ctrlProp603.xml"/><Relationship Id="rId5" Type="http://schemas.openxmlformats.org/officeDocument/2006/relationships/ctrlProp" Target="../ctrlProps/ctrlProp542.xml"/><Relationship Id="rId61" Type="http://schemas.openxmlformats.org/officeDocument/2006/relationships/ctrlProp" Target="../ctrlProps/ctrlProp598.xml"/><Relationship Id="rId19" Type="http://schemas.openxmlformats.org/officeDocument/2006/relationships/ctrlProp" Target="../ctrlProps/ctrlProp556.xml"/><Relationship Id="rId14" Type="http://schemas.openxmlformats.org/officeDocument/2006/relationships/ctrlProp" Target="../ctrlProps/ctrlProp551.xml"/><Relationship Id="rId22" Type="http://schemas.openxmlformats.org/officeDocument/2006/relationships/ctrlProp" Target="../ctrlProps/ctrlProp559.xml"/><Relationship Id="rId27" Type="http://schemas.openxmlformats.org/officeDocument/2006/relationships/ctrlProp" Target="../ctrlProps/ctrlProp564.xml"/><Relationship Id="rId30" Type="http://schemas.openxmlformats.org/officeDocument/2006/relationships/ctrlProp" Target="../ctrlProps/ctrlProp567.xml"/><Relationship Id="rId35" Type="http://schemas.openxmlformats.org/officeDocument/2006/relationships/ctrlProp" Target="../ctrlProps/ctrlProp572.xml"/><Relationship Id="rId43" Type="http://schemas.openxmlformats.org/officeDocument/2006/relationships/ctrlProp" Target="../ctrlProps/ctrlProp580.xml"/><Relationship Id="rId48" Type="http://schemas.openxmlformats.org/officeDocument/2006/relationships/ctrlProp" Target="../ctrlProps/ctrlProp585.xml"/><Relationship Id="rId56" Type="http://schemas.openxmlformats.org/officeDocument/2006/relationships/ctrlProp" Target="../ctrlProps/ctrlProp593.xml"/><Relationship Id="rId64" Type="http://schemas.openxmlformats.org/officeDocument/2006/relationships/ctrlProp" Target="../ctrlProps/ctrlProp601.xml"/><Relationship Id="rId69" Type="http://schemas.openxmlformats.org/officeDocument/2006/relationships/ctrlProp" Target="../ctrlProps/ctrlProp606.xml"/><Relationship Id="rId8" Type="http://schemas.openxmlformats.org/officeDocument/2006/relationships/ctrlProp" Target="../ctrlProps/ctrlProp545.xml"/><Relationship Id="rId51" Type="http://schemas.openxmlformats.org/officeDocument/2006/relationships/ctrlProp" Target="../ctrlProps/ctrlProp588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49.xml"/><Relationship Id="rId17" Type="http://schemas.openxmlformats.org/officeDocument/2006/relationships/ctrlProp" Target="../ctrlProps/ctrlProp554.xml"/><Relationship Id="rId25" Type="http://schemas.openxmlformats.org/officeDocument/2006/relationships/ctrlProp" Target="../ctrlProps/ctrlProp562.xml"/><Relationship Id="rId33" Type="http://schemas.openxmlformats.org/officeDocument/2006/relationships/ctrlProp" Target="../ctrlProps/ctrlProp570.xml"/><Relationship Id="rId38" Type="http://schemas.openxmlformats.org/officeDocument/2006/relationships/ctrlProp" Target="../ctrlProps/ctrlProp575.xml"/><Relationship Id="rId46" Type="http://schemas.openxmlformats.org/officeDocument/2006/relationships/ctrlProp" Target="../ctrlProps/ctrlProp583.xml"/><Relationship Id="rId59" Type="http://schemas.openxmlformats.org/officeDocument/2006/relationships/ctrlProp" Target="../ctrlProps/ctrlProp596.xml"/><Relationship Id="rId67" Type="http://schemas.openxmlformats.org/officeDocument/2006/relationships/ctrlProp" Target="../ctrlProps/ctrlProp604.xml"/><Relationship Id="rId20" Type="http://schemas.openxmlformats.org/officeDocument/2006/relationships/ctrlProp" Target="../ctrlProps/ctrlProp557.xml"/><Relationship Id="rId41" Type="http://schemas.openxmlformats.org/officeDocument/2006/relationships/ctrlProp" Target="../ctrlProps/ctrlProp578.xml"/><Relationship Id="rId54" Type="http://schemas.openxmlformats.org/officeDocument/2006/relationships/ctrlProp" Target="../ctrlProps/ctrlProp591.xml"/><Relationship Id="rId62" Type="http://schemas.openxmlformats.org/officeDocument/2006/relationships/ctrlProp" Target="../ctrlProps/ctrlProp599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543.xml"/><Relationship Id="rId15" Type="http://schemas.openxmlformats.org/officeDocument/2006/relationships/ctrlProp" Target="../ctrlProps/ctrlProp552.xml"/><Relationship Id="rId23" Type="http://schemas.openxmlformats.org/officeDocument/2006/relationships/ctrlProp" Target="../ctrlProps/ctrlProp560.xml"/><Relationship Id="rId28" Type="http://schemas.openxmlformats.org/officeDocument/2006/relationships/ctrlProp" Target="../ctrlProps/ctrlProp565.xml"/><Relationship Id="rId36" Type="http://schemas.openxmlformats.org/officeDocument/2006/relationships/ctrlProp" Target="../ctrlProps/ctrlProp573.xml"/><Relationship Id="rId49" Type="http://schemas.openxmlformats.org/officeDocument/2006/relationships/ctrlProp" Target="../ctrlProps/ctrlProp586.xml"/><Relationship Id="rId57" Type="http://schemas.openxmlformats.org/officeDocument/2006/relationships/ctrlProp" Target="../ctrlProps/ctrlProp594.xml"/><Relationship Id="rId10" Type="http://schemas.openxmlformats.org/officeDocument/2006/relationships/ctrlProp" Target="../ctrlProps/ctrlProp547.xml"/><Relationship Id="rId31" Type="http://schemas.openxmlformats.org/officeDocument/2006/relationships/ctrlProp" Target="../ctrlProps/ctrlProp568.xml"/><Relationship Id="rId44" Type="http://schemas.openxmlformats.org/officeDocument/2006/relationships/ctrlProp" Target="../ctrlProps/ctrlProp581.xml"/><Relationship Id="rId52" Type="http://schemas.openxmlformats.org/officeDocument/2006/relationships/ctrlProp" Target="../ctrlProps/ctrlProp589.xml"/><Relationship Id="rId60" Type="http://schemas.openxmlformats.org/officeDocument/2006/relationships/ctrlProp" Target="../ctrlProps/ctrlProp597.xml"/><Relationship Id="rId65" Type="http://schemas.openxmlformats.org/officeDocument/2006/relationships/ctrlProp" Target="../ctrlProps/ctrlProp602.xml"/><Relationship Id="rId4" Type="http://schemas.openxmlformats.org/officeDocument/2006/relationships/ctrlProp" Target="../ctrlProps/ctrlProp541.xml"/><Relationship Id="rId9" Type="http://schemas.openxmlformats.org/officeDocument/2006/relationships/ctrlProp" Target="../ctrlProps/ctrlProp546.xml"/><Relationship Id="rId13" Type="http://schemas.openxmlformats.org/officeDocument/2006/relationships/ctrlProp" Target="../ctrlProps/ctrlProp550.xml"/><Relationship Id="rId18" Type="http://schemas.openxmlformats.org/officeDocument/2006/relationships/ctrlProp" Target="../ctrlProps/ctrlProp555.xml"/><Relationship Id="rId39" Type="http://schemas.openxmlformats.org/officeDocument/2006/relationships/ctrlProp" Target="../ctrlProps/ctrlProp576.xml"/><Relationship Id="rId34" Type="http://schemas.openxmlformats.org/officeDocument/2006/relationships/ctrlProp" Target="../ctrlProps/ctrlProp571.xml"/><Relationship Id="rId50" Type="http://schemas.openxmlformats.org/officeDocument/2006/relationships/ctrlProp" Target="../ctrlProps/ctrlProp587.xml"/><Relationship Id="rId55" Type="http://schemas.openxmlformats.org/officeDocument/2006/relationships/ctrlProp" Target="../ctrlProps/ctrlProp592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rinterSettings" Target="../printerSettings/printerSettings44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rinterSettings" Target="../printerSettings/printerSettings46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rinterSettings" Target="../printerSettings/printerSettings48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rinterSettings" Target="../printerSettings/printerSettings50.bin"/></Relationships>
</file>

<file path=xl/worksheets/_rels/sheet4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20.xml"/><Relationship Id="rId21" Type="http://schemas.openxmlformats.org/officeDocument/2006/relationships/ctrlProp" Target="../ctrlProps/ctrlProp624.xml"/><Relationship Id="rId42" Type="http://schemas.openxmlformats.org/officeDocument/2006/relationships/ctrlProp" Target="../ctrlProps/ctrlProp645.xml"/><Relationship Id="rId47" Type="http://schemas.openxmlformats.org/officeDocument/2006/relationships/ctrlProp" Target="../ctrlProps/ctrlProp650.xml"/><Relationship Id="rId63" Type="http://schemas.openxmlformats.org/officeDocument/2006/relationships/ctrlProp" Target="../ctrlProps/ctrlProp666.xml"/><Relationship Id="rId68" Type="http://schemas.openxmlformats.org/officeDocument/2006/relationships/ctrlProp" Target="../ctrlProps/ctrlProp671.xml"/><Relationship Id="rId84" Type="http://schemas.openxmlformats.org/officeDocument/2006/relationships/ctrlProp" Target="../ctrlProps/ctrlProp687.xml"/><Relationship Id="rId89" Type="http://schemas.openxmlformats.org/officeDocument/2006/relationships/ctrlProp" Target="../ctrlProps/ctrlProp692.xml"/><Relationship Id="rId112" Type="http://schemas.openxmlformats.org/officeDocument/2006/relationships/ctrlProp" Target="../ctrlProps/ctrlProp715.xml"/><Relationship Id="rId16" Type="http://schemas.openxmlformats.org/officeDocument/2006/relationships/ctrlProp" Target="../ctrlProps/ctrlProp619.xml"/><Relationship Id="rId107" Type="http://schemas.openxmlformats.org/officeDocument/2006/relationships/ctrlProp" Target="../ctrlProps/ctrlProp710.xml"/><Relationship Id="rId11" Type="http://schemas.openxmlformats.org/officeDocument/2006/relationships/ctrlProp" Target="../ctrlProps/ctrlProp614.xml"/><Relationship Id="rId32" Type="http://schemas.openxmlformats.org/officeDocument/2006/relationships/ctrlProp" Target="../ctrlProps/ctrlProp635.xml"/><Relationship Id="rId37" Type="http://schemas.openxmlformats.org/officeDocument/2006/relationships/ctrlProp" Target="../ctrlProps/ctrlProp640.xml"/><Relationship Id="rId53" Type="http://schemas.openxmlformats.org/officeDocument/2006/relationships/ctrlProp" Target="../ctrlProps/ctrlProp656.xml"/><Relationship Id="rId58" Type="http://schemas.openxmlformats.org/officeDocument/2006/relationships/ctrlProp" Target="../ctrlProps/ctrlProp661.xml"/><Relationship Id="rId74" Type="http://schemas.openxmlformats.org/officeDocument/2006/relationships/ctrlProp" Target="../ctrlProps/ctrlProp677.xml"/><Relationship Id="rId79" Type="http://schemas.openxmlformats.org/officeDocument/2006/relationships/ctrlProp" Target="../ctrlProps/ctrlProp682.xml"/><Relationship Id="rId102" Type="http://schemas.openxmlformats.org/officeDocument/2006/relationships/ctrlProp" Target="../ctrlProps/ctrlProp705.xml"/><Relationship Id="rId123" Type="http://schemas.openxmlformats.org/officeDocument/2006/relationships/ctrlProp" Target="../ctrlProps/ctrlProp726.xml"/><Relationship Id="rId128" Type="http://schemas.openxmlformats.org/officeDocument/2006/relationships/ctrlProp" Target="../ctrlProps/ctrlProp731.xml"/><Relationship Id="rId5" Type="http://schemas.openxmlformats.org/officeDocument/2006/relationships/ctrlProp" Target="../ctrlProps/ctrlProp608.xml"/><Relationship Id="rId90" Type="http://schemas.openxmlformats.org/officeDocument/2006/relationships/ctrlProp" Target="../ctrlProps/ctrlProp693.xml"/><Relationship Id="rId95" Type="http://schemas.openxmlformats.org/officeDocument/2006/relationships/ctrlProp" Target="../ctrlProps/ctrlProp698.xml"/><Relationship Id="rId22" Type="http://schemas.openxmlformats.org/officeDocument/2006/relationships/ctrlProp" Target="../ctrlProps/ctrlProp625.xml"/><Relationship Id="rId27" Type="http://schemas.openxmlformats.org/officeDocument/2006/relationships/ctrlProp" Target="../ctrlProps/ctrlProp630.xml"/><Relationship Id="rId43" Type="http://schemas.openxmlformats.org/officeDocument/2006/relationships/ctrlProp" Target="../ctrlProps/ctrlProp646.xml"/><Relationship Id="rId48" Type="http://schemas.openxmlformats.org/officeDocument/2006/relationships/ctrlProp" Target="../ctrlProps/ctrlProp651.xml"/><Relationship Id="rId64" Type="http://schemas.openxmlformats.org/officeDocument/2006/relationships/ctrlProp" Target="../ctrlProps/ctrlProp667.xml"/><Relationship Id="rId69" Type="http://schemas.openxmlformats.org/officeDocument/2006/relationships/ctrlProp" Target="../ctrlProps/ctrlProp672.xml"/><Relationship Id="rId113" Type="http://schemas.openxmlformats.org/officeDocument/2006/relationships/ctrlProp" Target="../ctrlProps/ctrlProp716.xml"/><Relationship Id="rId118" Type="http://schemas.openxmlformats.org/officeDocument/2006/relationships/ctrlProp" Target="../ctrlProps/ctrlProp721.xml"/><Relationship Id="rId80" Type="http://schemas.openxmlformats.org/officeDocument/2006/relationships/ctrlProp" Target="../ctrlProps/ctrlProp683.xml"/><Relationship Id="rId85" Type="http://schemas.openxmlformats.org/officeDocument/2006/relationships/ctrlProp" Target="../ctrlProps/ctrlProp688.xml"/><Relationship Id="rId12" Type="http://schemas.openxmlformats.org/officeDocument/2006/relationships/ctrlProp" Target="../ctrlProps/ctrlProp615.xml"/><Relationship Id="rId17" Type="http://schemas.openxmlformats.org/officeDocument/2006/relationships/ctrlProp" Target="../ctrlProps/ctrlProp620.xml"/><Relationship Id="rId33" Type="http://schemas.openxmlformats.org/officeDocument/2006/relationships/ctrlProp" Target="../ctrlProps/ctrlProp636.xml"/><Relationship Id="rId38" Type="http://schemas.openxmlformats.org/officeDocument/2006/relationships/ctrlProp" Target="../ctrlProps/ctrlProp641.xml"/><Relationship Id="rId59" Type="http://schemas.openxmlformats.org/officeDocument/2006/relationships/ctrlProp" Target="../ctrlProps/ctrlProp662.xml"/><Relationship Id="rId103" Type="http://schemas.openxmlformats.org/officeDocument/2006/relationships/ctrlProp" Target="../ctrlProps/ctrlProp706.xml"/><Relationship Id="rId108" Type="http://schemas.openxmlformats.org/officeDocument/2006/relationships/ctrlProp" Target="../ctrlProps/ctrlProp711.xml"/><Relationship Id="rId124" Type="http://schemas.openxmlformats.org/officeDocument/2006/relationships/ctrlProp" Target="../ctrlProps/ctrlProp727.xml"/><Relationship Id="rId129" Type="http://schemas.openxmlformats.org/officeDocument/2006/relationships/ctrlProp" Target="../ctrlProps/ctrlProp732.xml"/><Relationship Id="rId54" Type="http://schemas.openxmlformats.org/officeDocument/2006/relationships/ctrlProp" Target="../ctrlProps/ctrlProp657.xml"/><Relationship Id="rId70" Type="http://schemas.openxmlformats.org/officeDocument/2006/relationships/ctrlProp" Target="../ctrlProps/ctrlProp673.xml"/><Relationship Id="rId75" Type="http://schemas.openxmlformats.org/officeDocument/2006/relationships/ctrlProp" Target="../ctrlProps/ctrlProp678.xml"/><Relationship Id="rId91" Type="http://schemas.openxmlformats.org/officeDocument/2006/relationships/ctrlProp" Target="../ctrlProps/ctrlProp694.xml"/><Relationship Id="rId96" Type="http://schemas.openxmlformats.org/officeDocument/2006/relationships/ctrlProp" Target="../ctrlProps/ctrlProp699.xml"/><Relationship Id="rId1" Type="http://schemas.openxmlformats.org/officeDocument/2006/relationships/printerSettings" Target="../printerSettings/printerSettings52.bin"/><Relationship Id="rId6" Type="http://schemas.openxmlformats.org/officeDocument/2006/relationships/ctrlProp" Target="../ctrlProps/ctrlProp609.xml"/><Relationship Id="rId23" Type="http://schemas.openxmlformats.org/officeDocument/2006/relationships/ctrlProp" Target="../ctrlProps/ctrlProp626.xml"/><Relationship Id="rId28" Type="http://schemas.openxmlformats.org/officeDocument/2006/relationships/ctrlProp" Target="../ctrlProps/ctrlProp631.xml"/><Relationship Id="rId49" Type="http://schemas.openxmlformats.org/officeDocument/2006/relationships/ctrlProp" Target="../ctrlProps/ctrlProp652.xml"/><Relationship Id="rId114" Type="http://schemas.openxmlformats.org/officeDocument/2006/relationships/ctrlProp" Target="../ctrlProps/ctrlProp717.xml"/><Relationship Id="rId119" Type="http://schemas.openxmlformats.org/officeDocument/2006/relationships/ctrlProp" Target="../ctrlProps/ctrlProp722.xml"/><Relationship Id="rId44" Type="http://schemas.openxmlformats.org/officeDocument/2006/relationships/ctrlProp" Target="../ctrlProps/ctrlProp647.xml"/><Relationship Id="rId60" Type="http://schemas.openxmlformats.org/officeDocument/2006/relationships/ctrlProp" Target="../ctrlProps/ctrlProp663.xml"/><Relationship Id="rId65" Type="http://schemas.openxmlformats.org/officeDocument/2006/relationships/ctrlProp" Target="../ctrlProps/ctrlProp668.xml"/><Relationship Id="rId81" Type="http://schemas.openxmlformats.org/officeDocument/2006/relationships/ctrlProp" Target="../ctrlProps/ctrlProp684.xml"/><Relationship Id="rId86" Type="http://schemas.openxmlformats.org/officeDocument/2006/relationships/ctrlProp" Target="../ctrlProps/ctrlProp689.xml"/><Relationship Id="rId130" Type="http://schemas.openxmlformats.org/officeDocument/2006/relationships/ctrlProp" Target="../ctrlProps/ctrlProp733.xml"/><Relationship Id="rId13" Type="http://schemas.openxmlformats.org/officeDocument/2006/relationships/ctrlProp" Target="../ctrlProps/ctrlProp616.xml"/><Relationship Id="rId18" Type="http://schemas.openxmlformats.org/officeDocument/2006/relationships/ctrlProp" Target="../ctrlProps/ctrlProp621.xml"/><Relationship Id="rId39" Type="http://schemas.openxmlformats.org/officeDocument/2006/relationships/ctrlProp" Target="../ctrlProps/ctrlProp642.xml"/><Relationship Id="rId109" Type="http://schemas.openxmlformats.org/officeDocument/2006/relationships/ctrlProp" Target="../ctrlProps/ctrlProp712.xml"/><Relationship Id="rId34" Type="http://schemas.openxmlformats.org/officeDocument/2006/relationships/ctrlProp" Target="../ctrlProps/ctrlProp637.xml"/><Relationship Id="rId50" Type="http://schemas.openxmlformats.org/officeDocument/2006/relationships/ctrlProp" Target="../ctrlProps/ctrlProp653.xml"/><Relationship Id="rId55" Type="http://schemas.openxmlformats.org/officeDocument/2006/relationships/ctrlProp" Target="../ctrlProps/ctrlProp658.xml"/><Relationship Id="rId76" Type="http://schemas.openxmlformats.org/officeDocument/2006/relationships/ctrlProp" Target="../ctrlProps/ctrlProp679.xml"/><Relationship Id="rId97" Type="http://schemas.openxmlformats.org/officeDocument/2006/relationships/ctrlProp" Target="../ctrlProps/ctrlProp700.xml"/><Relationship Id="rId104" Type="http://schemas.openxmlformats.org/officeDocument/2006/relationships/ctrlProp" Target="../ctrlProps/ctrlProp707.xml"/><Relationship Id="rId120" Type="http://schemas.openxmlformats.org/officeDocument/2006/relationships/ctrlProp" Target="../ctrlProps/ctrlProp723.xml"/><Relationship Id="rId125" Type="http://schemas.openxmlformats.org/officeDocument/2006/relationships/ctrlProp" Target="../ctrlProps/ctrlProp728.xml"/><Relationship Id="rId7" Type="http://schemas.openxmlformats.org/officeDocument/2006/relationships/ctrlProp" Target="../ctrlProps/ctrlProp610.xml"/><Relationship Id="rId71" Type="http://schemas.openxmlformats.org/officeDocument/2006/relationships/ctrlProp" Target="../ctrlProps/ctrlProp674.xml"/><Relationship Id="rId92" Type="http://schemas.openxmlformats.org/officeDocument/2006/relationships/ctrlProp" Target="../ctrlProps/ctrlProp695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2.xml"/><Relationship Id="rId24" Type="http://schemas.openxmlformats.org/officeDocument/2006/relationships/ctrlProp" Target="../ctrlProps/ctrlProp627.xml"/><Relationship Id="rId40" Type="http://schemas.openxmlformats.org/officeDocument/2006/relationships/ctrlProp" Target="../ctrlProps/ctrlProp643.xml"/><Relationship Id="rId45" Type="http://schemas.openxmlformats.org/officeDocument/2006/relationships/ctrlProp" Target="../ctrlProps/ctrlProp648.xml"/><Relationship Id="rId66" Type="http://schemas.openxmlformats.org/officeDocument/2006/relationships/ctrlProp" Target="../ctrlProps/ctrlProp669.xml"/><Relationship Id="rId87" Type="http://schemas.openxmlformats.org/officeDocument/2006/relationships/ctrlProp" Target="../ctrlProps/ctrlProp690.xml"/><Relationship Id="rId110" Type="http://schemas.openxmlformats.org/officeDocument/2006/relationships/ctrlProp" Target="../ctrlProps/ctrlProp713.xml"/><Relationship Id="rId115" Type="http://schemas.openxmlformats.org/officeDocument/2006/relationships/ctrlProp" Target="../ctrlProps/ctrlProp718.xml"/><Relationship Id="rId131" Type="http://schemas.openxmlformats.org/officeDocument/2006/relationships/ctrlProp" Target="../ctrlProps/ctrlProp734.xml"/><Relationship Id="rId61" Type="http://schemas.openxmlformats.org/officeDocument/2006/relationships/ctrlProp" Target="../ctrlProps/ctrlProp664.xml"/><Relationship Id="rId82" Type="http://schemas.openxmlformats.org/officeDocument/2006/relationships/ctrlProp" Target="../ctrlProps/ctrlProp685.xml"/><Relationship Id="rId19" Type="http://schemas.openxmlformats.org/officeDocument/2006/relationships/ctrlProp" Target="../ctrlProps/ctrlProp622.xml"/><Relationship Id="rId14" Type="http://schemas.openxmlformats.org/officeDocument/2006/relationships/ctrlProp" Target="../ctrlProps/ctrlProp617.xml"/><Relationship Id="rId30" Type="http://schemas.openxmlformats.org/officeDocument/2006/relationships/ctrlProp" Target="../ctrlProps/ctrlProp633.xml"/><Relationship Id="rId35" Type="http://schemas.openxmlformats.org/officeDocument/2006/relationships/ctrlProp" Target="../ctrlProps/ctrlProp638.xml"/><Relationship Id="rId56" Type="http://schemas.openxmlformats.org/officeDocument/2006/relationships/ctrlProp" Target="../ctrlProps/ctrlProp659.xml"/><Relationship Id="rId77" Type="http://schemas.openxmlformats.org/officeDocument/2006/relationships/ctrlProp" Target="../ctrlProps/ctrlProp680.xml"/><Relationship Id="rId100" Type="http://schemas.openxmlformats.org/officeDocument/2006/relationships/ctrlProp" Target="../ctrlProps/ctrlProp703.xml"/><Relationship Id="rId105" Type="http://schemas.openxmlformats.org/officeDocument/2006/relationships/ctrlProp" Target="../ctrlProps/ctrlProp708.xml"/><Relationship Id="rId126" Type="http://schemas.openxmlformats.org/officeDocument/2006/relationships/ctrlProp" Target="../ctrlProps/ctrlProp729.xml"/><Relationship Id="rId8" Type="http://schemas.openxmlformats.org/officeDocument/2006/relationships/ctrlProp" Target="../ctrlProps/ctrlProp611.xml"/><Relationship Id="rId51" Type="http://schemas.openxmlformats.org/officeDocument/2006/relationships/ctrlProp" Target="../ctrlProps/ctrlProp654.xml"/><Relationship Id="rId72" Type="http://schemas.openxmlformats.org/officeDocument/2006/relationships/ctrlProp" Target="../ctrlProps/ctrlProp675.xml"/><Relationship Id="rId93" Type="http://schemas.openxmlformats.org/officeDocument/2006/relationships/ctrlProp" Target="../ctrlProps/ctrlProp696.xml"/><Relationship Id="rId98" Type="http://schemas.openxmlformats.org/officeDocument/2006/relationships/ctrlProp" Target="../ctrlProps/ctrlProp701.xml"/><Relationship Id="rId121" Type="http://schemas.openxmlformats.org/officeDocument/2006/relationships/ctrlProp" Target="../ctrlProps/ctrlProp72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628.xml"/><Relationship Id="rId46" Type="http://schemas.openxmlformats.org/officeDocument/2006/relationships/ctrlProp" Target="../ctrlProps/ctrlProp649.xml"/><Relationship Id="rId67" Type="http://schemas.openxmlformats.org/officeDocument/2006/relationships/ctrlProp" Target="../ctrlProps/ctrlProp670.xml"/><Relationship Id="rId116" Type="http://schemas.openxmlformats.org/officeDocument/2006/relationships/ctrlProp" Target="../ctrlProps/ctrlProp719.xml"/><Relationship Id="rId20" Type="http://schemas.openxmlformats.org/officeDocument/2006/relationships/ctrlProp" Target="../ctrlProps/ctrlProp623.xml"/><Relationship Id="rId41" Type="http://schemas.openxmlformats.org/officeDocument/2006/relationships/ctrlProp" Target="../ctrlProps/ctrlProp644.xml"/><Relationship Id="rId62" Type="http://schemas.openxmlformats.org/officeDocument/2006/relationships/ctrlProp" Target="../ctrlProps/ctrlProp665.xml"/><Relationship Id="rId83" Type="http://schemas.openxmlformats.org/officeDocument/2006/relationships/ctrlProp" Target="../ctrlProps/ctrlProp686.xml"/><Relationship Id="rId88" Type="http://schemas.openxmlformats.org/officeDocument/2006/relationships/ctrlProp" Target="../ctrlProps/ctrlProp691.xml"/><Relationship Id="rId111" Type="http://schemas.openxmlformats.org/officeDocument/2006/relationships/ctrlProp" Target="../ctrlProps/ctrlProp714.xml"/><Relationship Id="rId15" Type="http://schemas.openxmlformats.org/officeDocument/2006/relationships/ctrlProp" Target="../ctrlProps/ctrlProp618.xml"/><Relationship Id="rId36" Type="http://schemas.openxmlformats.org/officeDocument/2006/relationships/ctrlProp" Target="../ctrlProps/ctrlProp639.xml"/><Relationship Id="rId57" Type="http://schemas.openxmlformats.org/officeDocument/2006/relationships/ctrlProp" Target="../ctrlProps/ctrlProp660.xml"/><Relationship Id="rId106" Type="http://schemas.openxmlformats.org/officeDocument/2006/relationships/ctrlProp" Target="../ctrlProps/ctrlProp709.xml"/><Relationship Id="rId127" Type="http://schemas.openxmlformats.org/officeDocument/2006/relationships/ctrlProp" Target="../ctrlProps/ctrlProp730.xml"/><Relationship Id="rId10" Type="http://schemas.openxmlformats.org/officeDocument/2006/relationships/ctrlProp" Target="../ctrlProps/ctrlProp613.xml"/><Relationship Id="rId31" Type="http://schemas.openxmlformats.org/officeDocument/2006/relationships/ctrlProp" Target="../ctrlProps/ctrlProp634.xml"/><Relationship Id="rId52" Type="http://schemas.openxmlformats.org/officeDocument/2006/relationships/ctrlProp" Target="../ctrlProps/ctrlProp655.xml"/><Relationship Id="rId73" Type="http://schemas.openxmlformats.org/officeDocument/2006/relationships/ctrlProp" Target="../ctrlProps/ctrlProp676.xml"/><Relationship Id="rId78" Type="http://schemas.openxmlformats.org/officeDocument/2006/relationships/ctrlProp" Target="../ctrlProps/ctrlProp681.xml"/><Relationship Id="rId94" Type="http://schemas.openxmlformats.org/officeDocument/2006/relationships/ctrlProp" Target="../ctrlProps/ctrlProp697.xml"/><Relationship Id="rId99" Type="http://schemas.openxmlformats.org/officeDocument/2006/relationships/ctrlProp" Target="../ctrlProps/ctrlProp702.xml"/><Relationship Id="rId101" Type="http://schemas.openxmlformats.org/officeDocument/2006/relationships/ctrlProp" Target="../ctrlProps/ctrlProp704.xml"/><Relationship Id="rId122" Type="http://schemas.openxmlformats.org/officeDocument/2006/relationships/ctrlProp" Target="../ctrlProps/ctrlProp725.xml"/><Relationship Id="rId4" Type="http://schemas.openxmlformats.org/officeDocument/2006/relationships/ctrlProp" Target="../ctrlProps/ctrlProp607.xml"/><Relationship Id="rId9" Type="http://schemas.openxmlformats.org/officeDocument/2006/relationships/ctrlProp" Target="../ctrlProps/ctrlProp612.xml"/><Relationship Id="rId26" Type="http://schemas.openxmlformats.org/officeDocument/2006/relationships/ctrlProp" Target="../ctrlProps/ctrlProp629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4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848.xml"/><Relationship Id="rId21" Type="http://schemas.openxmlformats.org/officeDocument/2006/relationships/ctrlProp" Target="../ctrlProps/ctrlProp752.xml"/><Relationship Id="rId42" Type="http://schemas.openxmlformats.org/officeDocument/2006/relationships/ctrlProp" Target="../ctrlProps/ctrlProp773.xml"/><Relationship Id="rId63" Type="http://schemas.openxmlformats.org/officeDocument/2006/relationships/ctrlProp" Target="../ctrlProps/ctrlProp794.xml"/><Relationship Id="rId84" Type="http://schemas.openxmlformats.org/officeDocument/2006/relationships/ctrlProp" Target="../ctrlProps/ctrlProp815.xml"/><Relationship Id="rId138" Type="http://schemas.openxmlformats.org/officeDocument/2006/relationships/ctrlProp" Target="../ctrlProps/ctrlProp869.xml"/><Relationship Id="rId107" Type="http://schemas.openxmlformats.org/officeDocument/2006/relationships/ctrlProp" Target="../ctrlProps/ctrlProp838.xml"/><Relationship Id="rId11" Type="http://schemas.openxmlformats.org/officeDocument/2006/relationships/ctrlProp" Target="../ctrlProps/ctrlProp742.xml"/><Relationship Id="rId32" Type="http://schemas.openxmlformats.org/officeDocument/2006/relationships/ctrlProp" Target="../ctrlProps/ctrlProp763.xml"/><Relationship Id="rId53" Type="http://schemas.openxmlformats.org/officeDocument/2006/relationships/ctrlProp" Target="../ctrlProps/ctrlProp784.xml"/><Relationship Id="rId74" Type="http://schemas.openxmlformats.org/officeDocument/2006/relationships/ctrlProp" Target="../ctrlProps/ctrlProp805.xml"/><Relationship Id="rId128" Type="http://schemas.openxmlformats.org/officeDocument/2006/relationships/ctrlProp" Target="../ctrlProps/ctrlProp859.xml"/><Relationship Id="rId5" Type="http://schemas.openxmlformats.org/officeDocument/2006/relationships/ctrlProp" Target="../ctrlProps/ctrlProp736.xml"/><Relationship Id="rId90" Type="http://schemas.openxmlformats.org/officeDocument/2006/relationships/ctrlProp" Target="../ctrlProps/ctrlProp821.xml"/><Relationship Id="rId95" Type="http://schemas.openxmlformats.org/officeDocument/2006/relationships/ctrlProp" Target="../ctrlProps/ctrlProp826.xml"/><Relationship Id="rId22" Type="http://schemas.openxmlformats.org/officeDocument/2006/relationships/ctrlProp" Target="../ctrlProps/ctrlProp753.xml"/><Relationship Id="rId27" Type="http://schemas.openxmlformats.org/officeDocument/2006/relationships/ctrlProp" Target="../ctrlProps/ctrlProp758.xml"/><Relationship Id="rId43" Type="http://schemas.openxmlformats.org/officeDocument/2006/relationships/ctrlProp" Target="../ctrlProps/ctrlProp774.xml"/><Relationship Id="rId48" Type="http://schemas.openxmlformats.org/officeDocument/2006/relationships/ctrlProp" Target="../ctrlProps/ctrlProp779.xml"/><Relationship Id="rId64" Type="http://schemas.openxmlformats.org/officeDocument/2006/relationships/ctrlProp" Target="../ctrlProps/ctrlProp795.xml"/><Relationship Id="rId69" Type="http://schemas.openxmlformats.org/officeDocument/2006/relationships/ctrlProp" Target="../ctrlProps/ctrlProp800.xml"/><Relationship Id="rId113" Type="http://schemas.openxmlformats.org/officeDocument/2006/relationships/ctrlProp" Target="../ctrlProps/ctrlProp844.xml"/><Relationship Id="rId118" Type="http://schemas.openxmlformats.org/officeDocument/2006/relationships/ctrlProp" Target="../ctrlProps/ctrlProp849.xml"/><Relationship Id="rId134" Type="http://schemas.openxmlformats.org/officeDocument/2006/relationships/ctrlProp" Target="../ctrlProps/ctrlProp865.xml"/><Relationship Id="rId139" Type="http://schemas.openxmlformats.org/officeDocument/2006/relationships/ctrlProp" Target="../ctrlProps/ctrlProp870.xml"/><Relationship Id="rId80" Type="http://schemas.openxmlformats.org/officeDocument/2006/relationships/ctrlProp" Target="../ctrlProps/ctrlProp811.xml"/><Relationship Id="rId85" Type="http://schemas.openxmlformats.org/officeDocument/2006/relationships/ctrlProp" Target="../ctrlProps/ctrlProp816.xml"/><Relationship Id="rId12" Type="http://schemas.openxmlformats.org/officeDocument/2006/relationships/ctrlProp" Target="../ctrlProps/ctrlProp743.xml"/><Relationship Id="rId17" Type="http://schemas.openxmlformats.org/officeDocument/2006/relationships/ctrlProp" Target="../ctrlProps/ctrlProp748.xml"/><Relationship Id="rId33" Type="http://schemas.openxmlformats.org/officeDocument/2006/relationships/ctrlProp" Target="../ctrlProps/ctrlProp764.xml"/><Relationship Id="rId38" Type="http://schemas.openxmlformats.org/officeDocument/2006/relationships/ctrlProp" Target="../ctrlProps/ctrlProp769.xml"/><Relationship Id="rId59" Type="http://schemas.openxmlformats.org/officeDocument/2006/relationships/ctrlProp" Target="../ctrlProps/ctrlProp790.xml"/><Relationship Id="rId103" Type="http://schemas.openxmlformats.org/officeDocument/2006/relationships/ctrlProp" Target="../ctrlProps/ctrlProp834.xml"/><Relationship Id="rId108" Type="http://schemas.openxmlformats.org/officeDocument/2006/relationships/ctrlProp" Target="../ctrlProps/ctrlProp839.xml"/><Relationship Id="rId124" Type="http://schemas.openxmlformats.org/officeDocument/2006/relationships/ctrlProp" Target="../ctrlProps/ctrlProp855.xml"/><Relationship Id="rId129" Type="http://schemas.openxmlformats.org/officeDocument/2006/relationships/ctrlProp" Target="../ctrlProps/ctrlProp860.xml"/><Relationship Id="rId54" Type="http://schemas.openxmlformats.org/officeDocument/2006/relationships/ctrlProp" Target="../ctrlProps/ctrlProp785.xml"/><Relationship Id="rId70" Type="http://schemas.openxmlformats.org/officeDocument/2006/relationships/ctrlProp" Target="../ctrlProps/ctrlProp801.xml"/><Relationship Id="rId75" Type="http://schemas.openxmlformats.org/officeDocument/2006/relationships/ctrlProp" Target="../ctrlProps/ctrlProp806.xml"/><Relationship Id="rId91" Type="http://schemas.openxmlformats.org/officeDocument/2006/relationships/ctrlProp" Target="../ctrlProps/ctrlProp822.xml"/><Relationship Id="rId96" Type="http://schemas.openxmlformats.org/officeDocument/2006/relationships/ctrlProp" Target="../ctrlProps/ctrlProp827.xml"/><Relationship Id="rId140" Type="http://schemas.openxmlformats.org/officeDocument/2006/relationships/ctrlProp" Target="../ctrlProps/ctrlProp871.xml"/><Relationship Id="rId145" Type="http://schemas.openxmlformats.org/officeDocument/2006/relationships/ctrlProp" Target="../ctrlProps/ctrlProp876.xml"/><Relationship Id="rId1" Type="http://schemas.openxmlformats.org/officeDocument/2006/relationships/printerSettings" Target="../printerSettings/printerSettings55.bin"/><Relationship Id="rId6" Type="http://schemas.openxmlformats.org/officeDocument/2006/relationships/ctrlProp" Target="../ctrlProps/ctrlProp737.xml"/><Relationship Id="rId23" Type="http://schemas.openxmlformats.org/officeDocument/2006/relationships/ctrlProp" Target="../ctrlProps/ctrlProp754.xml"/><Relationship Id="rId28" Type="http://schemas.openxmlformats.org/officeDocument/2006/relationships/ctrlProp" Target="../ctrlProps/ctrlProp759.xml"/><Relationship Id="rId49" Type="http://schemas.openxmlformats.org/officeDocument/2006/relationships/ctrlProp" Target="../ctrlProps/ctrlProp780.xml"/><Relationship Id="rId114" Type="http://schemas.openxmlformats.org/officeDocument/2006/relationships/ctrlProp" Target="../ctrlProps/ctrlProp845.xml"/><Relationship Id="rId119" Type="http://schemas.openxmlformats.org/officeDocument/2006/relationships/ctrlProp" Target="../ctrlProps/ctrlProp850.xml"/><Relationship Id="rId44" Type="http://schemas.openxmlformats.org/officeDocument/2006/relationships/ctrlProp" Target="../ctrlProps/ctrlProp775.xml"/><Relationship Id="rId60" Type="http://schemas.openxmlformats.org/officeDocument/2006/relationships/ctrlProp" Target="../ctrlProps/ctrlProp791.xml"/><Relationship Id="rId65" Type="http://schemas.openxmlformats.org/officeDocument/2006/relationships/ctrlProp" Target="../ctrlProps/ctrlProp796.xml"/><Relationship Id="rId81" Type="http://schemas.openxmlformats.org/officeDocument/2006/relationships/ctrlProp" Target="../ctrlProps/ctrlProp812.xml"/><Relationship Id="rId86" Type="http://schemas.openxmlformats.org/officeDocument/2006/relationships/ctrlProp" Target="../ctrlProps/ctrlProp817.xml"/><Relationship Id="rId130" Type="http://schemas.openxmlformats.org/officeDocument/2006/relationships/ctrlProp" Target="../ctrlProps/ctrlProp861.xml"/><Relationship Id="rId135" Type="http://schemas.openxmlformats.org/officeDocument/2006/relationships/ctrlProp" Target="../ctrlProps/ctrlProp866.xml"/><Relationship Id="rId13" Type="http://schemas.openxmlformats.org/officeDocument/2006/relationships/ctrlProp" Target="../ctrlProps/ctrlProp744.xml"/><Relationship Id="rId18" Type="http://schemas.openxmlformats.org/officeDocument/2006/relationships/ctrlProp" Target="../ctrlProps/ctrlProp749.xml"/><Relationship Id="rId39" Type="http://schemas.openxmlformats.org/officeDocument/2006/relationships/ctrlProp" Target="../ctrlProps/ctrlProp770.xml"/><Relationship Id="rId109" Type="http://schemas.openxmlformats.org/officeDocument/2006/relationships/ctrlProp" Target="../ctrlProps/ctrlProp840.xml"/><Relationship Id="rId34" Type="http://schemas.openxmlformats.org/officeDocument/2006/relationships/ctrlProp" Target="../ctrlProps/ctrlProp765.xml"/><Relationship Id="rId50" Type="http://schemas.openxmlformats.org/officeDocument/2006/relationships/ctrlProp" Target="../ctrlProps/ctrlProp781.xml"/><Relationship Id="rId55" Type="http://schemas.openxmlformats.org/officeDocument/2006/relationships/ctrlProp" Target="../ctrlProps/ctrlProp786.xml"/><Relationship Id="rId76" Type="http://schemas.openxmlformats.org/officeDocument/2006/relationships/ctrlProp" Target="../ctrlProps/ctrlProp807.xml"/><Relationship Id="rId97" Type="http://schemas.openxmlformats.org/officeDocument/2006/relationships/ctrlProp" Target="../ctrlProps/ctrlProp828.xml"/><Relationship Id="rId104" Type="http://schemas.openxmlformats.org/officeDocument/2006/relationships/ctrlProp" Target="../ctrlProps/ctrlProp835.xml"/><Relationship Id="rId120" Type="http://schemas.openxmlformats.org/officeDocument/2006/relationships/ctrlProp" Target="../ctrlProps/ctrlProp851.xml"/><Relationship Id="rId125" Type="http://schemas.openxmlformats.org/officeDocument/2006/relationships/ctrlProp" Target="../ctrlProps/ctrlProp856.xml"/><Relationship Id="rId141" Type="http://schemas.openxmlformats.org/officeDocument/2006/relationships/ctrlProp" Target="../ctrlProps/ctrlProp872.xml"/><Relationship Id="rId146" Type="http://schemas.openxmlformats.org/officeDocument/2006/relationships/ctrlProp" Target="../ctrlProps/ctrlProp877.xml"/><Relationship Id="rId7" Type="http://schemas.openxmlformats.org/officeDocument/2006/relationships/ctrlProp" Target="../ctrlProps/ctrlProp738.xml"/><Relationship Id="rId71" Type="http://schemas.openxmlformats.org/officeDocument/2006/relationships/ctrlProp" Target="../ctrlProps/ctrlProp802.xml"/><Relationship Id="rId92" Type="http://schemas.openxmlformats.org/officeDocument/2006/relationships/ctrlProp" Target="../ctrlProps/ctrlProp823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760.xml"/><Relationship Id="rId24" Type="http://schemas.openxmlformats.org/officeDocument/2006/relationships/ctrlProp" Target="../ctrlProps/ctrlProp755.xml"/><Relationship Id="rId40" Type="http://schemas.openxmlformats.org/officeDocument/2006/relationships/ctrlProp" Target="../ctrlProps/ctrlProp771.xml"/><Relationship Id="rId45" Type="http://schemas.openxmlformats.org/officeDocument/2006/relationships/ctrlProp" Target="../ctrlProps/ctrlProp776.xml"/><Relationship Id="rId66" Type="http://schemas.openxmlformats.org/officeDocument/2006/relationships/ctrlProp" Target="../ctrlProps/ctrlProp797.xml"/><Relationship Id="rId87" Type="http://schemas.openxmlformats.org/officeDocument/2006/relationships/ctrlProp" Target="../ctrlProps/ctrlProp818.xml"/><Relationship Id="rId110" Type="http://schemas.openxmlformats.org/officeDocument/2006/relationships/ctrlProp" Target="../ctrlProps/ctrlProp841.xml"/><Relationship Id="rId115" Type="http://schemas.openxmlformats.org/officeDocument/2006/relationships/ctrlProp" Target="../ctrlProps/ctrlProp846.xml"/><Relationship Id="rId131" Type="http://schemas.openxmlformats.org/officeDocument/2006/relationships/ctrlProp" Target="../ctrlProps/ctrlProp862.xml"/><Relationship Id="rId136" Type="http://schemas.openxmlformats.org/officeDocument/2006/relationships/ctrlProp" Target="../ctrlProps/ctrlProp867.xml"/><Relationship Id="rId61" Type="http://schemas.openxmlformats.org/officeDocument/2006/relationships/ctrlProp" Target="../ctrlProps/ctrlProp792.xml"/><Relationship Id="rId82" Type="http://schemas.openxmlformats.org/officeDocument/2006/relationships/ctrlProp" Target="../ctrlProps/ctrlProp813.xml"/><Relationship Id="rId19" Type="http://schemas.openxmlformats.org/officeDocument/2006/relationships/ctrlProp" Target="../ctrlProps/ctrlProp750.xml"/><Relationship Id="rId14" Type="http://schemas.openxmlformats.org/officeDocument/2006/relationships/ctrlProp" Target="../ctrlProps/ctrlProp745.xml"/><Relationship Id="rId30" Type="http://schemas.openxmlformats.org/officeDocument/2006/relationships/ctrlProp" Target="../ctrlProps/ctrlProp761.xml"/><Relationship Id="rId35" Type="http://schemas.openxmlformats.org/officeDocument/2006/relationships/ctrlProp" Target="../ctrlProps/ctrlProp766.xml"/><Relationship Id="rId56" Type="http://schemas.openxmlformats.org/officeDocument/2006/relationships/ctrlProp" Target="../ctrlProps/ctrlProp787.xml"/><Relationship Id="rId77" Type="http://schemas.openxmlformats.org/officeDocument/2006/relationships/ctrlProp" Target="../ctrlProps/ctrlProp808.xml"/><Relationship Id="rId100" Type="http://schemas.openxmlformats.org/officeDocument/2006/relationships/ctrlProp" Target="../ctrlProps/ctrlProp831.xml"/><Relationship Id="rId105" Type="http://schemas.openxmlformats.org/officeDocument/2006/relationships/ctrlProp" Target="../ctrlProps/ctrlProp836.xml"/><Relationship Id="rId126" Type="http://schemas.openxmlformats.org/officeDocument/2006/relationships/ctrlProp" Target="../ctrlProps/ctrlProp857.xml"/><Relationship Id="rId8" Type="http://schemas.openxmlformats.org/officeDocument/2006/relationships/ctrlProp" Target="../ctrlProps/ctrlProp739.xml"/><Relationship Id="rId51" Type="http://schemas.openxmlformats.org/officeDocument/2006/relationships/ctrlProp" Target="../ctrlProps/ctrlProp782.xml"/><Relationship Id="rId72" Type="http://schemas.openxmlformats.org/officeDocument/2006/relationships/ctrlProp" Target="../ctrlProps/ctrlProp803.xml"/><Relationship Id="rId93" Type="http://schemas.openxmlformats.org/officeDocument/2006/relationships/ctrlProp" Target="../ctrlProps/ctrlProp824.xml"/><Relationship Id="rId98" Type="http://schemas.openxmlformats.org/officeDocument/2006/relationships/ctrlProp" Target="../ctrlProps/ctrlProp829.xml"/><Relationship Id="rId121" Type="http://schemas.openxmlformats.org/officeDocument/2006/relationships/ctrlProp" Target="../ctrlProps/ctrlProp852.xml"/><Relationship Id="rId142" Type="http://schemas.openxmlformats.org/officeDocument/2006/relationships/ctrlProp" Target="../ctrlProps/ctrlProp873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756.xml"/><Relationship Id="rId46" Type="http://schemas.openxmlformats.org/officeDocument/2006/relationships/ctrlProp" Target="../ctrlProps/ctrlProp777.xml"/><Relationship Id="rId67" Type="http://schemas.openxmlformats.org/officeDocument/2006/relationships/ctrlProp" Target="../ctrlProps/ctrlProp798.xml"/><Relationship Id="rId116" Type="http://schemas.openxmlformats.org/officeDocument/2006/relationships/ctrlProp" Target="../ctrlProps/ctrlProp847.xml"/><Relationship Id="rId137" Type="http://schemas.openxmlformats.org/officeDocument/2006/relationships/ctrlProp" Target="../ctrlProps/ctrlProp868.xml"/><Relationship Id="rId20" Type="http://schemas.openxmlformats.org/officeDocument/2006/relationships/ctrlProp" Target="../ctrlProps/ctrlProp751.xml"/><Relationship Id="rId41" Type="http://schemas.openxmlformats.org/officeDocument/2006/relationships/ctrlProp" Target="../ctrlProps/ctrlProp772.xml"/><Relationship Id="rId62" Type="http://schemas.openxmlformats.org/officeDocument/2006/relationships/ctrlProp" Target="../ctrlProps/ctrlProp793.xml"/><Relationship Id="rId83" Type="http://schemas.openxmlformats.org/officeDocument/2006/relationships/ctrlProp" Target="../ctrlProps/ctrlProp814.xml"/><Relationship Id="rId88" Type="http://schemas.openxmlformats.org/officeDocument/2006/relationships/ctrlProp" Target="../ctrlProps/ctrlProp819.xml"/><Relationship Id="rId111" Type="http://schemas.openxmlformats.org/officeDocument/2006/relationships/ctrlProp" Target="../ctrlProps/ctrlProp842.xml"/><Relationship Id="rId132" Type="http://schemas.openxmlformats.org/officeDocument/2006/relationships/ctrlProp" Target="../ctrlProps/ctrlProp863.xml"/><Relationship Id="rId15" Type="http://schemas.openxmlformats.org/officeDocument/2006/relationships/ctrlProp" Target="../ctrlProps/ctrlProp746.xml"/><Relationship Id="rId36" Type="http://schemas.openxmlformats.org/officeDocument/2006/relationships/ctrlProp" Target="../ctrlProps/ctrlProp767.xml"/><Relationship Id="rId57" Type="http://schemas.openxmlformats.org/officeDocument/2006/relationships/ctrlProp" Target="../ctrlProps/ctrlProp788.xml"/><Relationship Id="rId106" Type="http://schemas.openxmlformats.org/officeDocument/2006/relationships/ctrlProp" Target="../ctrlProps/ctrlProp837.xml"/><Relationship Id="rId127" Type="http://schemas.openxmlformats.org/officeDocument/2006/relationships/ctrlProp" Target="../ctrlProps/ctrlProp858.xml"/><Relationship Id="rId10" Type="http://schemas.openxmlformats.org/officeDocument/2006/relationships/ctrlProp" Target="../ctrlProps/ctrlProp741.xml"/><Relationship Id="rId31" Type="http://schemas.openxmlformats.org/officeDocument/2006/relationships/ctrlProp" Target="../ctrlProps/ctrlProp762.xml"/><Relationship Id="rId52" Type="http://schemas.openxmlformats.org/officeDocument/2006/relationships/ctrlProp" Target="../ctrlProps/ctrlProp783.xml"/><Relationship Id="rId73" Type="http://schemas.openxmlformats.org/officeDocument/2006/relationships/ctrlProp" Target="../ctrlProps/ctrlProp804.xml"/><Relationship Id="rId78" Type="http://schemas.openxmlformats.org/officeDocument/2006/relationships/ctrlProp" Target="../ctrlProps/ctrlProp809.xml"/><Relationship Id="rId94" Type="http://schemas.openxmlformats.org/officeDocument/2006/relationships/ctrlProp" Target="../ctrlProps/ctrlProp825.xml"/><Relationship Id="rId99" Type="http://schemas.openxmlformats.org/officeDocument/2006/relationships/ctrlProp" Target="../ctrlProps/ctrlProp830.xml"/><Relationship Id="rId101" Type="http://schemas.openxmlformats.org/officeDocument/2006/relationships/ctrlProp" Target="../ctrlProps/ctrlProp832.xml"/><Relationship Id="rId122" Type="http://schemas.openxmlformats.org/officeDocument/2006/relationships/ctrlProp" Target="../ctrlProps/ctrlProp853.xml"/><Relationship Id="rId143" Type="http://schemas.openxmlformats.org/officeDocument/2006/relationships/ctrlProp" Target="../ctrlProps/ctrlProp874.xml"/><Relationship Id="rId4" Type="http://schemas.openxmlformats.org/officeDocument/2006/relationships/ctrlProp" Target="../ctrlProps/ctrlProp735.xml"/><Relationship Id="rId9" Type="http://schemas.openxmlformats.org/officeDocument/2006/relationships/ctrlProp" Target="../ctrlProps/ctrlProp740.xml"/><Relationship Id="rId26" Type="http://schemas.openxmlformats.org/officeDocument/2006/relationships/ctrlProp" Target="../ctrlProps/ctrlProp757.xml"/><Relationship Id="rId47" Type="http://schemas.openxmlformats.org/officeDocument/2006/relationships/ctrlProp" Target="../ctrlProps/ctrlProp778.xml"/><Relationship Id="rId68" Type="http://schemas.openxmlformats.org/officeDocument/2006/relationships/ctrlProp" Target="../ctrlProps/ctrlProp799.xml"/><Relationship Id="rId89" Type="http://schemas.openxmlformats.org/officeDocument/2006/relationships/ctrlProp" Target="../ctrlProps/ctrlProp820.xml"/><Relationship Id="rId112" Type="http://schemas.openxmlformats.org/officeDocument/2006/relationships/ctrlProp" Target="../ctrlProps/ctrlProp843.xml"/><Relationship Id="rId133" Type="http://schemas.openxmlformats.org/officeDocument/2006/relationships/ctrlProp" Target="../ctrlProps/ctrlProp864.xml"/><Relationship Id="rId16" Type="http://schemas.openxmlformats.org/officeDocument/2006/relationships/ctrlProp" Target="../ctrlProps/ctrlProp747.xml"/><Relationship Id="rId37" Type="http://schemas.openxmlformats.org/officeDocument/2006/relationships/ctrlProp" Target="../ctrlProps/ctrlProp768.xml"/><Relationship Id="rId58" Type="http://schemas.openxmlformats.org/officeDocument/2006/relationships/ctrlProp" Target="../ctrlProps/ctrlProp789.xml"/><Relationship Id="rId79" Type="http://schemas.openxmlformats.org/officeDocument/2006/relationships/ctrlProp" Target="../ctrlProps/ctrlProp810.xml"/><Relationship Id="rId102" Type="http://schemas.openxmlformats.org/officeDocument/2006/relationships/ctrlProp" Target="../ctrlProps/ctrlProp833.xml"/><Relationship Id="rId123" Type="http://schemas.openxmlformats.org/officeDocument/2006/relationships/ctrlProp" Target="../ctrlProps/ctrlProp854.xml"/><Relationship Id="rId144" Type="http://schemas.openxmlformats.org/officeDocument/2006/relationships/ctrlProp" Target="../ctrlProps/ctrlProp875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00.xml"/><Relationship Id="rId117" Type="http://schemas.openxmlformats.org/officeDocument/2006/relationships/ctrlProp" Target="../ctrlProps/ctrlProp991.xml"/><Relationship Id="rId21" Type="http://schemas.openxmlformats.org/officeDocument/2006/relationships/ctrlProp" Target="../ctrlProps/ctrlProp895.xml"/><Relationship Id="rId42" Type="http://schemas.openxmlformats.org/officeDocument/2006/relationships/ctrlProp" Target="../ctrlProps/ctrlProp916.xml"/><Relationship Id="rId47" Type="http://schemas.openxmlformats.org/officeDocument/2006/relationships/ctrlProp" Target="../ctrlProps/ctrlProp921.xml"/><Relationship Id="rId63" Type="http://schemas.openxmlformats.org/officeDocument/2006/relationships/ctrlProp" Target="../ctrlProps/ctrlProp937.xml"/><Relationship Id="rId68" Type="http://schemas.openxmlformats.org/officeDocument/2006/relationships/ctrlProp" Target="../ctrlProps/ctrlProp942.xml"/><Relationship Id="rId84" Type="http://schemas.openxmlformats.org/officeDocument/2006/relationships/ctrlProp" Target="../ctrlProps/ctrlProp958.xml"/><Relationship Id="rId89" Type="http://schemas.openxmlformats.org/officeDocument/2006/relationships/ctrlProp" Target="../ctrlProps/ctrlProp963.xml"/><Relationship Id="rId112" Type="http://schemas.openxmlformats.org/officeDocument/2006/relationships/ctrlProp" Target="../ctrlProps/ctrlProp986.xml"/><Relationship Id="rId16" Type="http://schemas.openxmlformats.org/officeDocument/2006/relationships/ctrlProp" Target="../ctrlProps/ctrlProp890.xml"/><Relationship Id="rId107" Type="http://schemas.openxmlformats.org/officeDocument/2006/relationships/ctrlProp" Target="../ctrlProps/ctrlProp981.xml"/><Relationship Id="rId11" Type="http://schemas.openxmlformats.org/officeDocument/2006/relationships/ctrlProp" Target="../ctrlProps/ctrlProp885.xml"/><Relationship Id="rId32" Type="http://schemas.openxmlformats.org/officeDocument/2006/relationships/ctrlProp" Target="../ctrlProps/ctrlProp906.xml"/><Relationship Id="rId37" Type="http://schemas.openxmlformats.org/officeDocument/2006/relationships/ctrlProp" Target="../ctrlProps/ctrlProp911.xml"/><Relationship Id="rId53" Type="http://schemas.openxmlformats.org/officeDocument/2006/relationships/ctrlProp" Target="../ctrlProps/ctrlProp927.xml"/><Relationship Id="rId58" Type="http://schemas.openxmlformats.org/officeDocument/2006/relationships/ctrlProp" Target="../ctrlProps/ctrlProp932.xml"/><Relationship Id="rId74" Type="http://schemas.openxmlformats.org/officeDocument/2006/relationships/ctrlProp" Target="../ctrlProps/ctrlProp948.xml"/><Relationship Id="rId79" Type="http://schemas.openxmlformats.org/officeDocument/2006/relationships/ctrlProp" Target="../ctrlProps/ctrlProp953.xml"/><Relationship Id="rId102" Type="http://schemas.openxmlformats.org/officeDocument/2006/relationships/ctrlProp" Target="../ctrlProps/ctrlProp976.xml"/><Relationship Id="rId123" Type="http://schemas.openxmlformats.org/officeDocument/2006/relationships/ctrlProp" Target="../ctrlProps/ctrlProp997.xml"/><Relationship Id="rId5" Type="http://schemas.openxmlformats.org/officeDocument/2006/relationships/ctrlProp" Target="../ctrlProps/ctrlProp879.xml"/><Relationship Id="rId90" Type="http://schemas.openxmlformats.org/officeDocument/2006/relationships/ctrlProp" Target="../ctrlProps/ctrlProp964.xml"/><Relationship Id="rId95" Type="http://schemas.openxmlformats.org/officeDocument/2006/relationships/ctrlProp" Target="../ctrlProps/ctrlProp969.xml"/><Relationship Id="rId22" Type="http://schemas.openxmlformats.org/officeDocument/2006/relationships/ctrlProp" Target="../ctrlProps/ctrlProp896.xml"/><Relationship Id="rId27" Type="http://schemas.openxmlformats.org/officeDocument/2006/relationships/ctrlProp" Target="../ctrlProps/ctrlProp901.xml"/><Relationship Id="rId43" Type="http://schemas.openxmlformats.org/officeDocument/2006/relationships/ctrlProp" Target="../ctrlProps/ctrlProp917.xml"/><Relationship Id="rId48" Type="http://schemas.openxmlformats.org/officeDocument/2006/relationships/ctrlProp" Target="../ctrlProps/ctrlProp922.xml"/><Relationship Id="rId64" Type="http://schemas.openxmlformats.org/officeDocument/2006/relationships/ctrlProp" Target="../ctrlProps/ctrlProp938.xml"/><Relationship Id="rId69" Type="http://schemas.openxmlformats.org/officeDocument/2006/relationships/ctrlProp" Target="../ctrlProps/ctrlProp943.xml"/><Relationship Id="rId113" Type="http://schemas.openxmlformats.org/officeDocument/2006/relationships/ctrlProp" Target="../ctrlProps/ctrlProp987.xml"/><Relationship Id="rId118" Type="http://schemas.openxmlformats.org/officeDocument/2006/relationships/ctrlProp" Target="../ctrlProps/ctrlProp992.xml"/><Relationship Id="rId80" Type="http://schemas.openxmlformats.org/officeDocument/2006/relationships/ctrlProp" Target="../ctrlProps/ctrlProp954.xml"/><Relationship Id="rId85" Type="http://schemas.openxmlformats.org/officeDocument/2006/relationships/ctrlProp" Target="../ctrlProps/ctrlProp959.xml"/><Relationship Id="rId12" Type="http://schemas.openxmlformats.org/officeDocument/2006/relationships/ctrlProp" Target="../ctrlProps/ctrlProp886.xml"/><Relationship Id="rId17" Type="http://schemas.openxmlformats.org/officeDocument/2006/relationships/ctrlProp" Target="../ctrlProps/ctrlProp891.xml"/><Relationship Id="rId33" Type="http://schemas.openxmlformats.org/officeDocument/2006/relationships/ctrlProp" Target="../ctrlProps/ctrlProp907.xml"/><Relationship Id="rId38" Type="http://schemas.openxmlformats.org/officeDocument/2006/relationships/ctrlProp" Target="../ctrlProps/ctrlProp912.xml"/><Relationship Id="rId59" Type="http://schemas.openxmlformats.org/officeDocument/2006/relationships/ctrlProp" Target="../ctrlProps/ctrlProp933.xml"/><Relationship Id="rId103" Type="http://schemas.openxmlformats.org/officeDocument/2006/relationships/ctrlProp" Target="../ctrlProps/ctrlProp977.xml"/><Relationship Id="rId108" Type="http://schemas.openxmlformats.org/officeDocument/2006/relationships/ctrlProp" Target="../ctrlProps/ctrlProp982.xml"/><Relationship Id="rId124" Type="http://schemas.openxmlformats.org/officeDocument/2006/relationships/ctrlProp" Target="../ctrlProps/ctrlProp998.xml"/><Relationship Id="rId54" Type="http://schemas.openxmlformats.org/officeDocument/2006/relationships/ctrlProp" Target="../ctrlProps/ctrlProp928.xml"/><Relationship Id="rId70" Type="http://schemas.openxmlformats.org/officeDocument/2006/relationships/ctrlProp" Target="../ctrlProps/ctrlProp944.xml"/><Relationship Id="rId75" Type="http://schemas.openxmlformats.org/officeDocument/2006/relationships/ctrlProp" Target="../ctrlProps/ctrlProp949.xml"/><Relationship Id="rId91" Type="http://schemas.openxmlformats.org/officeDocument/2006/relationships/ctrlProp" Target="../ctrlProps/ctrlProp965.xml"/><Relationship Id="rId96" Type="http://schemas.openxmlformats.org/officeDocument/2006/relationships/ctrlProp" Target="../ctrlProps/ctrlProp970.xml"/><Relationship Id="rId1" Type="http://schemas.openxmlformats.org/officeDocument/2006/relationships/printerSettings" Target="../printerSettings/printerSettings60.bin"/><Relationship Id="rId6" Type="http://schemas.openxmlformats.org/officeDocument/2006/relationships/ctrlProp" Target="../ctrlProps/ctrlProp880.xml"/><Relationship Id="rId23" Type="http://schemas.openxmlformats.org/officeDocument/2006/relationships/ctrlProp" Target="../ctrlProps/ctrlProp897.xml"/><Relationship Id="rId28" Type="http://schemas.openxmlformats.org/officeDocument/2006/relationships/ctrlProp" Target="../ctrlProps/ctrlProp902.xml"/><Relationship Id="rId49" Type="http://schemas.openxmlformats.org/officeDocument/2006/relationships/ctrlProp" Target="../ctrlProps/ctrlProp923.xml"/><Relationship Id="rId114" Type="http://schemas.openxmlformats.org/officeDocument/2006/relationships/ctrlProp" Target="../ctrlProps/ctrlProp988.xml"/><Relationship Id="rId119" Type="http://schemas.openxmlformats.org/officeDocument/2006/relationships/ctrlProp" Target="../ctrlProps/ctrlProp993.xml"/><Relationship Id="rId44" Type="http://schemas.openxmlformats.org/officeDocument/2006/relationships/ctrlProp" Target="../ctrlProps/ctrlProp918.xml"/><Relationship Id="rId60" Type="http://schemas.openxmlformats.org/officeDocument/2006/relationships/ctrlProp" Target="../ctrlProps/ctrlProp934.xml"/><Relationship Id="rId65" Type="http://schemas.openxmlformats.org/officeDocument/2006/relationships/ctrlProp" Target="../ctrlProps/ctrlProp939.xml"/><Relationship Id="rId81" Type="http://schemas.openxmlformats.org/officeDocument/2006/relationships/ctrlProp" Target="../ctrlProps/ctrlProp955.xml"/><Relationship Id="rId86" Type="http://schemas.openxmlformats.org/officeDocument/2006/relationships/ctrlProp" Target="../ctrlProps/ctrlProp960.xml"/><Relationship Id="rId4" Type="http://schemas.openxmlformats.org/officeDocument/2006/relationships/ctrlProp" Target="../ctrlProps/ctrlProp878.xml"/><Relationship Id="rId9" Type="http://schemas.openxmlformats.org/officeDocument/2006/relationships/ctrlProp" Target="../ctrlProps/ctrlProp883.xml"/><Relationship Id="rId13" Type="http://schemas.openxmlformats.org/officeDocument/2006/relationships/ctrlProp" Target="../ctrlProps/ctrlProp887.xml"/><Relationship Id="rId18" Type="http://schemas.openxmlformats.org/officeDocument/2006/relationships/ctrlProp" Target="../ctrlProps/ctrlProp892.xml"/><Relationship Id="rId39" Type="http://schemas.openxmlformats.org/officeDocument/2006/relationships/ctrlProp" Target="../ctrlProps/ctrlProp913.xml"/><Relationship Id="rId109" Type="http://schemas.openxmlformats.org/officeDocument/2006/relationships/ctrlProp" Target="../ctrlProps/ctrlProp983.xml"/><Relationship Id="rId34" Type="http://schemas.openxmlformats.org/officeDocument/2006/relationships/ctrlProp" Target="../ctrlProps/ctrlProp908.xml"/><Relationship Id="rId50" Type="http://schemas.openxmlformats.org/officeDocument/2006/relationships/ctrlProp" Target="../ctrlProps/ctrlProp924.xml"/><Relationship Id="rId55" Type="http://schemas.openxmlformats.org/officeDocument/2006/relationships/ctrlProp" Target="../ctrlProps/ctrlProp929.xml"/><Relationship Id="rId76" Type="http://schemas.openxmlformats.org/officeDocument/2006/relationships/ctrlProp" Target="../ctrlProps/ctrlProp950.xml"/><Relationship Id="rId97" Type="http://schemas.openxmlformats.org/officeDocument/2006/relationships/ctrlProp" Target="../ctrlProps/ctrlProp971.xml"/><Relationship Id="rId104" Type="http://schemas.openxmlformats.org/officeDocument/2006/relationships/ctrlProp" Target="../ctrlProps/ctrlProp978.xml"/><Relationship Id="rId120" Type="http://schemas.openxmlformats.org/officeDocument/2006/relationships/ctrlProp" Target="../ctrlProps/ctrlProp994.xml"/><Relationship Id="rId7" Type="http://schemas.openxmlformats.org/officeDocument/2006/relationships/ctrlProp" Target="../ctrlProps/ctrlProp881.xml"/><Relationship Id="rId71" Type="http://schemas.openxmlformats.org/officeDocument/2006/relationships/ctrlProp" Target="../ctrlProps/ctrlProp945.xml"/><Relationship Id="rId92" Type="http://schemas.openxmlformats.org/officeDocument/2006/relationships/ctrlProp" Target="../ctrlProps/ctrlProp966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903.xml"/><Relationship Id="rId24" Type="http://schemas.openxmlformats.org/officeDocument/2006/relationships/ctrlProp" Target="../ctrlProps/ctrlProp898.xml"/><Relationship Id="rId40" Type="http://schemas.openxmlformats.org/officeDocument/2006/relationships/ctrlProp" Target="../ctrlProps/ctrlProp914.xml"/><Relationship Id="rId45" Type="http://schemas.openxmlformats.org/officeDocument/2006/relationships/ctrlProp" Target="../ctrlProps/ctrlProp919.xml"/><Relationship Id="rId66" Type="http://schemas.openxmlformats.org/officeDocument/2006/relationships/ctrlProp" Target="../ctrlProps/ctrlProp940.xml"/><Relationship Id="rId87" Type="http://schemas.openxmlformats.org/officeDocument/2006/relationships/ctrlProp" Target="../ctrlProps/ctrlProp961.xml"/><Relationship Id="rId110" Type="http://schemas.openxmlformats.org/officeDocument/2006/relationships/ctrlProp" Target="../ctrlProps/ctrlProp984.xml"/><Relationship Id="rId115" Type="http://schemas.openxmlformats.org/officeDocument/2006/relationships/ctrlProp" Target="../ctrlProps/ctrlProp989.xml"/><Relationship Id="rId61" Type="http://schemas.openxmlformats.org/officeDocument/2006/relationships/ctrlProp" Target="../ctrlProps/ctrlProp935.xml"/><Relationship Id="rId82" Type="http://schemas.openxmlformats.org/officeDocument/2006/relationships/ctrlProp" Target="../ctrlProps/ctrlProp956.xml"/><Relationship Id="rId19" Type="http://schemas.openxmlformats.org/officeDocument/2006/relationships/ctrlProp" Target="../ctrlProps/ctrlProp893.xml"/><Relationship Id="rId14" Type="http://schemas.openxmlformats.org/officeDocument/2006/relationships/ctrlProp" Target="../ctrlProps/ctrlProp888.xml"/><Relationship Id="rId30" Type="http://schemas.openxmlformats.org/officeDocument/2006/relationships/ctrlProp" Target="../ctrlProps/ctrlProp904.xml"/><Relationship Id="rId35" Type="http://schemas.openxmlformats.org/officeDocument/2006/relationships/ctrlProp" Target="../ctrlProps/ctrlProp909.xml"/><Relationship Id="rId56" Type="http://schemas.openxmlformats.org/officeDocument/2006/relationships/ctrlProp" Target="../ctrlProps/ctrlProp930.xml"/><Relationship Id="rId77" Type="http://schemas.openxmlformats.org/officeDocument/2006/relationships/ctrlProp" Target="../ctrlProps/ctrlProp951.xml"/><Relationship Id="rId100" Type="http://schemas.openxmlformats.org/officeDocument/2006/relationships/ctrlProp" Target="../ctrlProps/ctrlProp974.xml"/><Relationship Id="rId105" Type="http://schemas.openxmlformats.org/officeDocument/2006/relationships/ctrlProp" Target="../ctrlProps/ctrlProp979.xml"/><Relationship Id="rId8" Type="http://schemas.openxmlformats.org/officeDocument/2006/relationships/ctrlProp" Target="../ctrlProps/ctrlProp882.xml"/><Relationship Id="rId51" Type="http://schemas.openxmlformats.org/officeDocument/2006/relationships/ctrlProp" Target="../ctrlProps/ctrlProp925.xml"/><Relationship Id="rId72" Type="http://schemas.openxmlformats.org/officeDocument/2006/relationships/ctrlProp" Target="../ctrlProps/ctrlProp946.xml"/><Relationship Id="rId93" Type="http://schemas.openxmlformats.org/officeDocument/2006/relationships/ctrlProp" Target="../ctrlProps/ctrlProp967.xml"/><Relationship Id="rId98" Type="http://schemas.openxmlformats.org/officeDocument/2006/relationships/ctrlProp" Target="../ctrlProps/ctrlProp972.xml"/><Relationship Id="rId121" Type="http://schemas.openxmlformats.org/officeDocument/2006/relationships/ctrlProp" Target="../ctrlProps/ctrlProp995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99.xml"/><Relationship Id="rId46" Type="http://schemas.openxmlformats.org/officeDocument/2006/relationships/ctrlProp" Target="../ctrlProps/ctrlProp920.xml"/><Relationship Id="rId67" Type="http://schemas.openxmlformats.org/officeDocument/2006/relationships/ctrlProp" Target="../ctrlProps/ctrlProp941.xml"/><Relationship Id="rId116" Type="http://schemas.openxmlformats.org/officeDocument/2006/relationships/ctrlProp" Target="../ctrlProps/ctrlProp990.xml"/><Relationship Id="rId20" Type="http://schemas.openxmlformats.org/officeDocument/2006/relationships/ctrlProp" Target="../ctrlProps/ctrlProp894.xml"/><Relationship Id="rId41" Type="http://schemas.openxmlformats.org/officeDocument/2006/relationships/ctrlProp" Target="../ctrlProps/ctrlProp915.xml"/><Relationship Id="rId62" Type="http://schemas.openxmlformats.org/officeDocument/2006/relationships/ctrlProp" Target="../ctrlProps/ctrlProp936.xml"/><Relationship Id="rId83" Type="http://schemas.openxmlformats.org/officeDocument/2006/relationships/ctrlProp" Target="../ctrlProps/ctrlProp957.xml"/><Relationship Id="rId88" Type="http://schemas.openxmlformats.org/officeDocument/2006/relationships/ctrlProp" Target="../ctrlProps/ctrlProp962.xml"/><Relationship Id="rId111" Type="http://schemas.openxmlformats.org/officeDocument/2006/relationships/ctrlProp" Target="../ctrlProps/ctrlProp985.xml"/><Relationship Id="rId15" Type="http://schemas.openxmlformats.org/officeDocument/2006/relationships/ctrlProp" Target="../ctrlProps/ctrlProp889.xml"/><Relationship Id="rId36" Type="http://schemas.openxmlformats.org/officeDocument/2006/relationships/ctrlProp" Target="../ctrlProps/ctrlProp910.xml"/><Relationship Id="rId57" Type="http://schemas.openxmlformats.org/officeDocument/2006/relationships/ctrlProp" Target="../ctrlProps/ctrlProp931.xml"/><Relationship Id="rId106" Type="http://schemas.openxmlformats.org/officeDocument/2006/relationships/ctrlProp" Target="../ctrlProps/ctrlProp980.xml"/><Relationship Id="rId10" Type="http://schemas.openxmlformats.org/officeDocument/2006/relationships/ctrlProp" Target="../ctrlProps/ctrlProp884.xml"/><Relationship Id="rId31" Type="http://schemas.openxmlformats.org/officeDocument/2006/relationships/ctrlProp" Target="../ctrlProps/ctrlProp905.xml"/><Relationship Id="rId52" Type="http://schemas.openxmlformats.org/officeDocument/2006/relationships/ctrlProp" Target="../ctrlProps/ctrlProp926.xml"/><Relationship Id="rId73" Type="http://schemas.openxmlformats.org/officeDocument/2006/relationships/ctrlProp" Target="../ctrlProps/ctrlProp947.xml"/><Relationship Id="rId78" Type="http://schemas.openxmlformats.org/officeDocument/2006/relationships/ctrlProp" Target="../ctrlProps/ctrlProp952.xml"/><Relationship Id="rId94" Type="http://schemas.openxmlformats.org/officeDocument/2006/relationships/ctrlProp" Target="../ctrlProps/ctrlProp968.xml"/><Relationship Id="rId99" Type="http://schemas.openxmlformats.org/officeDocument/2006/relationships/ctrlProp" Target="../ctrlProps/ctrlProp973.xml"/><Relationship Id="rId101" Type="http://schemas.openxmlformats.org/officeDocument/2006/relationships/ctrlProp" Target="../ctrlProps/ctrlProp975.xml"/><Relationship Id="rId122" Type="http://schemas.openxmlformats.org/officeDocument/2006/relationships/ctrlProp" Target="../ctrlProps/ctrlProp996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12.xml"/><Relationship Id="rId21" Type="http://schemas.openxmlformats.org/officeDocument/2006/relationships/ctrlProp" Target="../ctrlProps/ctrlProp1016.xml"/><Relationship Id="rId63" Type="http://schemas.openxmlformats.org/officeDocument/2006/relationships/ctrlProp" Target="../ctrlProps/ctrlProp1058.xml"/><Relationship Id="rId159" Type="http://schemas.openxmlformats.org/officeDocument/2006/relationships/ctrlProp" Target="../ctrlProps/ctrlProp1154.xml"/><Relationship Id="rId170" Type="http://schemas.openxmlformats.org/officeDocument/2006/relationships/ctrlProp" Target="../ctrlProps/ctrlProp1165.xml"/><Relationship Id="rId226" Type="http://schemas.openxmlformats.org/officeDocument/2006/relationships/ctrlProp" Target="../ctrlProps/ctrlProp1221.xml"/><Relationship Id="rId268" Type="http://schemas.openxmlformats.org/officeDocument/2006/relationships/ctrlProp" Target="../ctrlProps/ctrlProp1263.xml"/><Relationship Id="rId32" Type="http://schemas.openxmlformats.org/officeDocument/2006/relationships/ctrlProp" Target="../ctrlProps/ctrlProp1027.xml"/><Relationship Id="rId74" Type="http://schemas.openxmlformats.org/officeDocument/2006/relationships/ctrlProp" Target="../ctrlProps/ctrlProp1069.xml"/><Relationship Id="rId128" Type="http://schemas.openxmlformats.org/officeDocument/2006/relationships/ctrlProp" Target="../ctrlProps/ctrlProp1123.xml"/><Relationship Id="rId5" Type="http://schemas.openxmlformats.org/officeDocument/2006/relationships/ctrlProp" Target="../ctrlProps/ctrlProp1000.xml"/><Relationship Id="rId181" Type="http://schemas.openxmlformats.org/officeDocument/2006/relationships/ctrlProp" Target="../ctrlProps/ctrlProp1176.xml"/><Relationship Id="rId237" Type="http://schemas.openxmlformats.org/officeDocument/2006/relationships/ctrlProp" Target="../ctrlProps/ctrlProp1232.xml"/><Relationship Id="rId279" Type="http://schemas.openxmlformats.org/officeDocument/2006/relationships/ctrlProp" Target="../ctrlProps/ctrlProp1274.xml"/><Relationship Id="rId22" Type="http://schemas.openxmlformats.org/officeDocument/2006/relationships/ctrlProp" Target="../ctrlProps/ctrlProp1017.xml"/><Relationship Id="rId43" Type="http://schemas.openxmlformats.org/officeDocument/2006/relationships/ctrlProp" Target="../ctrlProps/ctrlProp1038.xml"/><Relationship Id="rId64" Type="http://schemas.openxmlformats.org/officeDocument/2006/relationships/ctrlProp" Target="../ctrlProps/ctrlProp1059.xml"/><Relationship Id="rId118" Type="http://schemas.openxmlformats.org/officeDocument/2006/relationships/ctrlProp" Target="../ctrlProps/ctrlProp1113.xml"/><Relationship Id="rId139" Type="http://schemas.openxmlformats.org/officeDocument/2006/relationships/ctrlProp" Target="../ctrlProps/ctrlProp1134.xml"/><Relationship Id="rId85" Type="http://schemas.openxmlformats.org/officeDocument/2006/relationships/ctrlProp" Target="../ctrlProps/ctrlProp1080.xml"/><Relationship Id="rId150" Type="http://schemas.openxmlformats.org/officeDocument/2006/relationships/ctrlProp" Target="../ctrlProps/ctrlProp1145.xml"/><Relationship Id="rId171" Type="http://schemas.openxmlformats.org/officeDocument/2006/relationships/ctrlProp" Target="../ctrlProps/ctrlProp1166.xml"/><Relationship Id="rId192" Type="http://schemas.openxmlformats.org/officeDocument/2006/relationships/ctrlProp" Target="../ctrlProps/ctrlProp1187.xml"/><Relationship Id="rId206" Type="http://schemas.openxmlformats.org/officeDocument/2006/relationships/ctrlProp" Target="../ctrlProps/ctrlProp1201.xml"/><Relationship Id="rId227" Type="http://schemas.openxmlformats.org/officeDocument/2006/relationships/ctrlProp" Target="../ctrlProps/ctrlProp1222.xml"/><Relationship Id="rId248" Type="http://schemas.openxmlformats.org/officeDocument/2006/relationships/ctrlProp" Target="../ctrlProps/ctrlProp1243.xml"/><Relationship Id="rId269" Type="http://schemas.openxmlformats.org/officeDocument/2006/relationships/ctrlProp" Target="../ctrlProps/ctrlProp1264.xml"/><Relationship Id="rId12" Type="http://schemas.openxmlformats.org/officeDocument/2006/relationships/ctrlProp" Target="../ctrlProps/ctrlProp1007.xml"/><Relationship Id="rId33" Type="http://schemas.openxmlformats.org/officeDocument/2006/relationships/ctrlProp" Target="../ctrlProps/ctrlProp1028.xml"/><Relationship Id="rId108" Type="http://schemas.openxmlformats.org/officeDocument/2006/relationships/ctrlProp" Target="../ctrlProps/ctrlProp1103.xml"/><Relationship Id="rId129" Type="http://schemas.openxmlformats.org/officeDocument/2006/relationships/ctrlProp" Target="../ctrlProps/ctrlProp1124.xml"/><Relationship Id="rId280" Type="http://schemas.openxmlformats.org/officeDocument/2006/relationships/ctrlProp" Target="../ctrlProps/ctrlProp1275.xml"/><Relationship Id="rId54" Type="http://schemas.openxmlformats.org/officeDocument/2006/relationships/ctrlProp" Target="../ctrlProps/ctrlProp1049.xml"/><Relationship Id="rId75" Type="http://schemas.openxmlformats.org/officeDocument/2006/relationships/ctrlProp" Target="../ctrlProps/ctrlProp1070.xml"/><Relationship Id="rId96" Type="http://schemas.openxmlformats.org/officeDocument/2006/relationships/ctrlProp" Target="../ctrlProps/ctrlProp1091.xml"/><Relationship Id="rId140" Type="http://schemas.openxmlformats.org/officeDocument/2006/relationships/ctrlProp" Target="../ctrlProps/ctrlProp1135.xml"/><Relationship Id="rId161" Type="http://schemas.openxmlformats.org/officeDocument/2006/relationships/ctrlProp" Target="../ctrlProps/ctrlProp1156.xml"/><Relationship Id="rId182" Type="http://schemas.openxmlformats.org/officeDocument/2006/relationships/ctrlProp" Target="../ctrlProps/ctrlProp1177.xml"/><Relationship Id="rId217" Type="http://schemas.openxmlformats.org/officeDocument/2006/relationships/ctrlProp" Target="../ctrlProps/ctrlProp1212.xml"/><Relationship Id="rId6" Type="http://schemas.openxmlformats.org/officeDocument/2006/relationships/ctrlProp" Target="../ctrlProps/ctrlProp1001.xml"/><Relationship Id="rId238" Type="http://schemas.openxmlformats.org/officeDocument/2006/relationships/ctrlProp" Target="../ctrlProps/ctrlProp1233.xml"/><Relationship Id="rId259" Type="http://schemas.openxmlformats.org/officeDocument/2006/relationships/ctrlProp" Target="../ctrlProps/ctrlProp1254.xml"/><Relationship Id="rId23" Type="http://schemas.openxmlformats.org/officeDocument/2006/relationships/ctrlProp" Target="../ctrlProps/ctrlProp1018.xml"/><Relationship Id="rId119" Type="http://schemas.openxmlformats.org/officeDocument/2006/relationships/ctrlProp" Target="../ctrlProps/ctrlProp1114.xml"/><Relationship Id="rId270" Type="http://schemas.openxmlformats.org/officeDocument/2006/relationships/ctrlProp" Target="../ctrlProps/ctrlProp1265.xml"/><Relationship Id="rId44" Type="http://schemas.openxmlformats.org/officeDocument/2006/relationships/ctrlProp" Target="../ctrlProps/ctrlProp1039.xml"/><Relationship Id="rId65" Type="http://schemas.openxmlformats.org/officeDocument/2006/relationships/ctrlProp" Target="../ctrlProps/ctrlProp1060.xml"/><Relationship Id="rId86" Type="http://schemas.openxmlformats.org/officeDocument/2006/relationships/ctrlProp" Target="../ctrlProps/ctrlProp1081.xml"/><Relationship Id="rId130" Type="http://schemas.openxmlformats.org/officeDocument/2006/relationships/ctrlProp" Target="../ctrlProps/ctrlProp1125.xml"/><Relationship Id="rId151" Type="http://schemas.openxmlformats.org/officeDocument/2006/relationships/ctrlProp" Target="../ctrlProps/ctrlProp1146.xml"/><Relationship Id="rId172" Type="http://schemas.openxmlformats.org/officeDocument/2006/relationships/ctrlProp" Target="../ctrlProps/ctrlProp1167.xml"/><Relationship Id="rId193" Type="http://schemas.openxmlformats.org/officeDocument/2006/relationships/ctrlProp" Target="../ctrlProps/ctrlProp1188.xml"/><Relationship Id="rId207" Type="http://schemas.openxmlformats.org/officeDocument/2006/relationships/ctrlProp" Target="../ctrlProps/ctrlProp1202.xml"/><Relationship Id="rId228" Type="http://schemas.openxmlformats.org/officeDocument/2006/relationships/ctrlProp" Target="../ctrlProps/ctrlProp1223.xml"/><Relationship Id="rId249" Type="http://schemas.openxmlformats.org/officeDocument/2006/relationships/ctrlProp" Target="../ctrlProps/ctrlProp1244.xml"/><Relationship Id="rId13" Type="http://schemas.openxmlformats.org/officeDocument/2006/relationships/ctrlProp" Target="../ctrlProps/ctrlProp1008.xml"/><Relationship Id="rId109" Type="http://schemas.openxmlformats.org/officeDocument/2006/relationships/ctrlProp" Target="../ctrlProps/ctrlProp1104.xml"/><Relationship Id="rId260" Type="http://schemas.openxmlformats.org/officeDocument/2006/relationships/ctrlProp" Target="../ctrlProps/ctrlProp1255.xml"/><Relationship Id="rId281" Type="http://schemas.openxmlformats.org/officeDocument/2006/relationships/ctrlProp" Target="../ctrlProps/ctrlProp1276.xml"/><Relationship Id="rId34" Type="http://schemas.openxmlformats.org/officeDocument/2006/relationships/ctrlProp" Target="../ctrlProps/ctrlProp1029.xml"/><Relationship Id="rId55" Type="http://schemas.openxmlformats.org/officeDocument/2006/relationships/ctrlProp" Target="../ctrlProps/ctrlProp1050.xml"/><Relationship Id="rId76" Type="http://schemas.openxmlformats.org/officeDocument/2006/relationships/ctrlProp" Target="../ctrlProps/ctrlProp1071.xml"/><Relationship Id="rId97" Type="http://schemas.openxmlformats.org/officeDocument/2006/relationships/ctrlProp" Target="../ctrlProps/ctrlProp1092.xml"/><Relationship Id="rId120" Type="http://schemas.openxmlformats.org/officeDocument/2006/relationships/ctrlProp" Target="../ctrlProps/ctrlProp1115.xml"/><Relationship Id="rId141" Type="http://schemas.openxmlformats.org/officeDocument/2006/relationships/ctrlProp" Target="../ctrlProps/ctrlProp1136.xml"/><Relationship Id="rId7" Type="http://schemas.openxmlformats.org/officeDocument/2006/relationships/ctrlProp" Target="../ctrlProps/ctrlProp1002.xml"/><Relationship Id="rId162" Type="http://schemas.openxmlformats.org/officeDocument/2006/relationships/ctrlProp" Target="../ctrlProps/ctrlProp1157.xml"/><Relationship Id="rId183" Type="http://schemas.openxmlformats.org/officeDocument/2006/relationships/ctrlProp" Target="../ctrlProps/ctrlProp1178.xml"/><Relationship Id="rId218" Type="http://schemas.openxmlformats.org/officeDocument/2006/relationships/ctrlProp" Target="../ctrlProps/ctrlProp1213.xml"/><Relationship Id="rId239" Type="http://schemas.openxmlformats.org/officeDocument/2006/relationships/ctrlProp" Target="../ctrlProps/ctrlProp1234.xml"/><Relationship Id="rId250" Type="http://schemas.openxmlformats.org/officeDocument/2006/relationships/ctrlProp" Target="../ctrlProps/ctrlProp1245.xml"/><Relationship Id="rId271" Type="http://schemas.openxmlformats.org/officeDocument/2006/relationships/ctrlProp" Target="../ctrlProps/ctrlProp1266.xml"/><Relationship Id="rId24" Type="http://schemas.openxmlformats.org/officeDocument/2006/relationships/ctrlProp" Target="../ctrlProps/ctrlProp1019.xml"/><Relationship Id="rId45" Type="http://schemas.openxmlformats.org/officeDocument/2006/relationships/ctrlProp" Target="../ctrlProps/ctrlProp1040.xml"/><Relationship Id="rId66" Type="http://schemas.openxmlformats.org/officeDocument/2006/relationships/ctrlProp" Target="../ctrlProps/ctrlProp1061.xml"/><Relationship Id="rId87" Type="http://schemas.openxmlformats.org/officeDocument/2006/relationships/ctrlProp" Target="../ctrlProps/ctrlProp1082.xml"/><Relationship Id="rId110" Type="http://schemas.openxmlformats.org/officeDocument/2006/relationships/ctrlProp" Target="../ctrlProps/ctrlProp1105.xml"/><Relationship Id="rId131" Type="http://schemas.openxmlformats.org/officeDocument/2006/relationships/ctrlProp" Target="../ctrlProps/ctrlProp1126.xml"/><Relationship Id="rId152" Type="http://schemas.openxmlformats.org/officeDocument/2006/relationships/ctrlProp" Target="../ctrlProps/ctrlProp1147.xml"/><Relationship Id="rId173" Type="http://schemas.openxmlformats.org/officeDocument/2006/relationships/ctrlProp" Target="../ctrlProps/ctrlProp1168.xml"/><Relationship Id="rId194" Type="http://schemas.openxmlformats.org/officeDocument/2006/relationships/ctrlProp" Target="../ctrlProps/ctrlProp1189.xml"/><Relationship Id="rId208" Type="http://schemas.openxmlformats.org/officeDocument/2006/relationships/ctrlProp" Target="../ctrlProps/ctrlProp1203.xml"/><Relationship Id="rId229" Type="http://schemas.openxmlformats.org/officeDocument/2006/relationships/ctrlProp" Target="../ctrlProps/ctrlProp1224.xml"/><Relationship Id="rId240" Type="http://schemas.openxmlformats.org/officeDocument/2006/relationships/ctrlProp" Target="../ctrlProps/ctrlProp1235.xml"/><Relationship Id="rId261" Type="http://schemas.openxmlformats.org/officeDocument/2006/relationships/ctrlProp" Target="../ctrlProps/ctrlProp1256.xml"/><Relationship Id="rId14" Type="http://schemas.openxmlformats.org/officeDocument/2006/relationships/ctrlProp" Target="../ctrlProps/ctrlProp1009.xml"/><Relationship Id="rId35" Type="http://schemas.openxmlformats.org/officeDocument/2006/relationships/ctrlProp" Target="../ctrlProps/ctrlProp1030.xml"/><Relationship Id="rId56" Type="http://schemas.openxmlformats.org/officeDocument/2006/relationships/ctrlProp" Target="../ctrlProps/ctrlProp1051.xml"/><Relationship Id="rId77" Type="http://schemas.openxmlformats.org/officeDocument/2006/relationships/ctrlProp" Target="../ctrlProps/ctrlProp1072.xml"/><Relationship Id="rId100" Type="http://schemas.openxmlformats.org/officeDocument/2006/relationships/ctrlProp" Target="../ctrlProps/ctrlProp1095.xml"/><Relationship Id="rId282" Type="http://schemas.openxmlformats.org/officeDocument/2006/relationships/ctrlProp" Target="../ctrlProps/ctrlProp1277.xml"/><Relationship Id="rId8" Type="http://schemas.openxmlformats.org/officeDocument/2006/relationships/ctrlProp" Target="../ctrlProps/ctrlProp1003.xml"/><Relationship Id="rId98" Type="http://schemas.openxmlformats.org/officeDocument/2006/relationships/ctrlProp" Target="../ctrlProps/ctrlProp1093.xml"/><Relationship Id="rId121" Type="http://schemas.openxmlformats.org/officeDocument/2006/relationships/ctrlProp" Target="../ctrlProps/ctrlProp1116.xml"/><Relationship Id="rId142" Type="http://schemas.openxmlformats.org/officeDocument/2006/relationships/ctrlProp" Target="../ctrlProps/ctrlProp1137.xml"/><Relationship Id="rId163" Type="http://schemas.openxmlformats.org/officeDocument/2006/relationships/ctrlProp" Target="../ctrlProps/ctrlProp1158.xml"/><Relationship Id="rId184" Type="http://schemas.openxmlformats.org/officeDocument/2006/relationships/ctrlProp" Target="../ctrlProps/ctrlProp1179.xml"/><Relationship Id="rId219" Type="http://schemas.openxmlformats.org/officeDocument/2006/relationships/ctrlProp" Target="../ctrlProps/ctrlProp1214.xml"/><Relationship Id="rId230" Type="http://schemas.openxmlformats.org/officeDocument/2006/relationships/ctrlProp" Target="../ctrlProps/ctrlProp1225.xml"/><Relationship Id="rId251" Type="http://schemas.openxmlformats.org/officeDocument/2006/relationships/ctrlProp" Target="../ctrlProps/ctrlProp1246.xml"/><Relationship Id="rId25" Type="http://schemas.openxmlformats.org/officeDocument/2006/relationships/ctrlProp" Target="../ctrlProps/ctrlProp1020.xml"/><Relationship Id="rId46" Type="http://schemas.openxmlformats.org/officeDocument/2006/relationships/ctrlProp" Target="../ctrlProps/ctrlProp1041.xml"/><Relationship Id="rId67" Type="http://schemas.openxmlformats.org/officeDocument/2006/relationships/ctrlProp" Target="../ctrlProps/ctrlProp1062.xml"/><Relationship Id="rId272" Type="http://schemas.openxmlformats.org/officeDocument/2006/relationships/ctrlProp" Target="../ctrlProps/ctrlProp1267.xml"/><Relationship Id="rId88" Type="http://schemas.openxmlformats.org/officeDocument/2006/relationships/ctrlProp" Target="../ctrlProps/ctrlProp1083.xml"/><Relationship Id="rId111" Type="http://schemas.openxmlformats.org/officeDocument/2006/relationships/ctrlProp" Target="../ctrlProps/ctrlProp1106.xml"/><Relationship Id="rId132" Type="http://schemas.openxmlformats.org/officeDocument/2006/relationships/ctrlProp" Target="../ctrlProps/ctrlProp1127.xml"/><Relationship Id="rId153" Type="http://schemas.openxmlformats.org/officeDocument/2006/relationships/ctrlProp" Target="../ctrlProps/ctrlProp1148.xml"/><Relationship Id="rId174" Type="http://schemas.openxmlformats.org/officeDocument/2006/relationships/ctrlProp" Target="../ctrlProps/ctrlProp1169.xml"/><Relationship Id="rId195" Type="http://schemas.openxmlformats.org/officeDocument/2006/relationships/ctrlProp" Target="../ctrlProps/ctrlProp1190.xml"/><Relationship Id="rId209" Type="http://schemas.openxmlformats.org/officeDocument/2006/relationships/ctrlProp" Target="../ctrlProps/ctrlProp1204.xml"/><Relationship Id="rId220" Type="http://schemas.openxmlformats.org/officeDocument/2006/relationships/ctrlProp" Target="../ctrlProps/ctrlProp1215.xml"/><Relationship Id="rId241" Type="http://schemas.openxmlformats.org/officeDocument/2006/relationships/ctrlProp" Target="../ctrlProps/ctrlProp1236.xml"/><Relationship Id="rId15" Type="http://schemas.openxmlformats.org/officeDocument/2006/relationships/ctrlProp" Target="../ctrlProps/ctrlProp1010.xml"/><Relationship Id="rId36" Type="http://schemas.openxmlformats.org/officeDocument/2006/relationships/ctrlProp" Target="../ctrlProps/ctrlProp1031.xml"/><Relationship Id="rId57" Type="http://schemas.openxmlformats.org/officeDocument/2006/relationships/ctrlProp" Target="../ctrlProps/ctrlProp1052.xml"/><Relationship Id="rId262" Type="http://schemas.openxmlformats.org/officeDocument/2006/relationships/ctrlProp" Target="../ctrlProps/ctrlProp1257.xml"/><Relationship Id="rId283" Type="http://schemas.openxmlformats.org/officeDocument/2006/relationships/ctrlProp" Target="../ctrlProps/ctrlProp1278.xml"/><Relationship Id="rId78" Type="http://schemas.openxmlformats.org/officeDocument/2006/relationships/ctrlProp" Target="../ctrlProps/ctrlProp1073.xml"/><Relationship Id="rId99" Type="http://schemas.openxmlformats.org/officeDocument/2006/relationships/ctrlProp" Target="../ctrlProps/ctrlProp1094.xml"/><Relationship Id="rId101" Type="http://schemas.openxmlformats.org/officeDocument/2006/relationships/ctrlProp" Target="../ctrlProps/ctrlProp1096.xml"/><Relationship Id="rId122" Type="http://schemas.openxmlformats.org/officeDocument/2006/relationships/ctrlProp" Target="../ctrlProps/ctrlProp1117.xml"/><Relationship Id="rId143" Type="http://schemas.openxmlformats.org/officeDocument/2006/relationships/ctrlProp" Target="../ctrlProps/ctrlProp1138.xml"/><Relationship Id="rId164" Type="http://schemas.openxmlformats.org/officeDocument/2006/relationships/ctrlProp" Target="../ctrlProps/ctrlProp1159.xml"/><Relationship Id="rId185" Type="http://schemas.openxmlformats.org/officeDocument/2006/relationships/ctrlProp" Target="../ctrlProps/ctrlProp1180.xml"/><Relationship Id="rId9" Type="http://schemas.openxmlformats.org/officeDocument/2006/relationships/ctrlProp" Target="../ctrlProps/ctrlProp1004.xml"/><Relationship Id="rId210" Type="http://schemas.openxmlformats.org/officeDocument/2006/relationships/ctrlProp" Target="../ctrlProps/ctrlProp1205.xml"/><Relationship Id="rId26" Type="http://schemas.openxmlformats.org/officeDocument/2006/relationships/ctrlProp" Target="../ctrlProps/ctrlProp1021.xml"/><Relationship Id="rId231" Type="http://schemas.openxmlformats.org/officeDocument/2006/relationships/ctrlProp" Target="../ctrlProps/ctrlProp1226.xml"/><Relationship Id="rId252" Type="http://schemas.openxmlformats.org/officeDocument/2006/relationships/ctrlProp" Target="../ctrlProps/ctrlProp1247.xml"/><Relationship Id="rId273" Type="http://schemas.openxmlformats.org/officeDocument/2006/relationships/ctrlProp" Target="../ctrlProps/ctrlProp1268.xml"/><Relationship Id="rId47" Type="http://schemas.openxmlformats.org/officeDocument/2006/relationships/ctrlProp" Target="../ctrlProps/ctrlProp1042.xml"/><Relationship Id="rId68" Type="http://schemas.openxmlformats.org/officeDocument/2006/relationships/ctrlProp" Target="../ctrlProps/ctrlProp1063.xml"/><Relationship Id="rId89" Type="http://schemas.openxmlformats.org/officeDocument/2006/relationships/ctrlProp" Target="../ctrlProps/ctrlProp1084.xml"/><Relationship Id="rId112" Type="http://schemas.openxmlformats.org/officeDocument/2006/relationships/ctrlProp" Target="../ctrlProps/ctrlProp1107.xml"/><Relationship Id="rId133" Type="http://schemas.openxmlformats.org/officeDocument/2006/relationships/ctrlProp" Target="../ctrlProps/ctrlProp1128.xml"/><Relationship Id="rId154" Type="http://schemas.openxmlformats.org/officeDocument/2006/relationships/ctrlProp" Target="../ctrlProps/ctrlProp1149.xml"/><Relationship Id="rId175" Type="http://schemas.openxmlformats.org/officeDocument/2006/relationships/ctrlProp" Target="../ctrlProps/ctrlProp1170.xml"/><Relationship Id="rId196" Type="http://schemas.openxmlformats.org/officeDocument/2006/relationships/ctrlProp" Target="../ctrlProps/ctrlProp1191.xml"/><Relationship Id="rId200" Type="http://schemas.openxmlformats.org/officeDocument/2006/relationships/ctrlProp" Target="../ctrlProps/ctrlProp1195.xml"/><Relationship Id="rId16" Type="http://schemas.openxmlformats.org/officeDocument/2006/relationships/ctrlProp" Target="../ctrlProps/ctrlProp1011.xml"/><Relationship Id="rId221" Type="http://schemas.openxmlformats.org/officeDocument/2006/relationships/ctrlProp" Target="../ctrlProps/ctrlProp1216.xml"/><Relationship Id="rId242" Type="http://schemas.openxmlformats.org/officeDocument/2006/relationships/ctrlProp" Target="../ctrlProps/ctrlProp1237.xml"/><Relationship Id="rId263" Type="http://schemas.openxmlformats.org/officeDocument/2006/relationships/ctrlProp" Target="../ctrlProps/ctrlProp1258.xml"/><Relationship Id="rId284" Type="http://schemas.openxmlformats.org/officeDocument/2006/relationships/ctrlProp" Target="../ctrlProps/ctrlProp1279.xml"/><Relationship Id="rId37" Type="http://schemas.openxmlformats.org/officeDocument/2006/relationships/ctrlProp" Target="../ctrlProps/ctrlProp1032.xml"/><Relationship Id="rId58" Type="http://schemas.openxmlformats.org/officeDocument/2006/relationships/ctrlProp" Target="../ctrlProps/ctrlProp1053.xml"/><Relationship Id="rId79" Type="http://schemas.openxmlformats.org/officeDocument/2006/relationships/ctrlProp" Target="../ctrlProps/ctrlProp1074.xml"/><Relationship Id="rId102" Type="http://schemas.openxmlformats.org/officeDocument/2006/relationships/ctrlProp" Target="../ctrlProps/ctrlProp1097.xml"/><Relationship Id="rId123" Type="http://schemas.openxmlformats.org/officeDocument/2006/relationships/ctrlProp" Target="../ctrlProps/ctrlProp1118.xml"/><Relationship Id="rId144" Type="http://schemas.openxmlformats.org/officeDocument/2006/relationships/ctrlProp" Target="../ctrlProps/ctrlProp1139.xml"/><Relationship Id="rId90" Type="http://schemas.openxmlformats.org/officeDocument/2006/relationships/ctrlProp" Target="../ctrlProps/ctrlProp1085.xml"/><Relationship Id="rId165" Type="http://schemas.openxmlformats.org/officeDocument/2006/relationships/ctrlProp" Target="../ctrlProps/ctrlProp1160.xml"/><Relationship Id="rId186" Type="http://schemas.openxmlformats.org/officeDocument/2006/relationships/ctrlProp" Target="../ctrlProps/ctrlProp1181.xml"/><Relationship Id="rId211" Type="http://schemas.openxmlformats.org/officeDocument/2006/relationships/ctrlProp" Target="../ctrlProps/ctrlProp1206.xml"/><Relationship Id="rId232" Type="http://schemas.openxmlformats.org/officeDocument/2006/relationships/ctrlProp" Target="../ctrlProps/ctrlProp1227.xml"/><Relationship Id="rId253" Type="http://schemas.openxmlformats.org/officeDocument/2006/relationships/ctrlProp" Target="../ctrlProps/ctrlProp1248.xml"/><Relationship Id="rId274" Type="http://schemas.openxmlformats.org/officeDocument/2006/relationships/ctrlProp" Target="../ctrlProps/ctrlProp1269.xml"/><Relationship Id="rId27" Type="http://schemas.openxmlformats.org/officeDocument/2006/relationships/ctrlProp" Target="../ctrlProps/ctrlProp1022.xml"/><Relationship Id="rId48" Type="http://schemas.openxmlformats.org/officeDocument/2006/relationships/ctrlProp" Target="../ctrlProps/ctrlProp1043.xml"/><Relationship Id="rId69" Type="http://schemas.openxmlformats.org/officeDocument/2006/relationships/ctrlProp" Target="../ctrlProps/ctrlProp1064.xml"/><Relationship Id="rId113" Type="http://schemas.openxmlformats.org/officeDocument/2006/relationships/ctrlProp" Target="../ctrlProps/ctrlProp1108.xml"/><Relationship Id="rId134" Type="http://schemas.openxmlformats.org/officeDocument/2006/relationships/ctrlProp" Target="../ctrlProps/ctrlProp1129.xml"/><Relationship Id="rId80" Type="http://schemas.openxmlformats.org/officeDocument/2006/relationships/ctrlProp" Target="../ctrlProps/ctrlProp1075.xml"/><Relationship Id="rId155" Type="http://schemas.openxmlformats.org/officeDocument/2006/relationships/ctrlProp" Target="../ctrlProps/ctrlProp1150.xml"/><Relationship Id="rId176" Type="http://schemas.openxmlformats.org/officeDocument/2006/relationships/ctrlProp" Target="../ctrlProps/ctrlProp1171.xml"/><Relationship Id="rId197" Type="http://schemas.openxmlformats.org/officeDocument/2006/relationships/ctrlProp" Target="../ctrlProps/ctrlProp1192.xml"/><Relationship Id="rId201" Type="http://schemas.openxmlformats.org/officeDocument/2006/relationships/ctrlProp" Target="../ctrlProps/ctrlProp1196.xml"/><Relationship Id="rId222" Type="http://schemas.openxmlformats.org/officeDocument/2006/relationships/ctrlProp" Target="../ctrlProps/ctrlProp1217.xml"/><Relationship Id="rId243" Type="http://schemas.openxmlformats.org/officeDocument/2006/relationships/ctrlProp" Target="../ctrlProps/ctrlProp1238.xml"/><Relationship Id="rId264" Type="http://schemas.openxmlformats.org/officeDocument/2006/relationships/ctrlProp" Target="../ctrlProps/ctrlProp1259.xml"/><Relationship Id="rId17" Type="http://schemas.openxmlformats.org/officeDocument/2006/relationships/ctrlProp" Target="../ctrlProps/ctrlProp1012.xml"/><Relationship Id="rId38" Type="http://schemas.openxmlformats.org/officeDocument/2006/relationships/ctrlProp" Target="../ctrlProps/ctrlProp1033.xml"/><Relationship Id="rId59" Type="http://schemas.openxmlformats.org/officeDocument/2006/relationships/ctrlProp" Target="../ctrlProps/ctrlProp1054.xml"/><Relationship Id="rId103" Type="http://schemas.openxmlformats.org/officeDocument/2006/relationships/ctrlProp" Target="../ctrlProps/ctrlProp1098.xml"/><Relationship Id="rId124" Type="http://schemas.openxmlformats.org/officeDocument/2006/relationships/ctrlProp" Target="../ctrlProps/ctrlProp1119.xml"/><Relationship Id="rId70" Type="http://schemas.openxmlformats.org/officeDocument/2006/relationships/ctrlProp" Target="../ctrlProps/ctrlProp1065.xml"/><Relationship Id="rId91" Type="http://schemas.openxmlformats.org/officeDocument/2006/relationships/ctrlProp" Target="../ctrlProps/ctrlProp1086.xml"/><Relationship Id="rId145" Type="http://schemas.openxmlformats.org/officeDocument/2006/relationships/ctrlProp" Target="../ctrlProps/ctrlProp1140.xml"/><Relationship Id="rId166" Type="http://schemas.openxmlformats.org/officeDocument/2006/relationships/ctrlProp" Target="../ctrlProps/ctrlProp1161.xml"/><Relationship Id="rId187" Type="http://schemas.openxmlformats.org/officeDocument/2006/relationships/ctrlProp" Target="../ctrlProps/ctrlProp1182.xml"/><Relationship Id="rId1" Type="http://schemas.openxmlformats.org/officeDocument/2006/relationships/printerSettings" Target="../printerSettings/printerSettings62.bin"/><Relationship Id="rId212" Type="http://schemas.openxmlformats.org/officeDocument/2006/relationships/ctrlProp" Target="../ctrlProps/ctrlProp1207.xml"/><Relationship Id="rId233" Type="http://schemas.openxmlformats.org/officeDocument/2006/relationships/ctrlProp" Target="../ctrlProps/ctrlProp1228.xml"/><Relationship Id="rId254" Type="http://schemas.openxmlformats.org/officeDocument/2006/relationships/ctrlProp" Target="../ctrlProps/ctrlProp1249.xml"/><Relationship Id="rId28" Type="http://schemas.openxmlformats.org/officeDocument/2006/relationships/ctrlProp" Target="../ctrlProps/ctrlProp1023.xml"/><Relationship Id="rId49" Type="http://schemas.openxmlformats.org/officeDocument/2006/relationships/ctrlProp" Target="../ctrlProps/ctrlProp1044.xml"/><Relationship Id="rId114" Type="http://schemas.openxmlformats.org/officeDocument/2006/relationships/ctrlProp" Target="../ctrlProps/ctrlProp1109.xml"/><Relationship Id="rId275" Type="http://schemas.openxmlformats.org/officeDocument/2006/relationships/ctrlProp" Target="../ctrlProps/ctrlProp1270.xml"/><Relationship Id="rId60" Type="http://schemas.openxmlformats.org/officeDocument/2006/relationships/ctrlProp" Target="../ctrlProps/ctrlProp1055.xml"/><Relationship Id="rId81" Type="http://schemas.openxmlformats.org/officeDocument/2006/relationships/ctrlProp" Target="../ctrlProps/ctrlProp1076.xml"/><Relationship Id="rId135" Type="http://schemas.openxmlformats.org/officeDocument/2006/relationships/ctrlProp" Target="../ctrlProps/ctrlProp1130.xml"/><Relationship Id="rId156" Type="http://schemas.openxmlformats.org/officeDocument/2006/relationships/ctrlProp" Target="../ctrlProps/ctrlProp1151.xml"/><Relationship Id="rId177" Type="http://schemas.openxmlformats.org/officeDocument/2006/relationships/ctrlProp" Target="../ctrlProps/ctrlProp1172.xml"/><Relationship Id="rId198" Type="http://schemas.openxmlformats.org/officeDocument/2006/relationships/ctrlProp" Target="../ctrlProps/ctrlProp1193.xml"/><Relationship Id="rId202" Type="http://schemas.openxmlformats.org/officeDocument/2006/relationships/ctrlProp" Target="../ctrlProps/ctrlProp1197.xml"/><Relationship Id="rId223" Type="http://schemas.openxmlformats.org/officeDocument/2006/relationships/ctrlProp" Target="../ctrlProps/ctrlProp1218.xml"/><Relationship Id="rId244" Type="http://schemas.openxmlformats.org/officeDocument/2006/relationships/ctrlProp" Target="../ctrlProps/ctrlProp1239.xml"/><Relationship Id="rId18" Type="http://schemas.openxmlformats.org/officeDocument/2006/relationships/ctrlProp" Target="../ctrlProps/ctrlProp1013.xml"/><Relationship Id="rId39" Type="http://schemas.openxmlformats.org/officeDocument/2006/relationships/ctrlProp" Target="../ctrlProps/ctrlProp1034.xml"/><Relationship Id="rId265" Type="http://schemas.openxmlformats.org/officeDocument/2006/relationships/ctrlProp" Target="../ctrlProps/ctrlProp1260.xml"/><Relationship Id="rId50" Type="http://schemas.openxmlformats.org/officeDocument/2006/relationships/ctrlProp" Target="../ctrlProps/ctrlProp1045.xml"/><Relationship Id="rId104" Type="http://schemas.openxmlformats.org/officeDocument/2006/relationships/ctrlProp" Target="../ctrlProps/ctrlProp1099.xml"/><Relationship Id="rId125" Type="http://schemas.openxmlformats.org/officeDocument/2006/relationships/ctrlProp" Target="../ctrlProps/ctrlProp1120.xml"/><Relationship Id="rId146" Type="http://schemas.openxmlformats.org/officeDocument/2006/relationships/ctrlProp" Target="../ctrlProps/ctrlProp1141.xml"/><Relationship Id="rId167" Type="http://schemas.openxmlformats.org/officeDocument/2006/relationships/ctrlProp" Target="../ctrlProps/ctrlProp1162.xml"/><Relationship Id="rId188" Type="http://schemas.openxmlformats.org/officeDocument/2006/relationships/ctrlProp" Target="../ctrlProps/ctrlProp1183.xml"/><Relationship Id="rId71" Type="http://schemas.openxmlformats.org/officeDocument/2006/relationships/ctrlProp" Target="../ctrlProps/ctrlProp1066.xml"/><Relationship Id="rId92" Type="http://schemas.openxmlformats.org/officeDocument/2006/relationships/ctrlProp" Target="../ctrlProps/ctrlProp1087.xml"/><Relationship Id="rId213" Type="http://schemas.openxmlformats.org/officeDocument/2006/relationships/ctrlProp" Target="../ctrlProps/ctrlProp1208.xml"/><Relationship Id="rId234" Type="http://schemas.openxmlformats.org/officeDocument/2006/relationships/ctrlProp" Target="../ctrlProps/ctrlProp1229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024.xml"/><Relationship Id="rId255" Type="http://schemas.openxmlformats.org/officeDocument/2006/relationships/ctrlProp" Target="../ctrlProps/ctrlProp1250.xml"/><Relationship Id="rId276" Type="http://schemas.openxmlformats.org/officeDocument/2006/relationships/ctrlProp" Target="../ctrlProps/ctrlProp1271.xml"/><Relationship Id="rId40" Type="http://schemas.openxmlformats.org/officeDocument/2006/relationships/ctrlProp" Target="../ctrlProps/ctrlProp1035.xml"/><Relationship Id="rId115" Type="http://schemas.openxmlformats.org/officeDocument/2006/relationships/ctrlProp" Target="../ctrlProps/ctrlProp1110.xml"/><Relationship Id="rId136" Type="http://schemas.openxmlformats.org/officeDocument/2006/relationships/ctrlProp" Target="../ctrlProps/ctrlProp1131.xml"/><Relationship Id="rId157" Type="http://schemas.openxmlformats.org/officeDocument/2006/relationships/ctrlProp" Target="../ctrlProps/ctrlProp1152.xml"/><Relationship Id="rId178" Type="http://schemas.openxmlformats.org/officeDocument/2006/relationships/ctrlProp" Target="../ctrlProps/ctrlProp1173.xml"/><Relationship Id="rId61" Type="http://schemas.openxmlformats.org/officeDocument/2006/relationships/ctrlProp" Target="../ctrlProps/ctrlProp1056.xml"/><Relationship Id="rId82" Type="http://schemas.openxmlformats.org/officeDocument/2006/relationships/ctrlProp" Target="../ctrlProps/ctrlProp1077.xml"/><Relationship Id="rId199" Type="http://schemas.openxmlformats.org/officeDocument/2006/relationships/ctrlProp" Target="../ctrlProps/ctrlProp1194.xml"/><Relationship Id="rId203" Type="http://schemas.openxmlformats.org/officeDocument/2006/relationships/ctrlProp" Target="../ctrlProps/ctrlProp1198.xml"/><Relationship Id="rId19" Type="http://schemas.openxmlformats.org/officeDocument/2006/relationships/ctrlProp" Target="../ctrlProps/ctrlProp1014.xml"/><Relationship Id="rId224" Type="http://schemas.openxmlformats.org/officeDocument/2006/relationships/ctrlProp" Target="../ctrlProps/ctrlProp1219.xml"/><Relationship Id="rId245" Type="http://schemas.openxmlformats.org/officeDocument/2006/relationships/ctrlProp" Target="../ctrlProps/ctrlProp1240.xml"/><Relationship Id="rId266" Type="http://schemas.openxmlformats.org/officeDocument/2006/relationships/ctrlProp" Target="../ctrlProps/ctrlProp1261.xml"/><Relationship Id="rId30" Type="http://schemas.openxmlformats.org/officeDocument/2006/relationships/ctrlProp" Target="../ctrlProps/ctrlProp1025.xml"/><Relationship Id="rId105" Type="http://schemas.openxmlformats.org/officeDocument/2006/relationships/ctrlProp" Target="../ctrlProps/ctrlProp1100.xml"/><Relationship Id="rId126" Type="http://schemas.openxmlformats.org/officeDocument/2006/relationships/ctrlProp" Target="../ctrlProps/ctrlProp1121.xml"/><Relationship Id="rId147" Type="http://schemas.openxmlformats.org/officeDocument/2006/relationships/ctrlProp" Target="../ctrlProps/ctrlProp1142.xml"/><Relationship Id="rId168" Type="http://schemas.openxmlformats.org/officeDocument/2006/relationships/ctrlProp" Target="../ctrlProps/ctrlProp1163.xml"/><Relationship Id="rId51" Type="http://schemas.openxmlformats.org/officeDocument/2006/relationships/ctrlProp" Target="../ctrlProps/ctrlProp1046.xml"/><Relationship Id="rId72" Type="http://schemas.openxmlformats.org/officeDocument/2006/relationships/ctrlProp" Target="../ctrlProps/ctrlProp1067.xml"/><Relationship Id="rId93" Type="http://schemas.openxmlformats.org/officeDocument/2006/relationships/ctrlProp" Target="../ctrlProps/ctrlProp1088.xml"/><Relationship Id="rId189" Type="http://schemas.openxmlformats.org/officeDocument/2006/relationships/ctrlProp" Target="../ctrlProps/ctrlProp1184.xml"/><Relationship Id="rId3" Type="http://schemas.openxmlformats.org/officeDocument/2006/relationships/vmlDrawing" Target="../drawings/vmlDrawing10.vml"/><Relationship Id="rId214" Type="http://schemas.openxmlformats.org/officeDocument/2006/relationships/ctrlProp" Target="../ctrlProps/ctrlProp1209.xml"/><Relationship Id="rId235" Type="http://schemas.openxmlformats.org/officeDocument/2006/relationships/ctrlProp" Target="../ctrlProps/ctrlProp1230.xml"/><Relationship Id="rId256" Type="http://schemas.openxmlformats.org/officeDocument/2006/relationships/ctrlProp" Target="../ctrlProps/ctrlProp1251.xml"/><Relationship Id="rId277" Type="http://schemas.openxmlformats.org/officeDocument/2006/relationships/ctrlProp" Target="../ctrlProps/ctrlProp1272.xml"/><Relationship Id="rId116" Type="http://schemas.openxmlformats.org/officeDocument/2006/relationships/ctrlProp" Target="../ctrlProps/ctrlProp1111.xml"/><Relationship Id="rId137" Type="http://schemas.openxmlformats.org/officeDocument/2006/relationships/ctrlProp" Target="../ctrlProps/ctrlProp1132.xml"/><Relationship Id="rId158" Type="http://schemas.openxmlformats.org/officeDocument/2006/relationships/ctrlProp" Target="../ctrlProps/ctrlProp1153.xml"/><Relationship Id="rId20" Type="http://schemas.openxmlformats.org/officeDocument/2006/relationships/ctrlProp" Target="../ctrlProps/ctrlProp1015.xml"/><Relationship Id="rId41" Type="http://schemas.openxmlformats.org/officeDocument/2006/relationships/ctrlProp" Target="../ctrlProps/ctrlProp1036.xml"/><Relationship Id="rId62" Type="http://schemas.openxmlformats.org/officeDocument/2006/relationships/ctrlProp" Target="../ctrlProps/ctrlProp1057.xml"/><Relationship Id="rId83" Type="http://schemas.openxmlformats.org/officeDocument/2006/relationships/ctrlProp" Target="../ctrlProps/ctrlProp1078.xml"/><Relationship Id="rId179" Type="http://schemas.openxmlformats.org/officeDocument/2006/relationships/ctrlProp" Target="../ctrlProps/ctrlProp1174.xml"/><Relationship Id="rId190" Type="http://schemas.openxmlformats.org/officeDocument/2006/relationships/ctrlProp" Target="../ctrlProps/ctrlProp1185.xml"/><Relationship Id="rId204" Type="http://schemas.openxmlformats.org/officeDocument/2006/relationships/ctrlProp" Target="../ctrlProps/ctrlProp1199.xml"/><Relationship Id="rId225" Type="http://schemas.openxmlformats.org/officeDocument/2006/relationships/ctrlProp" Target="../ctrlProps/ctrlProp1220.xml"/><Relationship Id="rId246" Type="http://schemas.openxmlformats.org/officeDocument/2006/relationships/ctrlProp" Target="../ctrlProps/ctrlProp1241.xml"/><Relationship Id="rId267" Type="http://schemas.openxmlformats.org/officeDocument/2006/relationships/ctrlProp" Target="../ctrlProps/ctrlProp1262.xml"/><Relationship Id="rId106" Type="http://schemas.openxmlformats.org/officeDocument/2006/relationships/ctrlProp" Target="../ctrlProps/ctrlProp1101.xml"/><Relationship Id="rId127" Type="http://schemas.openxmlformats.org/officeDocument/2006/relationships/ctrlProp" Target="../ctrlProps/ctrlProp1122.xml"/><Relationship Id="rId10" Type="http://schemas.openxmlformats.org/officeDocument/2006/relationships/ctrlProp" Target="../ctrlProps/ctrlProp1005.xml"/><Relationship Id="rId31" Type="http://schemas.openxmlformats.org/officeDocument/2006/relationships/ctrlProp" Target="../ctrlProps/ctrlProp1026.xml"/><Relationship Id="rId52" Type="http://schemas.openxmlformats.org/officeDocument/2006/relationships/ctrlProp" Target="../ctrlProps/ctrlProp1047.xml"/><Relationship Id="rId73" Type="http://schemas.openxmlformats.org/officeDocument/2006/relationships/ctrlProp" Target="../ctrlProps/ctrlProp1068.xml"/><Relationship Id="rId94" Type="http://schemas.openxmlformats.org/officeDocument/2006/relationships/ctrlProp" Target="../ctrlProps/ctrlProp1089.xml"/><Relationship Id="rId148" Type="http://schemas.openxmlformats.org/officeDocument/2006/relationships/ctrlProp" Target="../ctrlProps/ctrlProp1143.xml"/><Relationship Id="rId169" Type="http://schemas.openxmlformats.org/officeDocument/2006/relationships/ctrlProp" Target="../ctrlProps/ctrlProp1164.xml"/><Relationship Id="rId4" Type="http://schemas.openxmlformats.org/officeDocument/2006/relationships/ctrlProp" Target="../ctrlProps/ctrlProp999.xml"/><Relationship Id="rId180" Type="http://schemas.openxmlformats.org/officeDocument/2006/relationships/ctrlProp" Target="../ctrlProps/ctrlProp1175.xml"/><Relationship Id="rId215" Type="http://schemas.openxmlformats.org/officeDocument/2006/relationships/ctrlProp" Target="../ctrlProps/ctrlProp1210.xml"/><Relationship Id="rId236" Type="http://schemas.openxmlformats.org/officeDocument/2006/relationships/ctrlProp" Target="../ctrlProps/ctrlProp1231.xml"/><Relationship Id="rId257" Type="http://schemas.openxmlformats.org/officeDocument/2006/relationships/ctrlProp" Target="../ctrlProps/ctrlProp1252.xml"/><Relationship Id="rId278" Type="http://schemas.openxmlformats.org/officeDocument/2006/relationships/ctrlProp" Target="../ctrlProps/ctrlProp1273.xml"/><Relationship Id="rId42" Type="http://schemas.openxmlformats.org/officeDocument/2006/relationships/ctrlProp" Target="../ctrlProps/ctrlProp1037.xml"/><Relationship Id="rId84" Type="http://schemas.openxmlformats.org/officeDocument/2006/relationships/ctrlProp" Target="../ctrlProps/ctrlProp1079.xml"/><Relationship Id="rId138" Type="http://schemas.openxmlformats.org/officeDocument/2006/relationships/ctrlProp" Target="../ctrlProps/ctrlProp1133.xml"/><Relationship Id="rId191" Type="http://schemas.openxmlformats.org/officeDocument/2006/relationships/ctrlProp" Target="../ctrlProps/ctrlProp1186.xml"/><Relationship Id="rId205" Type="http://schemas.openxmlformats.org/officeDocument/2006/relationships/ctrlProp" Target="../ctrlProps/ctrlProp1200.xml"/><Relationship Id="rId247" Type="http://schemas.openxmlformats.org/officeDocument/2006/relationships/ctrlProp" Target="../ctrlProps/ctrlProp1242.xml"/><Relationship Id="rId107" Type="http://schemas.openxmlformats.org/officeDocument/2006/relationships/ctrlProp" Target="../ctrlProps/ctrlProp1102.xml"/><Relationship Id="rId11" Type="http://schemas.openxmlformats.org/officeDocument/2006/relationships/ctrlProp" Target="../ctrlProps/ctrlProp1006.xml"/><Relationship Id="rId53" Type="http://schemas.openxmlformats.org/officeDocument/2006/relationships/ctrlProp" Target="../ctrlProps/ctrlProp1048.xml"/><Relationship Id="rId149" Type="http://schemas.openxmlformats.org/officeDocument/2006/relationships/ctrlProp" Target="../ctrlProps/ctrlProp1144.xml"/><Relationship Id="rId95" Type="http://schemas.openxmlformats.org/officeDocument/2006/relationships/ctrlProp" Target="../ctrlProps/ctrlProp1090.xml"/><Relationship Id="rId160" Type="http://schemas.openxmlformats.org/officeDocument/2006/relationships/ctrlProp" Target="../ctrlProps/ctrlProp1155.xml"/><Relationship Id="rId216" Type="http://schemas.openxmlformats.org/officeDocument/2006/relationships/ctrlProp" Target="../ctrlProps/ctrlProp1211.xml"/><Relationship Id="rId258" Type="http://schemas.openxmlformats.org/officeDocument/2006/relationships/ctrlProp" Target="../ctrlProps/ctrlProp1253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63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B1:BO40"/>
  <sheetViews>
    <sheetView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790" customWidth="1"/>
    <col min="2" max="3" width="5.42578125" style="790" customWidth="1"/>
    <col min="4" max="4" width="3.140625" style="790" customWidth="1"/>
    <col min="5" max="5" width="9.42578125" style="790" customWidth="1"/>
    <col min="6" max="6" width="9.140625" style="790"/>
    <col min="7" max="7" width="9.5703125" style="790" customWidth="1"/>
    <col min="8" max="8" width="9.140625" style="790"/>
    <col min="9" max="9" width="9.5703125" style="790" customWidth="1"/>
    <col min="10" max="10" width="10.7109375" style="790" customWidth="1"/>
    <col min="11" max="11" width="9.140625" style="790"/>
    <col min="12" max="12" width="9.28515625" style="790" customWidth="1"/>
    <col min="13" max="13" width="14.42578125" style="790" customWidth="1"/>
    <col min="14" max="14" width="5.28515625" style="790" customWidth="1"/>
    <col min="15" max="15" width="7" style="790" customWidth="1"/>
    <col min="16" max="16" width="11" style="790" customWidth="1"/>
    <col min="17" max="17" width="10.140625" style="790" customWidth="1"/>
    <col min="18" max="18" width="9.140625" style="790"/>
    <col min="19" max="19" width="30.7109375" style="790" customWidth="1"/>
    <col min="20" max="16384" width="9.140625" style="790"/>
  </cols>
  <sheetData>
    <row r="1" spans="2:67" s="782" customFormat="1" ht="17.25" customHeight="1" x14ac:dyDescent="0.2">
      <c r="B1" s="930"/>
      <c r="C1" s="930"/>
      <c r="D1" s="704"/>
      <c r="E1" s="704"/>
      <c r="F1" s="704"/>
      <c r="G1" s="704"/>
      <c r="H1" s="704"/>
      <c r="I1" s="704"/>
      <c r="J1" s="704"/>
      <c r="K1" s="704"/>
      <c r="L1" s="704"/>
      <c r="M1" s="704"/>
      <c r="N1" s="704"/>
      <c r="O1" s="704"/>
      <c r="P1" s="704"/>
      <c r="Q1" s="704"/>
      <c r="R1" s="704"/>
      <c r="S1" s="704"/>
    </row>
    <row r="2" spans="2:67" s="782" customFormat="1" ht="17.25" customHeight="1" x14ac:dyDescent="0.2">
      <c r="B2" s="704"/>
      <c r="C2" s="704"/>
      <c r="D2" s="704"/>
      <c r="E2" s="736" t="s">
        <v>316</v>
      </c>
      <c r="F2" s="704"/>
      <c r="G2" s="737">
        <f ca="1">Var_AfspraakDatum</f>
        <v>42748</v>
      </c>
      <c r="H2" s="738"/>
      <c r="I2" s="736" t="s">
        <v>317</v>
      </c>
      <c r="J2" s="736"/>
      <c r="K2" s="931" t="str">
        <f>PatDetails!B13</f>
        <v/>
      </c>
      <c r="L2" s="704"/>
      <c r="M2" s="704" t="str">
        <f>PatDetails!B21</f>
        <v>Gewicht:</v>
      </c>
      <c r="N2" s="736"/>
      <c r="O2" s="704"/>
      <c r="P2" s="704" t="s">
        <v>536</v>
      </c>
      <c r="Q2" s="932">
        <f>__1_Bed</f>
        <v>0</v>
      </c>
      <c r="R2" s="932"/>
      <c r="S2" s="704"/>
    </row>
    <row r="3" spans="2:67" s="782" customFormat="1" ht="17.25" customHeight="1" x14ac:dyDescent="0.2">
      <c r="B3" s="704"/>
      <c r="C3" s="704"/>
      <c r="D3" s="704"/>
      <c r="E3" s="736" t="s">
        <v>28</v>
      </c>
      <c r="F3" s="704"/>
      <c r="G3" s="741" t="str">
        <f>PatDetails!B19</f>
        <v/>
      </c>
      <c r="H3" s="741"/>
      <c r="I3" s="736" t="s">
        <v>324</v>
      </c>
      <c r="J3" s="736"/>
      <c r="K3" s="933" t="str">
        <f ca="1">PatDetails!B14</f>
        <v/>
      </c>
      <c r="L3" s="704"/>
      <c r="M3" s="704" t="str">
        <f>PatDetails!B22</f>
        <v>Lengte:</v>
      </c>
      <c r="N3" s="736"/>
      <c r="O3" s="704"/>
      <c r="P3" s="704"/>
      <c r="Q3" s="736"/>
      <c r="R3" s="704"/>
      <c r="S3" s="704"/>
    </row>
    <row r="4" spans="2:67" s="782" customFormat="1" ht="17.25" customHeight="1" x14ac:dyDescent="0.2">
      <c r="B4" s="704"/>
      <c r="C4" s="704"/>
      <c r="D4" s="704"/>
      <c r="E4" s="742" t="s">
        <v>5108</v>
      </c>
      <c r="F4" s="771"/>
      <c r="G4" s="736" t="str">
        <f>PatDetails!B15</f>
        <v/>
      </c>
      <c r="H4" s="738"/>
      <c r="I4" s="736" t="s">
        <v>287</v>
      </c>
      <c r="J4" s="736"/>
      <c r="K4" s="771" t="str">
        <f ca="1">PatDetails!B18</f>
        <v/>
      </c>
      <c r="L4" s="704"/>
      <c r="M4" s="704" t="str">
        <f>PatDetails!B23</f>
        <v>Lichamelijk oppervlak:</v>
      </c>
      <c r="N4" s="736"/>
      <c r="O4" s="704"/>
      <c r="P4" s="736"/>
      <c r="Q4" s="736"/>
      <c r="R4" s="771"/>
      <c r="S4" s="771"/>
    </row>
    <row r="5" spans="2:67" s="782" customFormat="1" ht="8.1" customHeight="1" x14ac:dyDescent="0.2">
      <c r="B5" s="704"/>
      <c r="C5" s="704"/>
      <c r="D5" s="704"/>
      <c r="E5" s="704"/>
      <c r="F5" s="704"/>
      <c r="G5" s="704"/>
      <c r="H5" s="704"/>
      <c r="I5" s="704"/>
      <c r="J5" s="704"/>
      <c r="K5" s="704"/>
      <c r="L5" s="704"/>
      <c r="M5" s="704"/>
      <c r="N5" s="704"/>
      <c r="O5" s="704"/>
      <c r="P5" s="704"/>
      <c r="Q5" s="704"/>
      <c r="R5" s="704"/>
      <c r="S5" s="704"/>
    </row>
    <row r="6" spans="2:67" s="787" customFormat="1" ht="8.1" customHeight="1" x14ac:dyDescent="0.2"/>
    <row r="7" spans="2:67" s="787" customFormat="1" ht="20.100000000000001" customHeight="1" x14ac:dyDescent="0.2">
      <c r="B7" s="949" t="s">
        <v>5106</v>
      </c>
      <c r="C7" s="949" t="s">
        <v>4900</v>
      </c>
      <c r="D7" s="778"/>
      <c r="E7" s="777" t="s">
        <v>343</v>
      </c>
      <c r="F7" s="776"/>
      <c r="G7" s="778"/>
      <c r="H7" s="778"/>
      <c r="I7" s="778" t="s">
        <v>219</v>
      </c>
      <c r="J7" s="778" t="s">
        <v>658</v>
      </c>
      <c r="K7" s="778"/>
      <c r="L7" s="778" t="s">
        <v>460</v>
      </c>
      <c r="M7" s="778" t="s">
        <v>344</v>
      </c>
      <c r="N7" s="778" t="s">
        <v>159</v>
      </c>
      <c r="O7" s="778"/>
      <c r="P7" s="778"/>
      <c r="Q7" s="778" t="s">
        <v>4904</v>
      </c>
      <c r="R7" s="778" t="s">
        <v>388</v>
      </c>
      <c r="S7" s="778" t="s">
        <v>256</v>
      </c>
    </row>
    <row r="8" spans="2:67" ht="8.1" customHeight="1" x14ac:dyDescent="0.2">
      <c r="B8" s="764"/>
      <c r="C8" s="764"/>
      <c r="D8" s="764"/>
      <c r="E8" s="788"/>
      <c r="F8" s="789"/>
      <c r="G8" s="764"/>
      <c r="H8" s="764"/>
      <c r="I8" s="764"/>
      <c r="J8" s="764"/>
      <c r="K8" s="764"/>
      <c r="L8" s="764"/>
      <c r="M8" s="764"/>
      <c r="N8" s="764"/>
      <c r="O8" s="764"/>
      <c r="P8" s="764"/>
      <c r="Q8" s="764"/>
      <c r="R8" s="764"/>
      <c r="S8" s="764"/>
      <c r="T8" s="750"/>
      <c r="U8" s="750"/>
      <c r="V8" s="750"/>
      <c r="W8" s="787"/>
      <c r="X8" s="787"/>
      <c r="Y8" s="787"/>
    </row>
    <row r="9" spans="2:67" ht="20.100000000000001" customHeight="1" thickBot="1" x14ac:dyDescent="0.25">
      <c r="B9" s="791" t="str">
        <f>GlobBerMedDisc!AL2</f>
        <v/>
      </c>
      <c r="C9" s="791" t="str">
        <f>GlobBerMedDisc!AO2</f>
        <v/>
      </c>
      <c r="D9" s="918">
        <v>1</v>
      </c>
      <c r="E9" s="974" t="str">
        <f>GlobBerMedDisc!AP2</f>
        <v/>
      </c>
      <c r="F9" s="975"/>
      <c r="G9" s="975"/>
      <c r="H9" s="975"/>
      <c r="I9" s="863" t="str">
        <f>GlobBerMedDisc!W2</f>
        <v/>
      </c>
      <c r="J9" s="864" t="str">
        <f>IF(GlobBerMedDisc!C2&gt;1,GlobBerMedDisc!H2,"")</f>
        <v/>
      </c>
      <c r="K9" s="865" t="str">
        <f>IF(GlobBerMedDisc!C2&gt;1,GlobBerMedDisc!F2,"")</f>
        <v/>
      </c>
      <c r="L9" s="866">
        <f>GlobBerMedDisc!L2</f>
        <v>0</v>
      </c>
      <c r="M9" s="866" t="str">
        <f>GlobBerMedDisc!AM2</f>
        <v/>
      </c>
      <c r="N9" s="866" t="str">
        <f>IF(AND(GlobBerMedDisc!C2&gt;1,GlobBerMedDisc!O2&gt;1),GlobBerMedDisc!N2,"")</f>
        <v/>
      </c>
      <c r="O9" s="866" t="str">
        <f>IF(AND(GlobBerMedDisc!C2&gt;1,N9&lt;&gt;0,GlobBerMedDisc!O2&gt;1),"ml","")</f>
        <v/>
      </c>
      <c r="P9" s="866"/>
      <c r="Q9" s="866" t="str">
        <f>GlobBerMedDisc!AN2</f>
        <v/>
      </c>
      <c r="R9" s="866" t="str">
        <f>IF(AND(N9&lt;&gt;"",GlobBerMedDisc!Q2&gt;0),GlobBerMedDisc!Q2&amp;" min","")</f>
        <v/>
      </c>
      <c r="S9" s="867">
        <f>GlobBerMedDisc!AB2</f>
        <v>0</v>
      </c>
      <c r="T9" s="787"/>
      <c r="U9" s="787"/>
      <c r="V9" s="787"/>
      <c r="W9" s="787"/>
      <c r="X9" s="787"/>
      <c r="Y9" s="787"/>
    </row>
    <row r="10" spans="2:67" ht="20.100000000000001" customHeight="1" thickTop="1" thickBot="1" x14ac:dyDescent="0.25">
      <c r="B10" s="791" t="str">
        <f>GlobBerMedDisc!AL3</f>
        <v/>
      </c>
      <c r="C10" s="791" t="str">
        <f>GlobBerMedDisc!AO3</f>
        <v/>
      </c>
      <c r="D10" s="918">
        <v>2</v>
      </c>
      <c r="E10" s="970" t="str">
        <f>GlobBerMedDisc!AP3</f>
        <v/>
      </c>
      <c r="F10" s="971"/>
      <c r="G10" s="971"/>
      <c r="H10" s="971"/>
      <c r="I10" s="868" t="str">
        <f>GlobBerMedDisc!W3</f>
        <v/>
      </c>
      <c r="J10" s="869" t="str">
        <f>IF(GlobBerMedDisc!C3&gt;1,GlobBerMedDisc!H3,"")</f>
        <v/>
      </c>
      <c r="K10" s="870" t="str">
        <f>IF(GlobBerMedDisc!C3&gt;1,GlobBerMedDisc!F3,"")</f>
        <v/>
      </c>
      <c r="L10" s="871">
        <f>GlobBerMedDisc!L3</f>
        <v>0</v>
      </c>
      <c r="M10" s="871" t="str">
        <f>GlobBerMedDisc!AM3</f>
        <v/>
      </c>
      <c r="N10" s="871" t="str">
        <f>IF(AND(GlobBerMedDisc!C3&gt;1,GlobBerMedDisc!O3&gt;1),GlobBerMedDisc!N3,"")</f>
        <v/>
      </c>
      <c r="O10" s="871" t="str">
        <f>IF(AND(GlobBerMedDisc!C3&gt;1,N10&lt;&gt;0,GlobBerMedDisc!O3&gt;1),"ml","")</f>
        <v/>
      </c>
      <c r="P10" s="871"/>
      <c r="Q10" s="871" t="str">
        <f>GlobBerMedDisc!AN3</f>
        <v/>
      </c>
      <c r="R10" s="871" t="str">
        <f>IF(AND(N10&lt;&gt;"",GlobBerMedDisc!Q3&gt;0),GlobBerMedDisc!Q3&amp;" min","")</f>
        <v/>
      </c>
      <c r="S10" s="872">
        <f>GlobBerMedDisc!AB3</f>
        <v>0</v>
      </c>
      <c r="T10" s="787"/>
      <c r="U10" s="787"/>
      <c r="V10" s="787"/>
      <c r="W10" s="787"/>
      <c r="X10" s="787"/>
      <c r="Y10" s="787"/>
    </row>
    <row r="11" spans="2:67" ht="20.100000000000001" customHeight="1" thickTop="1" thickBot="1" x14ac:dyDescent="0.25">
      <c r="B11" s="791" t="str">
        <f>GlobBerMedDisc!AL4</f>
        <v/>
      </c>
      <c r="C11" s="791" t="str">
        <f>GlobBerMedDisc!AO4</f>
        <v/>
      </c>
      <c r="D11" s="918">
        <v>3</v>
      </c>
      <c r="E11" s="970" t="str">
        <f>GlobBerMedDisc!AP4</f>
        <v/>
      </c>
      <c r="F11" s="971"/>
      <c r="G11" s="971"/>
      <c r="H11" s="971"/>
      <c r="I11" s="868" t="str">
        <f>GlobBerMedDisc!W4</f>
        <v/>
      </c>
      <c r="J11" s="869" t="str">
        <f>IF(GlobBerMedDisc!C4&gt;1,GlobBerMedDisc!H4,"")</f>
        <v/>
      </c>
      <c r="K11" s="870" t="str">
        <f>IF(GlobBerMedDisc!C4&gt;1,GlobBerMedDisc!F4,"")</f>
        <v/>
      </c>
      <c r="L11" s="871">
        <f>GlobBerMedDisc!L4</f>
        <v>0</v>
      </c>
      <c r="M11" s="871" t="str">
        <f>GlobBerMedDisc!AM4</f>
        <v/>
      </c>
      <c r="N11" s="871" t="str">
        <f>IF(AND(GlobBerMedDisc!C4&gt;1,GlobBerMedDisc!O4&gt;1),GlobBerMedDisc!N4,"")</f>
        <v/>
      </c>
      <c r="O11" s="871" t="str">
        <f>IF(AND(GlobBerMedDisc!C4&gt;1,N11&lt;&gt;0,GlobBerMedDisc!O4&gt;1),"ml","")</f>
        <v/>
      </c>
      <c r="P11" s="871"/>
      <c r="Q11" s="871" t="str">
        <f>GlobBerMedDisc!AN4</f>
        <v/>
      </c>
      <c r="R11" s="871" t="str">
        <f>IF(AND(N11&lt;&gt;"",GlobBerMedDisc!Q4&gt;0),GlobBerMedDisc!Q4&amp;" min","")</f>
        <v/>
      </c>
      <c r="S11" s="872">
        <f>GlobBerMedDisc!AB4</f>
        <v>0</v>
      </c>
      <c r="T11" s="787"/>
      <c r="U11" s="787"/>
      <c r="V11" s="787"/>
      <c r="W11" s="787"/>
      <c r="X11" s="787"/>
      <c r="Y11" s="787"/>
    </row>
    <row r="12" spans="2:67" ht="20.100000000000001" customHeight="1" thickTop="1" thickBot="1" x14ac:dyDescent="0.25">
      <c r="B12" s="791" t="str">
        <f>GlobBerMedDisc!AL5</f>
        <v/>
      </c>
      <c r="C12" s="791" t="str">
        <f>GlobBerMedDisc!AO5</f>
        <v/>
      </c>
      <c r="D12" s="918">
        <v>4</v>
      </c>
      <c r="E12" s="970" t="str">
        <f>GlobBerMedDisc!AP5</f>
        <v/>
      </c>
      <c r="F12" s="971"/>
      <c r="G12" s="971"/>
      <c r="H12" s="971"/>
      <c r="I12" s="868" t="str">
        <f>GlobBerMedDisc!W5</f>
        <v/>
      </c>
      <c r="J12" s="869" t="str">
        <f>IF(GlobBerMedDisc!C5&gt;1,GlobBerMedDisc!H5,"")</f>
        <v/>
      </c>
      <c r="K12" s="870" t="str">
        <f>IF(GlobBerMedDisc!C5&gt;1,GlobBerMedDisc!F5,"")</f>
        <v/>
      </c>
      <c r="L12" s="871">
        <f>GlobBerMedDisc!L5</f>
        <v>0</v>
      </c>
      <c r="M12" s="871" t="str">
        <f>GlobBerMedDisc!AM5</f>
        <v/>
      </c>
      <c r="N12" s="871" t="str">
        <f>IF(AND(GlobBerMedDisc!C5&gt;1,GlobBerMedDisc!O5&gt;1),GlobBerMedDisc!N5,"")</f>
        <v/>
      </c>
      <c r="O12" s="871" t="str">
        <f>IF(AND(GlobBerMedDisc!C5&gt;1,N12&lt;&gt;0,GlobBerMedDisc!O5&gt;1),"ml","")</f>
        <v/>
      </c>
      <c r="P12" s="871"/>
      <c r="Q12" s="871" t="str">
        <f>GlobBerMedDisc!AN5</f>
        <v/>
      </c>
      <c r="R12" s="871" t="str">
        <f>IF(AND(N12&lt;&gt;"",GlobBerMedDisc!Q5&gt;0),GlobBerMedDisc!Q5&amp;" min","")</f>
        <v/>
      </c>
      <c r="S12" s="872">
        <f>GlobBerMedDisc!AB5</f>
        <v>0</v>
      </c>
      <c r="T12" s="787"/>
      <c r="U12" s="787"/>
      <c r="V12" s="787"/>
      <c r="W12" s="787"/>
      <c r="X12" s="787"/>
      <c r="Y12" s="787"/>
    </row>
    <row r="13" spans="2:67" s="793" customFormat="1" ht="20.100000000000001" customHeight="1" thickTop="1" thickBot="1" x14ac:dyDescent="0.25">
      <c r="B13" s="791" t="str">
        <f>GlobBerMedDisc!AL6</f>
        <v/>
      </c>
      <c r="C13" s="791" t="str">
        <f>GlobBerMedDisc!AO6</f>
        <v/>
      </c>
      <c r="D13" s="918">
        <v>5</v>
      </c>
      <c r="E13" s="970" t="str">
        <f>GlobBerMedDisc!AP6</f>
        <v/>
      </c>
      <c r="F13" s="971"/>
      <c r="G13" s="971"/>
      <c r="H13" s="971"/>
      <c r="I13" s="868" t="str">
        <f>GlobBerMedDisc!W6</f>
        <v/>
      </c>
      <c r="J13" s="869" t="str">
        <f>IF(GlobBerMedDisc!C6&gt;1,GlobBerMedDisc!H6,"")</f>
        <v/>
      </c>
      <c r="K13" s="870" t="str">
        <f>IF(GlobBerMedDisc!C6&gt;1,GlobBerMedDisc!F6,"")</f>
        <v/>
      </c>
      <c r="L13" s="871">
        <f>GlobBerMedDisc!L6</f>
        <v>0</v>
      </c>
      <c r="M13" s="871" t="str">
        <f>GlobBerMedDisc!AM6</f>
        <v/>
      </c>
      <c r="N13" s="871" t="str">
        <f>IF(AND(GlobBerMedDisc!C6&gt;1,GlobBerMedDisc!O6&gt;1),GlobBerMedDisc!N6,"")</f>
        <v/>
      </c>
      <c r="O13" s="871" t="str">
        <f>IF(AND(GlobBerMedDisc!C6&gt;1,N13&lt;&gt;0,GlobBerMedDisc!O6&gt;1),"ml","")</f>
        <v/>
      </c>
      <c r="P13" s="871"/>
      <c r="Q13" s="871" t="str">
        <f>GlobBerMedDisc!AN6</f>
        <v/>
      </c>
      <c r="R13" s="871" t="str">
        <f>IF(AND(N13&lt;&gt;"",GlobBerMedDisc!Q6&gt;0),GlobBerMedDisc!Q6&amp;" min","")</f>
        <v/>
      </c>
      <c r="S13" s="872">
        <f>GlobBerMedDisc!AB6</f>
        <v>0</v>
      </c>
      <c r="T13" s="787"/>
      <c r="U13" s="787"/>
      <c r="V13" s="787"/>
      <c r="W13" s="787"/>
      <c r="X13" s="787"/>
      <c r="Y13" s="787"/>
      <c r="Z13" s="790"/>
      <c r="AA13" s="790"/>
      <c r="AB13" s="790"/>
      <c r="AC13" s="790"/>
      <c r="AD13" s="790"/>
      <c r="AE13" s="790"/>
      <c r="AF13" s="790"/>
      <c r="AG13" s="790"/>
      <c r="AH13" s="790"/>
      <c r="AI13" s="790"/>
      <c r="AJ13" s="790"/>
      <c r="AK13" s="790"/>
      <c r="AL13" s="790"/>
      <c r="AM13" s="790"/>
      <c r="AN13" s="790"/>
      <c r="AO13" s="790"/>
      <c r="AP13" s="790"/>
      <c r="AQ13" s="790"/>
      <c r="AR13" s="790"/>
      <c r="AS13" s="790"/>
      <c r="AT13" s="790"/>
      <c r="AU13" s="790"/>
      <c r="AV13" s="790"/>
      <c r="AW13" s="790"/>
      <c r="AX13" s="790"/>
      <c r="AY13" s="790"/>
      <c r="AZ13" s="790"/>
      <c r="BA13" s="790"/>
      <c r="BB13" s="790"/>
      <c r="BC13" s="790"/>
      <c r="BD13" s="790"/>
      <c r="BE13" s="790"/>
      <c r="BF13" s="790"/>
      <c r="BG13" s="790"/>
      <c r="BH13" s="790"/>
      <c r="BI13" s="790"/>
      <c r="BJ13" s="790"/>
      <c r="BK13" s="790"/>
      <c r="BL13" s="790"/>
      <c r="BM13" s="790"/>
      <c r="BN13" s="790"/>
      <c r="BO13" s="790"/>
    </row>
    <row r="14" spans="2:67" ht="20.100000000000001" customHeight="1" thickTop="1" thickBot="1" x14ac:dyDescent="0.25">
      <c r="B14" s="791" t="str">
        <f>GlobBerMedDisc!AL7</f>
        <v/>
      </c>
      <c r="C14" s="791" t="str">
        <f>GlobBerMedDisc!AO7</f>
        <v/>
      </c>
      <c r="D14" s="918">
        <v>6</v>
      </c>
      <c r="E14" s="970" t="str">
        <f>GlobBerMedDisc!AP7</f>
        <v/>
      </c>
      <c r="F14" s="971"/>
      <c r="G14" s="971"/>
      <c r="H14" s="971"/>
      <c r="I14" s="868" t="str">
        <f>GlobBerMedDisc!W7</f>
        <v/>
      </c>
      <c r="J14" s="869" t="str">
        <f>IF(GlobBerMedDisc!C7&gt;1,GlobBerMedDisc!H7,"")</f>
        <v/>
      </c>
      <c r="K14" s="870" t="str">
        <f>IF(GlobBerMedDisc!C7&gt;1,GlobBerMedDisc!F7,"")</f>
        <v/>
      </c>
      <c r="L14" s="871">
        <f>GlobBerMedDisc!L7</f>
        <v>0</v>
      </c>
      <c r="M14" s="871" t="str">
        <f>GlobBerMedDisc!AM7</f>
        <v/>
      </c>
      <c r="N14" s="871" t="str">
        <f>IF(AND(GlobBerMedDisc!C7&gt;1,GlobBerMedDisc!O7&gt;1),GlobBerMedDisc!N7,"")</f>
        <v/>
      </c>
      <c r="O14" s="871" t="str">
        <f>IF(AND(GlobBerMedDisc!C7&gt;1,N14&lt;&gt;0,GlobBerMedDisc!O7&gt;1),"ml","")</f>
        <v/>
      </c>
      <c r="P14" s="871"/>
      <c r="Q14" s="871" t="str">
        <f>GlobBerMedDisc!AN7</f>
        <v/>
      </c>
      <c r="R14" s="871" t="str">
        <f>IF(AND(N14&lt;&gt;"",GlobBerMedDisc!Q7&gt;0),GlobBerMedDisc!Q7&amp;" min","")</f>
        <v/>
      </c>
      <c r="S14" s="872">
        <f>GlobBerMedDisc!AB7</f>
        <v>0</v>
      </c>
      <c r="T14" s="787"/>
      <c r="U14" s="787"/>
      <c r="V14" s="787"/>
      <c r="W14" s="787"/>
      <c r="X14" s="787"/>
      <c r="Y14" s="787"/>
    </row>
    <row r="15" spans="2:67" ht="20.100000000000001" customHeight="1" thickTop="1" thickBot="1" x14ac:dyDescent="0.25">
      <c r="B15" s="791" t="str">
        <f>GlobBerMedDisc!AL8</f>
        <v/>
      </c>
      <c r="C15" s="791" t="str">
        <f>GlobBerMedDisc!AO8</f>
        <v/>
      </c>
      <c r="D15" s="918">
        <v>7</v>
      </c>
      <c r="E15" s="970" t="str">
        <f>GlobBerMedDisc!AP8</f>
        <v/>
      </c>
      <c r="F15" s="971"/>
      <c r="G15" s="971"/>
      <c r="H15" s="971"/>
      <c r="I15" s="868" t="str">
        <f>GlobBerMedDisc!W8</f>
        <v/>
      </c>
      <c r="J15" s="869" t="str">
        <f>IF(GlobBerMedDisc!C8&gt;1,GlobBerMedDisc!H8,"")</f>
        <v/>
      </c>
      <c r="K15" s="870" t="str">
        <f>IF(GlobBerMedDisc!C8&gt;1,GlobBerMedDisc!F8,"")</f>
        <v/>
      </c>
      <c r="L15" s="871">
        <f>GlobBerMedDisc!L8</f>
        <v>0</v>
      </c>
      <c r="M15" s="871" t="str">
        <f>GlobBerMedDisc!AM8</f>
        <v/>
      </c>
      <c r="N15" s="871" t="str">
        <f>IF(AND(GlobBerMedDisc!C8&gt;1,GlobBerMedDisc!O8&gt;1),GlobBerMedDisc!N8,"")</f>
        <v/>
      </c>
      <c r="O15" s="871" t="str">
        <f>IF(AND(GlobBerMedDisc!C8&gt;1,N15&lt;&gt;0,GlobBerMedDisc!O8&gt;1),"ml","")</f>
        <v/>
      </c>
      <c r="P15" s="871"/>
      <c r="Q15" s="871" t="str">
        <f>GlobBerMedDisc!AN8</f>
        <v/>
      </c>
      <c r="R15" s="871" t="str">
        <f>IF(AND(N15&lt;&gt;"",GlobBerMedDisc!Q8&gt;0),GlobBerMedDisc!Q8&amp;" min","")</f>
        <v/>
      </c>
      <c r="S15" s="872">
        <f>GlobBerMedDisc!AB8</f>
        <v>0</v>
      </c>
      <c r="T15" s="787"/>
      <c r="U15" s="787"/>
      <c r="V15" s="787"/>
      <c r="W15" s="787"/>
      <c r="X15" s="787"/>
      <c r="Y15" s="787"/>
    </row>
    <row r="16" spans="2:67" ht="20.100000000000001" customHeight="1" thickTop="1" thickBot="1" x14ac:dyDescent="0.25">
      <c r="B16" s="791" t="str">
        <f>GlobBerMedDisc!AL9</f>
        <v/>
      </c>
      <c r="C16" s="791" t="str">
        <f>GlobBerMedDisc!AO9</f>
        <v/>
      </c>
      <c r="D16" s="918">
        <v>8</v>
      </c>
      <c r="E16" s="970" t="str">
        <f>GlobBerMedDisc!AP9</f>
        <v/>
      </c>
      <c r="F16" s="971"/>
      <c r="G16" s="971"/>
      <c r="H16" s="971"/>
      <c r="I16" s="868" t="str">
        <f>GlobBerMedDisc!W9</f>
        <v/>
      </c>
      <c r="J16" s="869" t="str">
        <f>IF(GlobBerMedDisc!C9&gt;1,GlobBerMedDisc!H9,"")</f>
        <v/>
      </c>
      <c r="K16" s="870" t="str">
        <f>IF(GlobBerMedDisc!C9&gt;1,GlobBerMedDisc!F9,"")</f>
        <v/>
      </c>
      <c r="L16" s="871">
        <f>GlobBerMedDisc!L9</f>
        <v>0</v>
      </c>
      <c r="M16" s="871" t="str">
        <f>GlobBerMedDisc!AM9</f>
        <v/>
      </c>
      <c r="N16" s="871" t="str">
        <f>IF(AND(GlobBerMedDisc!C9&gt;1,GlobBerMedDisc!O9&gt;1),GlobBerMedDisc!N9,"")</f>
        <v/>
      </c>
      <c r="O16" s="871" t="str">
        <f>IF(AND(GlobBerMedDisc!C9&gt;1,N16&lt;&gt;0,GlobBerMedDisc!O9&gt;1),"ml","")</f>
        <v/>
      </c>
      <c r="P16" s="871"/>
      <c r="Q16" s="871" t="str">
        <f>GlobBerMedDisc!AN9</f>
        <v/>
      </c>
      <c r="R16" s="871" t="str">
        <f>IF(AND(N16&lt;&gt;"",GlobBerMedDisc!Q9&gt;0),GlobBerMedDisc!Q9&amp;" min","")</f>
        <v/>
      </c>
      <c r="S16" s="872">
        <f>GlobBerMedDisc!AB9</f>
        <v>0</v>
      </c>
      <c r="T16" s="787"/>
      <c r="U16" s="787"/>
      <c r="V16" s="787"/>
      <c r="W16" s="787"/>
      <c r="X16" s="787"/>
      <c r="Y16" s="787"/>
    </row>
    <row r="17" spans="2:25" ht="20.100000000000001" customHeight="1" thickTop="1" thickBot="1" x14ac:dyDescent="0.25">
      <c r="B17" s="791" t="str">
        <f>GlobBerMedDisc!AL10</f>
        <v/>
      </c>
      <c r="C17" s="791" t="str">
        <f>GlobBerMedDisc!AO10</f>
        <v/>
      </c>
      <c r="D17" s="918">
        <v>9</v>
      </c>
      <c r="E17" s="970" t="str">
        <f>GlobBerMedDisc!AP10</f>
        <v/>
      </c>
      <c r="F17" s="971"/>
      <c r="G17" s="971"/>
      <c r="H17" s="971"/>
      <c r="I17" s="868" t="str">
        <f>GlobBerMedDisc!W10</f>
        <v/>
      </c>
      <c r="J17" s="869" t="str">
        <f>IF(GlobBerMedDisc!C10&gt;1,GlobBerMedDisc!H10,"")</f>
        <v/>
      </c>
      <c r="K17" s="870" t="str">
        <f>IF(GlobBerMedDisc!C10&gt;1,GlobBerMedDisc!F10,"")</f>
        <v/>
      </c>
      <c r="L17" s="871">
        <f>GlobBerMedDisc!L10</f>
        <v>0</v>
      </c>
      <c r="M17" s="871" t="str">
        <f>GlobBerMedDisc!AM10</f>
        <v/>
      </c>
      <c r="N17" s="871" t="str">
        <f>IF(AND(GlobBerMedDisc!C10&gt;1,GlobBerMedDisc!O10&gt;1),GlobBerMedDisc!N10,"")</f>
        <v/>
      </c>
      <c r="O17" s="871" t="str">
        <f>IF(AND(GlobBerMedDisc!C10&gt;1,N17&lt;&gt;0,GlobBerMedDisc!O10&gt;1),"ml","")</f>
        <v/>
      </c>
      <c r="P17" s="871"/>
      <c r="Q17" s="871" t="str">
        <f>GlobBerMedDisc!AN10</f>
        <v/>
      </c>
      <c r="R17" s="871" t="str">
        <f>IF(AND(N17&lt;&gt;"",GlobBerMedDisc!Q10&gt;0),GlobBerMedDisc!Q10&amp;" min","")</f>
        <v/>
      </c>
      <c r="S17" s="872">
        <f>GlobBerMedDisc!AB10</f>
        <v>0</v>
      </c>
      <c r="T17" s="787"/>
      <c r="U17" s="787"/>
      <c r="V17" s="787"/>
      <c r="W17" s="787"/>
      <c r="X17" s="787"/>
      <c r="Y17" s="787"/>
    </row>
    <row r="18" spans="2:25" ht="20.100000000000001" customHeight="1" thickTop="1" thickBot="1" x14ac:dyDescent="0.25">
      <c r="B18" s="791" t="str">
        <f>GlobBerMedDisc!AL11</f>
        <v/>
      </c>
      <c r="C18" s="791" t="str">
        <f>GlobBerMedDisc!AO11</f>
        <v/>
      </c>
      <c r="D18" s="918">
        <v>10</v>
      </c>
      <c r="E18" s="970" t="str">
        <f>GlobBerMedDisc!AP11</f>
        <v/>
      </c>
      <c r="F18" s="971"/>
      <c r="G18" s="971"/>
      <c r="H18" s="971"/>
      <c r="I18" s="868" t="str">
        <f>GlobBerMedDisc!W11</f>
        <v/>
      </c>
      <c r="J18" s="869" t="str">
        <f>IF(GlobBerMedDisc!C11&gt;1,GlobBerMedDisc!H11,"")</f>
        <v/>
      </c>
      <c r="K18" s="870" t="str">
        <f>IF(GlobBerMedDisc!C11&gt;1,GlobBerMedDisc!F11,"")</f>
        <v/>
      </c>
      <c r="L18" s="871">
        <f>GlobBerMedDisc!L11</f>
        <v>0</v>
      </c>
      <c r="M18" s="871" t="str">
        <f>GlobBerMedDisc!AM11</f>
        <v/>
      </c>
      <c r="N18" s="871" t="str">
        <f>IF(AND(GlobBerMedDisc!C11&gt;1,GlobBerMedDisc!O11&gt;1),GlobBerMedDisc!N11,"")</f>
        <v/>
      </c>
      <c r="O18" s="871" t="str">
        <f>IF(AND(GlobBerMedDisc!C11&gt;1,N18&lt;&gt;0,GlobBerMedDisc!O11&gt;1),"ml","")</f>
        <v/>
      </c>
      <c r="P18" s="871"/>
      <c r="Q18" s="871" t="str">
        <f>GlobBerMedDisc!AN11</f>
        <v/>
      </c>
      <c r="R18" s="871" t="str">
        <f>IF(AND(N18&lt;&gt;"",GlobBerMedDisc!Q11&gt;0),GlobBerMedDisc!Q11&amp;" min","")</f>
        <v/>
      </c>
      <c r="S18" s="872">
        <f>GlobBerMedDisc!AB11</f>
        <v>0</v>
      </c>
      <c r="T18" s="787"/>
      <c r="U18" s="787"/>
      <c r="V18" s="787"/>
      <c r="W18" s="787"/>
      <c r="X18" s="787"/>
      <c r="Y18" s="787"/>
    </row>
    <row r="19" spans="2:25" ht="20.100000000000001" customHeight="1" thickTop="1" thickBot="1" x14ac:dyDescent="0.25">
      <c r="B19" s="791" t="str">
        <f>GlobBerMedDisc!AL12</f>
        <v/>
      </c>
      <c r="C19" s="791" t="str">
        <f>GlobBerMedDisc!AO12</f>
        <v/>
      </c>
      <c r="D19" s="918">
        <v>11</v>
      </c>
      <c r="E19" s="970" t="str">
        <f>GlobBerMedDisc!AP12</f>
        <v/>
      </c>
      <c r="F19" s="971"/>
      <c r="G19" s="971"/>
      <c r="H19" s="971"/>
      <c r="I19" s="868" t="str">
        <f>GlobBerMedDisc!W12</f>
        <v/>
      </c>
      <c r="J19" s="869" t="str">
        <f>IF(GlobBerMedDisc!C12&gt;1,GlobBerMedDisc!H12,"")</f>
        <v/>
      </c>
      <c r="K19" s="870" t="str">
        <f>IF(GlobBerMedDisc!C12&gt;1,GlobBerMedDisc!F12,"")</f>
        <v/>
      </c>
      <c r="L19" s="871">
        <f>GlobBerMedDisc!L12</f>
        <v>0</v>
      </c>
      <c r="M19" s="871" t="str">
        <f>GlobBerMedDisc!AM12</f>
        <v/>
      </c>
      <c r="N19" s="871" t="str">
        <f>IF(AND(GlobBerMedDisc!C12&gt;1,GlobBerMedDisc!O12&gt;1),GlobBerMedDisc!N12,"")</f>
        <v/>
      </c>
      <c r="O19" s="871" t="str">
        <f>IF(AND(GlobBerMedDisc!C12&gt;1,N19&lt;&gt;0,GlobBerMedDisc!O12&gt;1),"ml","")</f>
        <v/>
      </c>
      <c r="P19" s="871"/>
      <c r="Q19" s="871" t="str">
        <f>GlobBerMedDisc!AN12</f>
        <v/>
      </c>
      <c r="R19" s="871" t="str">
        <f>IF(AND(N19&lt;&gt;"",GlobBerMedDisc!Q12&gt;0),GlobBerMedDisc!Q12&amp;" min","")</f>
        <v/>
      </c>
      <c r="S19" s="872">
        <f>GlobBerMedDisc!AB12</f>
        <v>0</v>
      </c>
      <c r="T19" s="787"/>
      <c r="U19" s="787"/>
      <c r="V19" s="787"/>
      <c r="W19" s="787"/>
      <c r="X19" s="787"/>
      <c r="Y19" s="787"/>
    </row>
    <row r="20" spans="2:25" ht="20.100000000000001" customHeight="1" thickTop="1" thickBot="1" x14ac:dyDescent="0.25">
      <c r="B20" s="791" t="str">
        <f>GlobBerMedDisc!AL13</f>
        <v/>
      </c>
      <c r="C20" s="791" t="str">
        <f>GlobBerMedDisc!AO13</f>
        <v/>
      </c>
      <c r="D20" s="918">
        <v>12</v>
      </c>
      <c r="E20" s="970" t="str">
        <f>GlobBerMedDisc!AP13</f>
        <v/>
      </c>
      <c r="F20" s="971"/>
      <c r="G20" s="971"/>
      <c r="H20" s="971"/>
      <c r="I20" s="868" t="str">
        <f>GlobBerMedDisc!W13</f>
        <v/>
      </c>
      <c r="J20" s="869" t="str">
        <f>IF(GlobBerMedDisc!C13&gt;1,GlobBerMedDisc!H13,"")</f>
        <v/>
      </c>
      <c r="K20" s="870" t="str">
        <f>IF(GlobBerMedDisc!C13&gt;1,GlobBerMedDisc!F13,"")</f>
        <v/>
      </c>
      <c r="L20" s="871">
        <f>GlobBerMedDisc!L13</f>
        <v>0</v>
      </c>
      <c r="M20" s="871" t="str">
        <f>GlobBerMedDisc!AM13</f>
        <v/>
      </c>
      <c r="N20" s="871" t="str">
        <f>IF(AND(GlobBerMedDisc!C13&gt;1,GlobBerMedDisc!O13&gt;1),GlobBerMedDisc!N13,"")</f>
        <v/>
      </c>
      <c r="O20" s="871" t="str">
        <f>IF(AND(GlobBerMedDisc!C13&gt;1,N20&lt;&gt;0,GlobBerMedDisc!O13&gt;1),"ml","")</f>
        <v/>
      </c>
      <c r="P20" s="871"/>
      <c r="Q20" s="871" t="str">
        <f>GlobBerMedDisc!AN13</f>
        <v/>
      </c>
      <c r="R20" s="871" t="str">
        <f>IF(AND(N20&lt;&gt;"",GlobBerMedDisc!Q13&gt;0),GlobBerMedDisc!Q13&amp;" min","")</f>
        <v/>
      </c>
      <c r="S20" s="872">
        <f>GlobBerMedDisc!AB13</f>
        <v>0</v>
      </c>
      <c r="T20" s="787"/>
      <c r="U20" s="787"/>
      <c r="V20" s="787"/>
      <c r="W20" s="787"/>
      <c r="X20" s="787"/>
      <c r="Y20" s="787"/>
    </row>
    <row r="21" spans="2:25" ht="20.100000000000001" customHeight="1" thickTop="1" thickBot="1" x14ac:dyDescent="0.25">
      <c r="B21" s="791" t="str">
        <f>GlobBerMedDisc!AL14</f>
        <v/>
      </c>
      <c r="C21" s="791" t="str">
        <f>GlobBerMedDisc!AO14</f>
        <v/>
      </c>
      <c r="D21" s="918">
        <v>13</v>
      </c>
      <c r="E21" s="970" t="str">
        <f>GlobBerMedDisc!AP14</f>
        <v/>
      </c>
      <c r="F21" s="971"/>
      <c r="G21" s="971"/>
      <c r="H21" s="971"/>
      <c r="I21" s="868" t="str">
        <f>GlobBerMedDisc!W14</f>
        <v/>
      </c>
      <c r="J21" s="869" t="str">
        <f>IF(GlobBerMedDisc!C14&gt;1,GlobBerMedDisc!H14,"")</f>
        <v/>
      </c>
      <c r="K21" s="870" t="str">
        <f>IF(GlobBerMedDisc!C14&gt;1,GlobBerMedDisc!F14,"")</f>
        <v/>
      </c>
      <c r="L21" s="871">
        <f>GlobBerMedDisc!L14</f>
        <v>0</v>
      </c>
      <c r="M21" s="871" t="str">
        <f>GlobBerMedDisc!AM14</f>
        <v/>
      </c>
      <c r="N21" s="871" t="str">
        <f>IF(AND(GlobBerMedDisc!C14&gt;1,GlobBerMedDisc!O14&gt;1),GlobBerMedDisc!N14,"")</f>
        <v/>
      </c>
      <c r="O21" s="871" t="str">
        <f>IF(AND(GlobBerMedDisc!C14&gt;1,N21&lt;&gt;0,GlobBerMedDisc!O14&gt;1),"ml","")</f>
        <v/>
      </c>
      <c r="P21" s="871"/>
      <c r="Q21" s="871" t="str">
        <f>GlobBerMedDisc!AN14</f>
        <v/>
      </c>
      <c r="R21" s="871" t="str">
        <f>IF(AND(N21&lt;&gt;"",GlobBerMedDisc!Q14&gt;0),GlobBerMedDisc!Q14&amp;" min","")</f>
        <v/>
      </c>
      <c r="S21" s="872">
        <f>GlobBerMedDisc!AB14</f>
        <v>0</v>
      </c>
      <c r="T21" s="787"/>
      <c r="U21" s="787"/>
      <c r="V21" s="787"/>
      <c r="W21" s="787"/>
      <c r="X21" s="787"/>
      <c r="Y21" s="787"/>
    </row>
    <row r="22" spans="2:25" ht="20.100000000000001" customHeight="1" thickTop="1" thickBot="1" x14ac:dyDescent="0.25">
      <c r="B22" s="791" t="str">
        <f>GlobBerMedDisc!AL15</f>
        <v/>
      </c>
      <c r="C22" s="791" t="str">
        <f>GlobBerMedDisc!AO15</f>
        <v/>
      </c>
      <c r="D22" s="918">
        <v>14</v>
      </c>
      <c r="E22" s="970" t="str">
        <f>GlobBerMedDisc!AP15</f>
        <v/>
      </c>
      <c r="F22" s="971"/>
      <c r="G22" s="971"/>
      <c r="H22" s="971"/>
      <c r="I22" s="868" t="str">
        <f>GlobBerMedDisc!W15</f>
        <v/>
      </c>
      <c r="J22" s="869" t="str">
        <f>IF(GlobBerMedDisc!C15&gt;1,GlobBerMedDisc!H15,"")</f>
        <v/>
      </c>
      <c r="K22" s="870" t="str">
        <f>IF(GlobBerMedDisc!C15&gt;1,GlobBerMedDisc!F15,"")</f>
        <v/>
      </c>
      <c r="L22" s="871">
        <f>GlobBerMedDisc!L15</f>
        <v>0</v>
      </c>
      <c r="M22" s="871" t="str">
        <f>GlobBerMedDisc!AM15</f>
        <v/>
      </c>
      <c r="N22" s="871" t="str">
        <f>IF(AND(GlobBerMedDisc!C15&gt;1,GlobBerMedDisc!O15&gt;1),GlobBerMedDisc!N15,"")</f>
        <v/>
      </c>
      <c r="O22" s="871" t="str">
        <f>IF(AND(GlobBerMedDisc!C15&gt;1,N22&lt;&gt;0,GlobBerMedDisc!O15&gt;1),"ml","")</f>
        <v/>
      </c>
      <c r="P22" s="871"/>
      <c r="Q22" s="871" t="str">
        <f>GlobBerMedDisc!AN15</f>
        <v/>
      </c>
      <c r="R22" s="871" t="str">
        <f>IF(AND(N22&lt;&gt;"",GlobBerMedDisc!Q15&gt;0),GlobBerMedDisc!Q15&amp;" min","")</f>
        <v/>
      </c>
      <c r="S22" s="872">
        <f>GlobBerMedDisc!AB15</f>
        <v>0</v>
      </c>
      <c r="T22" s="787"/>
      <c r="U22" s="787"/>
      <c r="V22" s="787"/>
      <c r="W22" s="787"/>
      <c r="X22" s="787"/>
      <c r="Y22" s="787"/>
    </row>
    <row r="23" spans="2:25" ht="20.100000000000001" customHeight="1" thickTop="1" thickBot="1" x14ac:dyDescent="0.25">
      <c r="B23" s="791" t="str">
        <f>GlobBerMedDisc!AL16</f>
        <v/>
      </c>
      <c r="C23" s="791" t="str">
        <f>GlobBerMedDisc!AO16</f>
        <v/>
      </c>
      <c r="D23" s="918">
        <v>15</v>
      </c>
      <c r="E23" s="970" t="str">
        <f>GlobBerMedDisc!AP16</f>
        <v/>
      </c>
      <c r="F23" s="971"/>
      <c r="G23" s="971"/>
      <c r="H23" s="971"/>
      <c r="I23" s="868" t="str">
        <f>GlobBerMedDisc!W16</f>
        <v/>
      </c>
      <c r="J23" s="869" t="str">
        <f>IF(GlobBerMedDisc!C16&gt;1,GlobBerMedDisc!H16,"")</f>
        <v/>
      </c>
      <c r="K23" s="870" t="str">
        <f>IF(GlobBerMedDisc!C16&gt;1,GlobBerMedDisc!F16,"")</f>
        <v/>
      </c>
      <c r="L23" s="871">
        <f>GlobBerMedDisc!L16</f>
        <v>0</v>
      </c>
      <c r="M23" s="871" t="str">
        <f>GlobBerMedDisc!AM16</f>
        <v/>
      </c>
      <c r="N23" s="871" t="str">
        <f>IF(AND(GlobBerMedDisc!C16&gt;1,GlobBerMedDisc!O16&gt;1),GlobBerMedDisc!N16,"")</f>
        <v/>
      </c>
      <c r="O23" s="871" t="str">
        <f>IF(AND(GlobBerMedDisc!C16&gt;1,N23&lt;&gt;0,GlobBerMedDisc!O16&gt;1),"ml","")</f>
        <v/>
      </c>
      <c r="P23" s="871"/>
      <c r="Q23" s="871" t="str">
        <f>GlobBerMedDisc!AN16</f>
        <v/>
      </c>
      <c r="R23" s="871" t="str">
        <f>IF(AND(N23&lt;&gt;"",GlobBerMedDisc!Q16&gt;0),GlobBerMedDisc!Q16&amp;" min","")</f>
        <v/>
      </c>
      <c r="S23" s="872">
        <f>GlobBerMedDisc!AB16</f>
        <v>0</v>
      </c>
      <c r="T23" s="787"/>
      <c r="U23" s="787"/>
      <c r="V23" s="787"/>
      <c r="W23" s="787"/>
      <c r="X23" s="787"/>
      <c r="Y23" s="787"/>
    </row>
    <row r="24" spans="2:25" ht="20.100000000000001" customHeight="1" thickTop="1" thickBot="1" x14ac:dyDescent="0.25">
      <c r="B24" s="791" t="str">
        <f>GlobBerMedDisc!AL17</f>
        <v/>
      </c>
      <c r="C24" s="791" t="str">
        <f>GlobBerMedDisc!AO17</f>
        <v/>
      </c>
      <c r="D24" s="918">
        <v>16</v>
      </c>
      <c r="E24" s="970" t="str">
        <f>GlobBerMedDisc!AP17</f>
        <v/>
      </c>
      <c r="F24" s="971"/>
      <c r="G24" s="971"/>
      <c r="H24" s="971"/>
      <c r="I24" s="868" t="str">
        <f>GlobBerMedDisc!W17</f>
        <v/>
      </c>
      <c r="J24" s="869" t="str">
        <f>IF(GlobBerMedDisc!C17&gt;1,GlobBerMedDisc!H17,"")</f>
        <v/>
      </c>
      <c r="K24" s="870" t="str">
        <f>IF(GlobBerMedDisc!C17&gt;1,GlobBerMedDisc!F17,"")</f>
        <v/>
      </c>
      <c r="L24" s="871">
        <f>GlobBerMedDisc!L17</f>
        <v>0</v>
      </c>
      <c r="M24" s="871" t="str">
        <f>GlobBerMedDisc!AM17</f>
        <v/>
      </c>
      <c r="N24" s="871" t="str">
        <f>IF(AND(GlobBerMedDisc!C17&gt;1,GlobBerMedDisc!O17&gt;1),GlobBerMedDisc!N17,"")</f>
        <v/>
      </c>
      <c r="O24" s="871" t="str">
        <f>IF(AND(GlobBerMedDisc!C17&gt;1,N24&lt;&gt;0,GlobBerMedDisc!O17&gt;1),"ml","")</f>
        <v/>
      </c>
      <c r="P24" s="871"/>
      <c r="Q24" s="871" t="str">
        <f>GlobBerMedDisc!AN17</f>
        <v/>
      </c>
      <c r="R24" s="871" t="str">
        <f>IF(AND(N24&lt;&gt;"",GlobBerMedDisc!Q17&gt;0),GlobBerMedDisc!Q17&amp;" min","")</f>
        <v/>
      </c>
      <c r="S24" s="872">
        <f>GlobBerMedDisc!AB17</f>
        <v>0</v>
      </c>
      <c r="T24" s="787"/>
      <c r="U24" s="787"/>
      <c r="V24" s="787"/>
      <c r="W24" s="787"/>
      <c r="X24" s="787"/>
      <c r="Y24" s="787"/>
    </row>
    <row r="25" spans="2:25" ht="20.100000000000001" customHeight="1" thickTop="1" thickBot="1" x14ac:dyDescent="0.25">
      <c r="B25" s="791" t="str">
        <f>GlobBerMedDisc!AL18</f>
        <v/>
      </c>
      <c r="C25" s="791" t="str">
        <f>GlobBerMedDisc!AO18</f>
        <v/>
      </c>
      <c r="D25" s="918">
        <v>17</v>
      </c>
      <c r="E25" s="970" t="str">
        <f>GlobBerMedDisc!AP18</f>
        <v/>
      </c>
      <c r="F25" s="971"/>
      <c r="G25" s="971"/>
      <c r="H25" s="971"/>
      <c r="I25" s="868" t="str">
        <f>GlobBerMedDisc!W18</f>
        <v/>
      </c>
      <c r="J25" s="869" t="str">
        <f>IF(GlobBerMedDisc!C18&gt;1,GlobBerMedDisc!H18,"")</f>
        <v/>
      </c>
      <c r="K25" s="870" t="str">
        <f>IF(GlobBerMedDisc!C18&gt;1,GlobBerMedDisc!F18,"")</f>
        <v/>
      </c>
      <c r="L25" s="871">
        <f>GlobBerMedDisc!L18</f>
        <v>0</v>
      </c>
      <c r="M25" s="871" t="str">
        <f>GlobBerMedDisc!AM18</f>
        <v/>
      </c>
      <c r="N25" s="871" t="str">
        <f>IF(AND(GlobBerMedDisc!C18&gt;1,GlobBerMedDisc!O18&gt;1),GlobBerMedDisc!N18,"")</f>
        <v/>
      </c>
      <c r="O25" s="871" t="str">
        <f>IF(AND(GlobBerMedDisc!C18&gt;1,N25&lt;&gt;0,GlobBerMedDisc!O18&gt;1),"ml","")</f>
        <v/>
      </c>
      <c r="P25" s="871"/>
      <c r="Q25" s="871" t="str">
        <f>GlobBerMedDisc!AN18</f>
        <v/>
      </c>
      <c r="R25" s="871" t="str">
        <f>IF(AND(N25&lt;&gt;"",GlobBerMedDisc!Q18&gt;0),GlobBerMedDisc!Q18&amp;" min","")</f>
        <v/>
      </c>
      <c r="S25" s="872">
        <f>GlobBerMedDisc!AB18</f>
        <v>0</v>
      </c>
      <c r="T25" s="787"/>
      <c r="U25" s="787"/>
      <c r="V25" s="787"/>
      <c r="W25" s="787"/>
      <c r="X25" s="787"/>
      <c r="Y25" s="787"/>
    </row>
    <row r="26" spans="2:25" ht="20.100000000000001" customHeight="1" thickTop="1" thickBot="1" x14ac:dyDescent="0.25">
      <c r="B26" s="791" t="str">
        <f>GlobBerMedDisc!AL19</f>
        <v/>
      </c>
      <c r="C26" s="791" t="str">
        <f>GlobBerMedDisc!AO19</f>
        <v/>
      </c>
      <c r="D26" s="918">
        <v>18</v>
      </c>
      <c r="E26" s="970" t="str">
        <f>GlobBerMedDisc!AP19</f>
        <v/>
      </c>
      <c r="F26" s="971"/>
      <c r="G26" s="971"/>
      <c r="H26" s="971"/>
      <c r="I26" s="868" t="str">
        <f>GlobBerMedDisc!W19</f>
        <v/>
      </c>
      <c r="J26" s="869" t="str">
        <f>IF(GlobBerMedDisc!C19&gt;1,GlobBerMedDisc!H19,"")</f>
        <v/>
      </c>
      <c r="K26" s="870" t="str">
        <f>IF(GlobBerMedDisc!C19&gt;1,GlobBerMedDisc!F19,"")</f>
        <v/>
      </c>
      <c r="L26" s="871">
        <f>GlobBerMedDisc!L19</f>
        <v>0</v>
      </c>
      <c r="M26" s="871" t="str">
        <f>GlobBerMedDisc!AM19</f>
        <v/>
      </c>
      <c r="N26" s="871" t="str">
        <f>IF(AND(GlobBerMedDisc!C19&gt;1,GlobBerMedDisc!O19&gt;1),GlobBerMedDisc!N19,"")</f>
        <v/>
      </c>
      <c r="O26" s="871" t="str">
        <f>IF(AND(GlobBerMedDisc!C19&gt;1,N26&lt;&gt;0,GlobBerMedDisc!O19&gt;1),"ml","")</f>
        <v/>
      </c>
      <c r="P26" s="871"/>
      <c r="Q26" s="871" t="str">
        <f>GlobBerMedDisc!AN19</f>
        <v/>
      </c>
      <c r="R26" s="871" t="str">
        <f>IF(AND(N26&lt;&gt;"",GlobBerMedDisc!Q19&gt;0),GlobBerMedDisc!Q19&amp;" min","")</f>
        <v/>
      </c>
      <c r="S26" s="872">
        <f>GlobBerMedDisc!AB19</f>
        <v>0</v>
      </c>
      <c r="T26" s="787"/>
      <c r="U26" s="787"/>
      <c r="V26" s="787"/>
      <c r="W26" s="787"/>
      <c r="X26" s="787"/>
      <c r="Y26" s="787"/>
    </row>
    <row r="27" spans="2:25" ht="20.100000000000001" customHeight="1" thickTop="1" thickBot="1" x14ac:dyDescent="0.25">
      <c r="B27" s="791" t="str">
        <f>GlobBerMedDisc!AL20</f>
        <v/>
      </c>
      <c r="C27" s="791" t="str">
        <f>GlobBerMedDisc!AO20</f>
        <v/>
      </c>
      <c r="D27" s="918">
        <v>19</v>
      </c>
      <c r="E27" s="970" t="str">
        <f>GlobBerMedDisc!AP20</f>
        <v/>
      </c>
      <c r="F27" s="971"/>
      <c r="G27" s="971"/>
      <c r="H27" s="971"/>
      <c r="I27" s="868" t="str">
        <f>GlobBerMedDisc!W20</f>
        <v/>
      </c>
      <c r="J27" s="869" t="str">
        <f>IF(GlobBerMedDisc!C20&gt;1,GlobBerMedDisc!H20,"")</f>
        <v/>
      </c>
      <c r="K27" s="870" t="str">
        <f>IF(GlobBerMedDisc!C20&gt;1,GlobBerMedDisc!F20,"")</f>
        <v/>
      </c>
      <c r="L27" s="871">
        <f>GlobBerMedDisc!L20</f>
        <v>0</v>
      </c>
      <c r="M27" s="871" t="str">
        <f>GlobBerMedDisc!AM20</f>
        <v/>
      </c>
      <c r="N27" s="871" t="str">
        <f>IF(AND(GlobBerMedDisc!C20&gt;1,GlobBerMedDisc!O20&gt;1),GlobBerMedDisc!N20,"")</f>
        <v/>
      </c>
      <c r="O27" s="871" t="str">
        <f>IF(AND(GlobBerMedDisc!C20&gt;1,N27&lt;&gt;0,GlobBerMedDisc!O20&gt;1),"ml","")</f>
        <v/>
      </c>
      <c r="P27" s="871"/>
      <c r="Q27" s="871" t="str">
        <f>GlobBerMedDisc!AN20</f>
        <v/>
      </c>
      <c r="R27" s="871" t="str">
        <f>IF(AND(N27&lt;&gt;"",GlobBerMedDisc!Q20&gt;0),GlobBerMedDisc!Q20&amp;" min","")</f>
        <v/>
      </c>
      <c r="S27" s="872">
        <f>GlobBerMedDisc!AB20</f>
        <v>0</v>
      </c>
      <c r="T27" s="787"/>
      <c r="U27" s="787"/>
      <c r="V27" s="787"/>
      <c r="W27" s="787"/>
      <c r="X27" s="787"/>
      <c r="Y27" s="787"/>
    </row>
    <row r="28" spans="2:25" ht="20.100000000000001" customHeight="1" thickTop="1" thickBot="1" x14ac:dyDescent="0.25">
      <c r="B28" s="791" t="str">
        <f>GlobBerMedDisc!AL21</f>
        <v/>
      </c>
      <c r="C28" s="791" t="str">
        <f>GlobBerMedDisc!AO21</f>
        <v/>
      </c>
      <c r="D28" s="918">
        <v>20</v>
      </c>
      <c r="E28" s="970" t="str">
        <f>GlobBerMedDisc!AP21</f>
        <v/>
      </c>
      <c r="F28" s="971"/>
      <c r="G28" s="971"/>
      <c r="H28" s="971"/>
      <c r="I28" s="868" t="str">
        <f>GlobBerMedDisc!W21</f>
        <v/>
      </c>
      <c r="J28" s="869" t="str">
        <f>IF(GlobBerMedDisc!C21&gt;1,GlobBerMedDisc!H21,"")</f>
        <v/>
      </c>
      <c r="K28" s="870" t="str">
        <f>IF(GlobBerMedDisc!C21&gt;1,GlobBerMedDisc!F21,"")</f>
        <v/>
      </c>
      <c r="L28" s="871">
        <f>GlobBerMedDisc!L21</f>
        <v>0</v>
      </c>
      <c r="M28" s="871" t="str">
        <f>GlobBerMedDisc!AM21</f>
        <v/>
      </c>
      <c r="N28" s="871" t="str">
        <f>IF(AND(GlobBerMedDisc!C21&gt;1,GlobBerMedDisc!O21&gt;1),GlobBerMedDisc!N21,"")</f>
        <v/>
      </c>
      <c r="O28" s="871" t="str">
        <f>IF(AND(GlobBerMedDisc!C21&gt;1,N28&lt;&gt;0,GlobBerMedDisc!O21&gt;1),"ml","")</f>
        <v/>
      </c>
      <c r="P28" s="871"/>
      <c r="Q28" s="871" t="str">
        <f>GlobBerMedDisc!AN21</f>
        <v/>
      </c>
      <c r="R28" s="871" t="str">
        <f>IF(AND(N28&lt;&gt;"",GlobBerMedDisc!Q21&gt;0),GlobBerMedDisc!Q21&amp;" min","")</f>
        <v/>
      </c>
      <c r="S28" s="872">
        <f>GlobBerMedDisc!AB21</f>
        <v>0</v>
      </c>
      <c r="T28" s="787"/>
      <c r="U28" s="787"/>
      <c r="V28" s="787"/>
      <c r="W28" s="787"/>
      <c r="X28" s="787"/>
      <c r="Y28" s="787"/>
    </row>
    <row r="29" spans="2:25" ht="20.100000000000001" customHeight="1" thickTop="1" thickBot="1" x14ac:dyDescent="0.25">
      <c r="B29" s="791" t="str">
        <f>GlobBerMedDisc!AL22</f>
        <v/>
      </c>
      <c r="C29" s="791" t="str">
        <f>GlobBerMedDisc!AO22</f>
        <v/>
      </c>
      <c r="D29" s="918">
        <v>21</v>
      </c>
      <c r="E29" s="970" t="str">
        <f>GlobBerMedDisc!AP22</f>
        <v/>
      </c>
      <c r="F29" s="971"/>
      <c r="G29" s="971"/>
      <c r="H29" s="971"/>
      <c r="I29" s="868" t="str">
        <f>GlobBerMedDisc!W22</f>
        <v/>
      </c>
      <c r="J29" s="869" t="str">
        <f>IF(GlobBerMedDisc!C22&gt;1,GlobBerMedDisc!H22,"")</f>
        <v/>
      </c>
      <c r="K29" s="870" t="str">
        <f>IF(GlobBerMedDisc!C22&gt;1,GlobBerMedDisc!F22,"")</f>
        <v/>
      </c>
      <c r="L29" s="871">
        <f>GlobBerMedDisc!L22</f>
        <v>0</v>
      </c>
      <c r="M29" s="871" t="str">
        <f>GlobBerMedDisc!AM22</f>
        <v/>
      </c>
      <c r="N29" s="871" t="str">
        <f>IF(AND(GlobBerMedDisc!C22&gt;1,GlobBerMedDisc!O22&gt;1),GlobBerMedDisc!N22,"")</f>
        <v/>
      </c>
      <c r="O29" s="871" t="str">
        <f>IF(AND(GlobBerMedDisc!C22&gt;1,N29&lt;&gt;0,GlobBerMedDisc!O22&gt;1),"ml","")</f>
        <v/>
      </c>
      <c r="P29" s="871"/>
      <c r="Q29" s="871" t="str">
        <f>GlobBerMedDisc!AN22</f>
        <v/>
      </c>
      <c r="R29" s="871" t="str">
        <f>IF(AND(N29&lt;&gt;"",GlobBerMedDisc!Q22&gt;0),GlobBerMedDisc!Q22&amp;" min","")</f>
        <v/>
      </c>
      <c r="S29" s="872">
        <f>GlobBerMedDisc!AB22</f>
        <v>0</v>
      </c>
      <c r="T29" s="787"/>
      <c r="U29" s="787"/>
      <c r="V29" s="787"/>
      <c r="W29" s="787"/>
      <c r="X29" s="787"/>
      <c r="Y29" s="787"/>
    </row>
    <row r="30" spans="2:25" ht="20.100000000000001" customHeight="1" thickTop="1" thickBot="1" x14ac:dyDescent="0.25">
      <c r="B30" s="791" t="str">
        <f>GlobBerMedDisc!AL23</f>
        <v/>
      </c>
      <c r="C30" s="791" t="str">
        <f>GlobBerMedDisc!AO23</f>
        <v/>
      </c>
      <c r="D30" s="918">
        <v>22</v>
      </c>
      <c r="E30" s="970" t="str">
        <f>GlobBerMedDisc!AP23</f>
        <v/>
      </c>
      <c r="F30" s="971"/>
      <c r="G30" s="971"/>
      <c r="H30" s="971"/>
      <c r="I30" s="868" t="str">
        <f>GlobBerMedDisc!W23</f>
        <v/>
      </c>
      <c r="J30" s="869" t="str">
        <f>IF(GlobBerMedDisc!C23&gt;1,GlobBerMedDisc!H23,"")</f>
        <v/>
      </c>
      <c r="K30" s="870" t="str">
        <f>IF(GlobBerMedDisc!C23&gt;1,GlobBerMedDisc!F23,"")</f>
        <v/>
      </c>
      <c r="L30" s="871">
        <f>GlobBerMedDisc!L23</f>
        <v>0</v>
      </c>
      <c r="M30" s="871" t="str">
        <f>GlobBerMedDisc!AM23</f>
        <v/>
      </c>
      <c r="N30" s="871" t="str">
        <f>IF(AND(GlobBerMedDisc!C23&gt;1,GlobBerMedDisc!O23&gt;1),GlobBerMedDisc!N23,"")</f>
        <v/>
      </c>
      <c r="O30" s="871" t="str">
        <f>IF(AND(GlobBerMedDisc!C23&gt;1,N30&lt;&gt;0,GlobBerMedDisc!O23&gt;1),"ml","")</f>
        <v/>
      </c>
      <c r="P30" s="871"/>
      <c r="Q30" s="871" t="str">
        <f>GlobBerMedDisc!AN23</f>
        <v/>
      </c>
      <c r="R30" s="871" t="str">
        <f>IF(AND(N30&lt;&gt;"",GlobBerMedDisc!Q23&gt;0),GlobBerMedDisc!Q23&amp;" min","")</f>
        <v/>
      </c>
      <c r="S30" s="872">
        <f>GlobBerMedDisc!AB23</f>
        <v>0</v>
      </c>
      <c r="T30" s="787"/>
      <c r="U30" s="787"/>
      <c r="V30" s="787"/>
      <c r="W30" s="787"/>
      <c r="X30" s="787"/>
      <c r="Y30" s="787"/>
    </row>
    <row r="31" spans="2:25" ht="20.100000000000001" customHeight="1" thickTop="1" thickBot="1" x14ac:dyDescent="0.25">
      <c r="B31" s="791" t="str">
        <f>GlobBerMedDisc!AL24</f>
        <v/>
      </c>
      <c r="C31" s="791" t="str">
        <f>GlobBerMedDisc!AO24</f>
        <v/>
      </c>
      <c r="D31" s="918">
        <v>23</v>
      </c>
      <c r="E31" s="970" t="str">
        <f>GlobBerMedDisc!AP24</f>
        <v/>
      </c>
      <c r="F31" s="971"/>
      <c r="G31" s="971"/>
      <c r="H31" s="971"/>
      <c r="I31" s="868" t="str">
        <f>GlobBerMedDisc!W24</f>
        <v/>
      </c>
      <c r="J31" s="869" t="str">
        <f>IF(GlobBerMedDisc!C24&gt;1,GlobBerMedDisc!H24,"")</f>
        <v/>
      </c>
      <c r="K31" s="870" t="str">
        <f>IF(GlobBerMedDisc!C24&gt;1,GlobBerMedDisc!F24,"")</f>
        <v/>
      </c>
      <c r="L31" s="871">
        <f>GlobBerMedDisc!L24</f>
        <v>0</v>
      </c>
      <c r="M31" s="871" t="str">
        <f>GlobBerMedDisc!AM24</f>
        <v/>
      </c>
      <c r="N31" s="871" t="str">
        <f>IF(AND(GlobBerMedDisc!C24&gt;1,GlobBerMedDisc!O24&gt;1),GlobBerMedDisc!N24,"")</f>
        <v/>
      </c>
      <c r="O31" s="871" t="str">
        <f>IF(AND(GlobBerMedDisc!C24&gt;1,N31&lt;&gt;0,GlobBerMedDisc!O24&gt;1),"ml","")</f>
        <v/>
      </c>
      <c r="P31" s="871"/>
      <c r="Q31" s="871" t="str">
        <f>GlobBerMedDisc!AN24</f>
        <v/>
      </c>
      <c r="R31" s="871" t="str">
        <f>IF(AND(N31&lt;&gt;"",GlobBerMedDisc!Q24&gt;0),GlobBerMedDisc!Q24&amp;" min","")</f>
        <v/>
      </c>
      <c r="S31" s="872">
        <f>GlobBerMedDisc!AB24</f>
        <v>0</v>
      </c>
      <c r="T31" s="787"/>
      <c r="U31" s="787"/>
      <c r="V31" s="787"/>
      <c r="W31" s="787"/>
      <c r="X31" s="787"/>
      <c r="Y31" s="787"/>
    </row>
    <row r="32" spans="2:25" ht="20.100000000000001" customHeight="1" thickTop="1" thickBot="1" x14ac:dyDescent="0.25">
      <c r="B32" s="791" t="str">
        <f>GlobBerMedDisc!AL25</f>
        <v/>
      </c>
      <c r="C32" s="791" t="str">
        <f>GlobBerMedDisc!AO25</f>
        <v/>
      </c>
      <c r="D32" s="918">
        <v>24</v>
      </c>
      <c r="E32" s="970" t="str">
        <f>GlobBerMedDisc!AP25</f>
        <v/>
      </c>
      <c r="F32" s="971"/>
      <c r="G32" s="971"/>
      <c r="H32" s="971"/>
      <c r="I32" s="868" t="str">
        <f>GlobBerMedDisc!W25</f>
        <v/>
      </c>
      <c r="J32" s="869" t="str">
        <f>IF(GlobBerMedDisc!C25&gt;1,GlobBerMedDisc!H25,"")</f>
        <v/>
      </c>
      <c r="K32" s="870" t="str">
        <f>IF(GlobBerMedDisc!C25&gt;1,GlobBerMedDisc!F25,"")</f>
        <v/>
      </c>
      <c r="L32" s="871">
        <f>GlobBerMedDisc!L25</f>
        <v>0</v>
      </c>
      <c r="M32" s="871" t="str">
        <f>GlobBerMedDisc!AM25</f>
        <v/>
      </c>
      <c r="N32" s="871" t="str">
        <f>IF(AND(GlobBerMedDisc!C25&gt;1,GlobBerMedDisc!O25&gt;1),GlobBerMedDisc!N25,"")</f>
        <v/>
      </c>
      <c r="O32" s="871" t="str">
        <f>IF(AND(GlobBerMedDisc!C25&gt;1,N32&lt;&gt;0,GlobBerMedDisc!O25&gt;1),"ml","")</f>
        <v/>
      </c>
      <c r="P32" s="871"/>
      <c r="Q32" s="871" t="str">
        <f>GlobBerMedDisc!AN25</f>
        <v/>
      </c>
      <c r="R32" s="871" t="str">
        <f>IF(AND(N32&lt;&gt;"",GlobBerMedDisc!Q25&gt;0),GlobBerMedDisc!Q25&amp;" min","")</f>
        <v/>
      </c>
      <c r="S32" s="872">
        <f>GlobBerMedDisc!AB25</f>
        <v>0</v>
      </c>
      <c r="T32" s="787"/>
      <c r="U32" s="787"/>
      <c r="V32" s="787"/>
      <c r="W32" s="787"/>
      <c r="X32" s="787"/>
      <c r="Y32" s="787"/>
    </row>
    <row r="33" spans="2:25" ht="20.100000000000001" customHeight="1" thickTop="1" thickBot="1" x14ac:dyDescent="0.25">
      <c r="B33" s="791" t="str">
        <f>GlobBerMedDisc!AL26</f>
        <v/>
      </c>
      <c r="C33" s="791" t="str">
        <f>GlobBerMedDisc!AO26</f>
        <v/>
      </c>
      <c r="D33" s="918">
        <v>25</v>
      </c>
      <c r="E33" s="970" t="str">
        <f>GlobBerMedDisc!AP26</f>
        <v/>
      </c>
      <c r="F33" s="971"/>
      <c r="G33" s="971"/>
      <c r="H33" s="971"/>
      <c r="I33" s="868" t="str">
        <f>GlobBerMedDisc!W26</f>
        <v/>
      </c>
      <c r="J33" s="869" t="str">
        <f>IF(GlobBerMedDisc!C26&gt;1,GlobBerMedDisc!H26,"")</f>
        <v/>
      </c>
      <c r="K33" s="870" t="str">
        <f>IF(GlobBerMedDisc!C26&gt;1,GlobBerMedDisc!F26,"")</f>
        <v/>
      </c>
      <c r="L33" s="871">
        <f>GlobBerMedDisc!L26</f>
        <v>0</v>
      </c>
      <c r="M33" s="871" t="str">
        <f>GlobBerMedDisc!AM26</f>
        <v/>
      </c>
      <c r="N33" s="871" t="str">
        <f>IF(AND(GlobBerMedDisc!C26&gt;1,GlobBerMedDisc!O26&gt;1),GlobBerMedDisc!N26,"")</f>
        <v/>
      </c>
      <c r="O33" s="871" t="str">
        <f>IF(AND(GlobBerMedDisc!C26&gt;1,N33&lt;&gt;0,GlobBerMedDisc!O26&gt;1),"ml","")</f>
        <v/>
      </c>
      <c r="P33" s="871"/>
      <c r="Q33" s="871" t="str">
        <f>GlobBerMedDisc!AN26</f>
        <v/>
      </c>
      <c r="R33" s="871" t="str">
        <f>IF(AND(N33&lt;&gt;"",GlobBerMedDisc!Q26&gt;0),GlobBerMedDisc!Q26&amp;" min","")</f>
        <v/>
      </c>
      <c r="S33" s="872">
        <f>GlobBerMedDisc!AB26</f>
        <v>0</v>
      </c>
      <c r="T33" s="787"/>
      <c r="U33" s="787"/>
      <c r="V33" s="787"/>
      <c r="W33" s="787"/>
      <c r="X33" s="787"/>
      <c r="Y33" s="787"/>
    </row>
    <row r="34" spans="2:25" ht="20.100000000000001" customHeight="1" thickTop="1" thickBot="1" x14ac:dyDescent="0.25">
      <c r="B34" s="791" t="str">
        <f>GlobBerMedDisc!AL27</f>
        <v/>
      </c>
      <c r="C34" s="791" t="str">
        <f>GlobBerMedDisc!AO27</f>
        <v/>
      </c>
      <c r="D34" s="918">
        <v>26</v>
      </c>
      <c r="E34" s="970" t="str">
        <f>GlobBerMedDisc!AP27</f>
        <v/>
      </c>
      <c r="F34" s="971"/>
      <c r="G34" s="971"/>
      <c r="H34" s="971"/>
      <c r="I34" s="868" t="str">
        <f>GlobBerMedDisc!W27</f>
        <v/>
      </c>
      <c r="J34" s="869" t="str">
        <f>IF(GlobBerMedDisc!C27&gt;1,GlobBerMedDisc!H27,"")</f>
        <v/>
      </c>
      <c r="K34" s="870" t="str">
        <f>IF(GlobBerMedDisc!C27&gt;1,GlobBerMedDisc!F27,"")</f>
        <v/>
      </c>
      <c r="L34" s="871">
        <f>GlobBerMedDisc!L27</f>
        <v>0</v>
      </c>
      <c r="M34" s="871" t="str">
        <f>GlobBerMedDisc!AM27</f>
        <v/>
      </c>
      <c r="N34" s="871" t="str">
        <f>IF(AND(GlobBerMedDisc!C27&gt;1,GlobBerMedDisc!O27&gt;1),GlobBerMedDisc!N27,"")</f>
        <v/>
      </c>
      <c r="O34" s="871" t="str">
        <f>IF(AND(GlobBerMedDisc!C27&gt;1,N34&lt;&gt;0,GlobBerMedDisc!O27&gt;1),"ml","")</f>
        <v/>
      </c>
      <c r="P34" s="871"/>
      <c r="Q34" s="871" t="str">
        <f>GlobBerMedDisc!AN27</f>
        <v/>
      </c>
      <c r="R34" s="871" t="str">
        <f>IF(AND(N34&lt;&gt;"",GlobBerMedDisc!Q27&gt;0),GlobBerMedDisc!Q27&amp;" min","")</f>
        <v/>
      </c>
      <c r="S34" s="872">
        <f>GlobBerMedDisc!AB27</f>
        <v>0</v>
      </c>
      <c r="T34" s="787"/>
      <c r="U34" s="787"/>
      <c r="V34" s="787"/>
      <c r="W34" s="787"/>
      <c r="X34" s="787"/>
      <c r="Y34" s="787"/>
    </row>
    <row r="35" spans="2:25" ht="20.100000000000001" customHeight="1" thickTop="1" thickBot="1" x14ac:dyDescent="0.25">
      <c r="B35" s="791" t="str">
        <f>GlobBerMedDisc!AL28</f>
        <v/>
      </c>
      <c r="C35" s="791" t="str">
        <f>GlobBerMedDisc!AO28</f>
        <v/>
      </c>
      <c r="D35" s="918">
        <v>27</v>
      </c>
      <c r="E35" s="970" t="str">
        <f>GlobBerMedDisc!AP28</f>
        <v/>
      </c>
      <c r="F35" s="971"/>
      <c r="G35" s="971"/>
      <c r="H35" s="971"/>
      <c r="I35" s="868" t="str">
        <f>GlobBerMedDisc!W28</f>
        <v/>
      </c>
      <c r="J35" s="869" t="str">
        <f>IF(GlobBerMedDisc!C28&gt;1,GlobBerMedDisc!H28,"")</f>
        <v/>
      </c>
      <c r="K35" s="870" t="str">
        <f>IF(GlobBerMedDisc!C28&gt;1,GlobBerMedDisc!F28,"")</f>
        <v/>
      </c>
      <c r="L35" s="871">
        <f>GlobBerMedDisc!L28</f>
        <v>0</v>
      </c>
      <c r="M35" s="871" t="str">
        <f>GlobBerMedDisc!AM28</f>
        <v/>
      </c>
      <c r="N35" s="871" t="str">
        <f>IF(AND(GlobBerMedDisc!C28&gt;1,GlobBerMedDisc!O28&gt;1),GlobBerMedDisc!N28,"")</f>
        <v/>
      </c>
      <c r="O35" s="871" t="str">
        <f>IF(AND(GlobBerMedDisc!C28&gt;1,N35&lt;&gt;0,GlobBerMedDisc!O28&gt;1),"ml","")</f>
        <v/>
      </c>
      <c r="P35" s="871"/>
      <c r="Q35" s="871" t="str">
        <f>GlobBerMedDisc!AN28</f>
        <v/>
      </c>
      <c r="R35" s="871" t="str">
        <f>IF(AND(N35&lt;&gt;"",GlobBerMedDisc!Q28&gt;0),GlobBerMedDisc!Q28&amp;" min","")</f>
        <v/>
      </c>
      <c r="S35" s="872">
        <f>GlobBerMedDisc!AB28</f>
        <v>0</v>
      </c>
      <c r="T35" s="787"/>
      <c r="U35" s="787"/>
      <c r="V35" s="787"/>
      <c r="W35" s="787"/>
      <c r="X35" s="787"/>
      <c r="Y35" s="787"/>
    </row>
    <row r="36" spans="2:25" ht="20.100000000000001" customHeight="1" thickTop="1" thickBot="1" x14ac:dyDescent="0.25">
      <c r="B36" s="791" t="str">
        <f>GlobBerMedDisc!AL29</f>
        <v/>
      </c>
      <c r="C36" s="791" t="str">
        <f>GlobBerMedDisc!AO29</f>
        <v/>
      </c>
      <c r="D36" s="918">
        <v>28</v>
      </c>
      <c r="E36" s="970" t="str">
        <f>GlobBerMedDisc!AP29</f>
        <v/>
      </c>
      <c r="F36" s="971"/>
      <c r="G36" s="971"/>
      <c r="H36" s="971"/>
      <c r="I36" s="868" t="str">
        <f>GlobBerMedDisc!W29</f>
        <v/>
      </c>
      <c r="J36" s="869" t="str">
        <f>IF(GlobBerMedDisc!C29&gt;1,GlobBerMedDisc!H29,"")</f>
        <v/>
      </c>
      <c r="K36" s="870" t="str">
        <f>IF(GlobBerMedDisc!C29&gt;1,GlobBerMedDisc!F29,"")</f>
        <v/>
      </c>
      <c r="L36" s="871">
        <f>GlobBerMedDisc!L29</f>
        <v>0</v>
      </c>
      <c r="M36" s="871" t="str">
        <f>GlobBerMedDisc!AM29</f>
        <v/>
      </c>
      <c r="N36" s="871" t="str">
        <f>IF(AND(GlobBerMedDisc!C29&gt;1,GlobBerMedDisc!O29&gt;1),GlobBerMedDisc!N29,"")</f>
        <v/>
      </c>
      <c r="O36" s="871" t="str">
        <f>IF(AND(GlobBerMedDisc!C29&gt;1,N36&lt;&gt;0,GlobBerMedDisc!O29&gt;1),"ml","")</f>
        <v/>
      </c>
      <c r="P36" s="871"/>
      <c r="Q36" s="871" t="str">
        <f>GlobBerMedDisc!AN29</f>
        <v/>
      </c>
      <c r="R36" s="871" t="str">
        <f>IF(AND(N36&lt;&gt;"",GlobBerMedDisc!Q29&gt;0),GlobBerMedDisc!Q29&amp;" min","")</f>
        <v/>
      </c>
      <c r="S36" s="872">
        <f>GlobBerMedDisc!AB29</f>
        <v>0</v>
      </c>
      <c r="T36" s="787"/>
      <c r="U36" s="787"/>
      <c r="V36" s="787"/>
      <c r="W36" s="787"/>
      <c r="X36" s="787"/>
      <c r="Y36" s="787"/>
    </row>
    <row r="37" spans="2:25" ht="20.100000000000001" customHeight="1" thickTop="1" thickBot="1" x14ac:dyDescent="0.25">
      <c r="B37" s="791" t="str">
        <f>GlobBerMedDisc!AL30</f>
        <v/>
      </c>
      <c r="C37" s="791" t="str">
        <f>GlobBerMedDisc!AO30</f>
        <v/>
      </c>
      <c r="D37" s="918">
        <v>29</v>
      </c>
      <c r="E37" s="970" t="str">
        <f>GlobBerMedDisc!AP30</f>
        <v/>
      </c>
      <c r="F37" s="971"/>
      <c r="G37" s="971"/>
      <c r="H37" s="971"/>
      <c r="I37" s="868" t="str">
        <f>GlobBerMedDisc!W30</f>
        <v/>
      </c>
      <c r="J37" s="869" t="str">
        <f>IF(GlobBerMedDisc!C30&gt;1,GlobBerMedDisc!H30,"")</f>
        <v/>
      </c>
      <c r="K37" s="870" t="str">
        <f>IF(GlobBerMedDisc!C30&gt;1,GlobBerMedDisc!F30,"")</f>
        <v/>
      </c>
      <c r="L37" s="871">
        <f>GlobBerMedDisc!L30</f>
        <v>0</v>
      </c>
      <c r="M37" s="871" t="str">
        <f>GlobBerMedDisc!AM30</f>
        <v/>
      </c>
      <c r="N37" s="871" t="str">
        <f>IF(AND(GlobBerMedDisc!C30&gt;1,GlobBerMedDisc!O30&gt;1),GlobBerMedDisc!N30,"")</f>
        <v/>
      </c>
      <c r="O37" s="871" t="str">
        <f>IF(AND(GlobBerMedDisc!C30&gt;1,N37&lt;&gt;0,GlobBerMedDisc!O30&gt;1),"ml","")</f>
        <v/>
      </c>
      <c r="P37" s="871"/>
      <c r="Q37" s="871" t="str">
        <f>GlobBerMedDisc!AN30</f>
        <v/>
      </c>
      <c r="R37" s="871" t="str">
        <f>IF(AND(N37&lt;&gt;"",GlobBerMedDisc!Q30&gt;0),GlobBerMedDisc!Q30&amp;" min","")</f>
        <v/>
      </c>
      <c r="S37" s="872">
        <f>GlobBerMedDisc!AB30</f>
        <v>0</v>
      </c>
      <c r="T37" s="787"/>
      <c r="U37" s="787"/>
      <c r="V37" s="787"/>
      <c r="W37" s="787"/>
      <c r="X37" s="787"/>
      <c r="Y37" s="787"/>
    </row>
    <row r="38" spans="2:25" ht="20.100000000000001" customHeight="1" thickTop="1" thickBot="1" x14ac:dyDescent="0.25">
      <c r="B38" s="791" t="str">
        <f>GlobBerMedDisc!AL31</f>
        <v/>
      </c>
      <c r="C38" s="791" t="str">
        <f>GlobBerMedDisc!AO31</f>
        <v/>
      </c>
      <c r="D38" s="918">
        <v>30</v>
      </c>
      <c r="E38" s="972" t="str">
        <f>GlobBerMedDisc!AP31</f>
        <v/>
      </c>
      <c r="F38" s="973"/>
      <c r="G38" s="973"/>
      <c r="H38" s="973"/>
      <c r="I38" s="873" t="str">
        <f>GlobBerMedDisc!W31</f>
        <v/>
      </c>
      <c r="J38" s="874" t="str">
        <f>IF(GlobBerMedDisc!C31&gt;1,GlobBerMedDisc!H31,"")</f>
        <v/>
      </c>
      <c r="K38" s="875" t="str">
        <f>IF(GlobBerMedDisc!C31&gt;1,GlobBerMedDisc!F31,"")</f>
        <v/>
      </c>
      <c r="L38" s="876">
        <f>GlobBerMedDisc!L31</f>
        <v>0</v>
      </c>
      <c r="M38" s="876" t="str">
        <f>GlobBerMedDisc!AM31</f>
        <v/>
      </c>
      <c r="N38" s="876" t="str">
        <f>IF(AND(GlobBerMedDisc!C31&gt;1,GlobBerMedDisc!O31&gt;1),GlobBerMedDisc!N31,"")</f>
        <v/>
      </c>
      <c r="O38" s="876" t="str">
        <f>IF(AND(GlobBerMedDisc!C31&gt;1,N38&lt;&gt;0,GlobBerMedDisc!O31&gt;1),"ml","")</f>
        <v/>
      </c>
      <c r="P38" s="876"/>
      <c r="Q38" s="876" t="str">
        <f>GlobBerMedDisc!AN31</f>
        <v/>
      </c>
      <c r="R38" s="876" t="str">
        <f>IF(AND(N38&lt;&gt;"",GlobBerMedDisc!Q31&gt;0),GlobBerMedDisc!Q31&amp;" min","")</f>
        <v/>
      </c>
      <c r="S38" s="877">
        <f>GlobBerMedDisc!AB31</f>
        <v>0</v>
      </c>
      <c r="T38" s="787"/>
      <c r="U38" s="787"/>
      <c r="V38" s="787"/>
      <c r="W38" s="787"/>
      <c r="X38" s="787"/>
      <c r="Y38" s="787"/>
    </row>
    <row r="39" spans="2:25" ht="13.5" thickTop="1" x14ac:dyDescent="0.2">
      <c r="B39" s="794"/>
      <c r="C39" s="794"/>
      <c r="D39" s="794"/>
      <c r="E39" s="794"/>
      <c r="F39" s="794"/>
      <c r="G39" s="794"/>
      <c r="H39" s="794"/>
      <c r="I39" s="794"/>
      <c r="J39" s="794"/>
      <c r="K39" s="794"/>
      <c r="L39" s="794"/>
      <c r="M39" s="794"/>
      <c r="N39" s="794"/>
      <c r="O39" s="794"/>
      <c r="P39" s="794"/>
      <c r="Q39" s="794"/>
    </row>
    <row r="40" spans="2:25" x14ac:dyDescent="0.2">
      <c r="B40" s="794"/>
      <c r="C40" s="794"/>
      <c r="D40" s="794"/>
      <c r="E40" s="794"/>
      <c r="F40" s="794"/>
      <c r="G40" s="794"/>
      <c r="H40" s="794"/>
      <c r="I40" s="794"/>
      <c r="J40" s="794"/>
      <c r="K40" s="794"/>
      <c r="L40" s="794"/>
      <c r="M40" s="794"/>
      <c r="N40" s="794"/>
      <c r="O40" s="794"/>
      <c r="P40" s="794"/>
      <c r="Q40" s="794"/>
      <c r="R40" s="794"/>
    </row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E29:H29"/>
    <mergeCell ref="E30:H30"/>
    <mergeCell ref="E9:H9"/>
    <mergeCell ref="E10:H10"/>
    <mergeCell ref="E15:H15"/>
    <mergeCell ref="E14:H14"/>
    <mergeCell ref="E13:H13"/>
    <mergeCell ref="E12:H12"/>
    <mergeCell ref="E11:H11"/>
    <mergeCell ref="E20:H20"/>
    <mergeCell ref="E19:H19"/>
    <mergeCell ref="E18:H18"/>
    <mergeCell ref="E17:H17"/>
    <mergeCell ref="E16:H16"/>
    <mergeCell ref="E23:H23"/>
    <mergeCell ref="E22:H22"/>
    <mergeCell ref="E21:H21"/>
    <mergeCell ref="E28:H28"/>
    <mergeCell ref="E24:H24"/>
    <mergeCell ref="E25:H25"/>
    <mergeCell ref="E26:H26"/>
    <mergeCell ref="E27:H27"/>
    <mergeCell ref="E36:H36"/>
    <mergeCell ref="E37:H37"/>
    <mergeCell ref="E38:H38"/>
    <mergeCell ref="E31:H31"/>
    <mergeCell ref="E32:H32"/>
    <mergeCell ref="E33:H33"/>
    <mergeCell ref="E34:H34"/>
    <mergeCell ref="E35:H35"/>
  </mergeCells>
  <phoneticPr fontId="28" type="noConversion"/>
  <pageMargins left="0.75" right="0.75" top="1" bottom="1" header="0.5" footer="0.5"/>
  <pageSetup paperSize="9" orientation="landscape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8</xdr:col>
                    <xdr:colOff>495300</xdr:colOff>
                    <xdr:row>8</xdr:row>
                    <xdr:rowOff>9525</xdr:rowOff>
                  </from>
                  <to>
                    <xdr:col>8</xdr:col>
                    <xdr:colOff>628650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10</xdr:col>
                    <xdr:colOff>0</xdr:colOff>
                    <xdr:row>8</xdr:row>
                    <xdr:rowOff>9525</xdr:rowOff>
                  </from>
                  <to>
                    <xdr:col>10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15</xdr:col>
                    <xdr:colOff>733425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14</xdr:col>
                    <xdr:colOff>323850</xdr:colOff>
                    <xdr:row>8</xdr:row>
                    <xdr:rowOff>9525</xdr:rowOff>
                  </from>
                  <to>
                    <xdr:col>14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10</xdr:col>
                    <xdr:colOff>0</xdr:colOff>
                    <xdr:row>9</xdr:row>
                    <xdr:rowOff>9525</xdr:rowOff>
                  </from>
                  <to>
                    <xdr:col>10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247650</xdr:rowOff>
                  </from>
                  <to>
                    <xdr:col>15</xdr:col>
                    <xdr:colOff>733425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14</xdr:col>
                    <xdr:colOff>323850</xdr:colOff>
                    <xdr:row>9</xdr:row>
                    <xdr:rowOff>9525</xdr:rowOff>
                  </from>
                  <to>
                    <xdr:col>14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8</xdr:col>
                    <xdr:colOff>495300</xdr:colOff>
                    <xdr:row>10</xdr:row>
                    <xdr:rowOff>9525</xdr:rowOff>
                  </from>
                  <to>
                    <xdr:col>8</xdr:col>
                    <xdr:colOff>628650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10</xdr:col>
                    <xdr:colOff>0</xdr:colOff>
                    <xdr:row>10</xdr:row>
                    <xdr:rowOff>9525</xdr:rowOff>
                  </from>
                  <to>
                    <xdr:col>10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28575</xdr:rowOff>
                  </from>
                  <to>
                    <xdr:col>15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14</xdr:col>
                    <xdr:colOff>323850</xdr:colOff>
                    <xdr:row>10</xdr:row>
                    <xdr:rowOff>9525</xdr:rowOff>
                  </from>
                  <to>
                    <xdr:col>14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8</xdr:col>
                    <xdr:colOff>495300</xdr:colOff>
                    <xdr:row>11</xdr:row>
                    <xdr:rowOff>9525</xdr:rowOff>
                  </from>
                  <to>
                    <xdr:col>8</xdr:col>
                    <xdr:colOff>628650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10</xdr:col>
                    <xdr:colOff>0</xdr:colOff>
                    <xdr:row>11</xdr:row>
                    <xdr:rowOff>9525</xdr:rowOff>
                  </from>
                  <to>
                    <xdr:col>10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247650</xdr:rowOff>
                  </from>
                  <to>
                    <xdr:col>15</xdr:col>
                    <xdr:colOff>733425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14</xdr:col>
                    <xdr:colOff>323850</xdr:colOff>
                    <xdr:row>11</xdr:row>
                    <xdr:rowOff>9525</xdr:rowOff>
                  </from>
                  <to>
                    <xdr:col>14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8</xdr:col>
                    <xdr:colOff>495300</xdr:colOff>
                    <xdr:row>12</xdr:row>
                    <xdr:rowOff>9525</xdr:rowOff>
                  </from>
                  <to>
                    <xdr:col>8</xdr:col>
                    <xdr:colOff>628650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10</xdr:col>
                    <xdr:colOff>0</xdr:colOff>
                    <xdr:row>12</xdr:row>
                    <xdr:rowOff>9525</xdr:rowOff>
                  </from>
                  <to>
                    <xdr:col>10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15</xdr:col>
                    <xdr:colOff>0</xdr:colOff>
                    <xdr:row>11</xdr:row>
                    <xdr:rowOff>247650</xdr:rowOff>
                  </from>
                  <to>
                    <xdr:col>15</xdr:col>
                    <xdr:colOff>733425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14</xdr:col>
                    <xdr:colOff>323850</xdr:colOff>
                    <xdr:row>12</xdr:row>
                    <xdr:rowOff>9525</xdr:rowOff>
                  </from>
                  <to>
                    <xdr:col>14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8</xdr:col>
                    <xdr:colOff>495300</xdr:colOff>
                    <xdr:row>13</xdr:row>
                    <xdr:rowOff>9525</xdr:rowOff>
                  </from>
                  <to>
                    <xdr:col>8</xdr:col>
                    <xdr:colOff>628650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10</xdr:col>
                    <xdr:colOff>0</xdr:colOff>
                    <xdr:row>13</xdr:row>
                    <xdr:rowOff>9525</xdr:rowOff>
                  </from>
                  <to>
                    <xdr:col>10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15</xdr:col>
                    <xdr:colOff>0</xdr:colOff>
                    <xdr:row>12</xdr:row>
                    <xdr:rowOff>247650</xdr:rowOff>
                  </from>
                  <to>
                    <xdr:col>15</xdr:col>
                    <xdr:colOff>733425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14</xdr:col>
                    <xdr:colOff>323850</xdr:colOff>
                    <xdr:row>13</xdr:row>
                    <xdr:rowOff>9525</xdr:rowOff>
                  </from>
                  <to>
                    <xdr:col>14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8</xdr:col>
                    <xdr:colOff>495300</xdr:colOff>
                    <xdr:row>14</xdr:row>
                    <xdr:rowOff>9525</xdr:rowOff>
                  </from>
                  <to>
                    <xdr:col>8</xdr:col>
                    <xdr:colOff>628650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10</xdr:col>
                    <xdr:colOff>0</xdr:colOff>
                    <xdr:row>14</xdr:row>
                    <xdr:rowOff>9525</xdr:rowOff>
                  </from>
                  <to>
                    <xdr:col>10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15</xdr:col>
                    <xdr:colOff>0</xdr:colOff>
                    <xdr:row>13</xdr:row>
                    <xdr:rowOff>238125</xdr:rowOff>
                  </from>
                  <to>
                    <xdr:col>15</xdr:col>
                    <xdr:colOff>733425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14</xdr:col>
                    <xdr:colOff>323850</xdr:colOff>
                    <xdr:row>14</xdr:row>
                    <xdr:rowOff>9525</xdr:rowOff>
                  </from>
                  <to>
                    <xdr:col>14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8</xdr:col>
                    <xdr:colOff>495300</xdr:colOff>
                    <xdr:row>15</xdr:row>
                    <xdr:rowOff>9525</xdr:rowOff>
                  </from>
                  <to>
                    <xdr:col>8</xdr:col>
                    <xdr:colOff>628650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10</xdr:col>
                    <xdr:colOff>0</xdr:colOff>
                    <xdr:row>15</xdr:row>
                    <xdr:rowOff>9525</xdr:rowOff>
                  </from>
                  <to>
                    <xdr:col>10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15</xdr:col>
                    <xdr:colOff>0</xdr:colOff>
                    <xdr:row>14</xdr:row>
                    <xdr:rowOff>238125</xdr:rowOff>
                  </from>
                  <to>
                    <xdr:col>15</xdr:col>
                    <xdr:colOff>733425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14</xdr:col>
                    <xdr:colOff>323850</xdr:colOff>
                    <xdr:row>15</xdr:row>
                    <xdr:rowOff>9525</xdr:rowOff>
                  </from>
                  <to>
                    <xdr:col>14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8</xdr:col>
                    <xdr:colOff>495300</xdr:colOff>
                    <xdr:row>16</xdr:row>
                    <xdr:rowOff>9525</xdr:rowOff>
                  </from>
                  <to>
                    <xdr:col>8</xdr:col>
                    <xdr:colOff>628650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10</xdr:col>
                    <xdr:colOff>0</xdr:colOff>
                    <xdr:row>16</xdr:row>
                    <xdr:rowOff>9525</xdr:rowOff>
                  </from>
                  <to>
                    <xdr:col>10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15</xdr:col>
                    <xdr:colOff>0</xdr:colOff>
                    <xdr:row>15</xdr:row>
                    <xdr:rowOff>238125</xdr:rowOff>
                  </from>
                  <to>
                    <xdr:col>15</xdr:col>
                    <xdr:colOff>733425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14</xdr:col>
                    <xdr:colOff>323850</xdr:colOff>
                    <xdr:row>16</xdr:row>
                    <xdr:rowOff>9525</xdr:rowOff>
                  </from>
                  <to>
                    <xdr:col>14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8</xdr:col>
                    <xdr:colOff>495300</xdr:colOff>
                    <xdr:row>17</xdr:row>
                    <xdr:rowOff>9525</xdr:rowOff>
                  </from>
                  <to>
                    <xdr:col>8</xdr:col>
                    <xdr:colOff>628650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10</xdr:col>
                    <xdr:colOff>0</xdr:colOff>
                    <xdr:row>17</xdr:row>
                    <xdr:rowOff>9525</xdr:rowOff>
                  </from>
                  <to>
                    <xdr:col>10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15</xdr:col>
                    <xdr:colOff>0</xdr:colOff>
                    <xdr:row>16</xdr:row>
                    <xdr:rowOff>238125</xdr:rowOff>
                  </from>
                  <to>
                    <xdr:col>15</xdr:col>
                    <xdr:colOff>733425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14</xdr:col>
                    <xdr:colOff>323850</xdr:colOff>
                    <xdr:row>17</xdr:row>
                    <xdr:rowOff>9525</xdr:rowOff>
                  </from>
                  <to>
                    <xdr:col>14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8</xdr:col>
                    <xdr:colOff>495300</xdr:colOff>
                    <xdr:row>18</xdr:row>
                    <xdr:rowOff>9525</xdr:rowOff>
                  </from>
                  <to>
                    <xdr:col>8</xdr:col>
                    <xdr:colOff>628650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10</xdr:col>
                    <xdr:colOff>0</xdr:colOff>
                    <xdr:row>18</xdr:row>
                    <xdr:rowOff>9525</xdr:rowOff>
                  </from>
                  <to>
                    <xdr:col>10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15</xdr:col>
                    <xdr:colOff>0</xdr:colOff>
                    <xdr:row>17</xdr:row>
                    <xdr:rowOff>238125</xdr:rowOff>
                  </from>
                  <to>
                    <xdr:col>15</xdr:col>
                    <xdr:colOff>733425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14</xdr:col>
                    <xdr:colOff>323850</xdr:colOff>
                    <xdr:row>18</xdr:row>
                    <xdr:rowOff>9525</xdr:rowOff>
                  </from>
                  <to>
                    <xdr:col>14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8</xdr:col>
                    <xdr:colOff>495300</xdr:colOff>
                    <xdr:row>19</xdr:row>
                    <xdr:rowOff>9525</xdr:rowOff>
                  </from>
                  <to>
                    <xdr:col>8</xdr:col>
                    <xdr:colOff>628650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10</xdr:col>
                    <xdr:colOff>0</xdr:colOff>
                    <xdr:row>19</xdr:row>
                    <xdr:rowOff>9525</xdr:rowOff>
                  </from>
                  <to>
                    <xdr:col>10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15</xdr:col>
                    <xdr:colOff>0</xdr:colOff>
                    <xdr:row>18</xdr:row>
                    <xdr:rowOff>238125</xdr:rowOff>
                  </from>
                  <to>
                    <xdr:col>15</xdr:col>
                    <xdr:colOff>733425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14</xdr:col>
                    <xdr:colOff>323850</xdr:colOff>
                    <xdr:row>19</xdr:row>
                    <xdr:rowOff>9525</xdr:rowOff>
                  </from>
                  <to>
                    <xdr:col>14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8</xdr:col>
                    <xdr:colOff>495300</xdr:colOff>
                    <xdr:row>20</xdr:row>
                    <xdr:rowOff>9525</xdr:rowOff>
                  </from>
                  <to>
                    <xdr:col>8</xdr:col>
                    <xdr:colOff>628650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10</xdr:col>
                    <xdr:colOff>0</xdr:colOff>
                    <xdr:row>20</xdr:row>
                    <xdr:rowOff>9525</xdr:rowOff>
                  </from>
                  <to>
                    <xdr:col>10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15</xdr:col>
                    <xdr:colOff>0</xdr:colOff>
                    <xdr:row>19</xdr:row>
                    <xdr:rowOff>238125</xdr:rowOff>
                  </from>
                  <to>
                    <xdr:col>15</xdr:col>
                    <xdr:colOff>733425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14</xdr:col>
                    <xdr:colOff>323850</xdr:colOff>
                    <xdr:row>20</xdr:row>
                    <xdr:rowOff>9525</xdr:rowOff>
                  </from>
                  <to>
                    <xdr:col>14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8</xdr:col>
                    <xdr:colOff>495300</xdr:colOff>
                    <xdr:row>21</xdr:row>
                    <xdr:rowOff>9525</xdr:rowOff>
                  </from>
                  <to>
                    <xdr:col>8</xdr:col>
                    <xdr:colOff>628650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10</xdr:col>
                    <xdr:colOff>0</xdr:colOff>
                    <xdr:row>21</xdr:row>
                    <xdr:rowOff>9525</xdr:rowOff>
                  </from>
                  <to>
                    <xdr:col>10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15</xdr:col>
                    <xdr:colOff>0</xdr:colOff>
                    <xdr:row>20</xdr:row>
                    <xdr:rowOff>238125</xdr:rowOff>
                  </from>
                  <to>
                    <xdr:col>15</xdr:col>
                    <xdr:colOff>733425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14</xdr:col>
                    <xdr:colOff>323850</xdr:colOff>
                    <xdr:row>21</xdr:row>
                    <xdr:rowOff>9525</xdr:rowOff>
                  </from>
                  <to>
                    <xdr:col>14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8</xdr:col>
                    <xdr:colOff>495300</xdr:colOff>
                    <xdr:row>22</xdr:row>
                    <xdr:rowOff>9525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10</xdr:col>
                    <xdr:colOff>0</xdr:colOff>
                    <xdr:row>22</xdr:row>
                    <xdr:rowOff>9525</xdr:rowOff>
                  </from>
                  <to>
                    <xdr:col>10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15</xdr:col>
                    <xdr:colOff>0</xdr:colOff>
                    <xdr:row>21</xdr:row>
                    <xdr:rowOff>238125</xdr:rowOff>
                  </from>
                  <to>
                    <xdr:col>15</xdr:col>
                    <xdr:colOff>733425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14</xdr:col>
                    <xdr:colOff>323850</xdr:colOff>
                    <xdr:row>22</xdr:row>
                    <xdr:rowOff>9525</xdr:rowOff>
                  </from>
                  <to>
                    <xdr:col>14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8</xdr:col>
                    <xdr:colOff>495300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10</xdr:col>
                    <xdr:colOff>0</xdr:colOff>
                    <xdr:row>23</xdr:row>
                    <xdr:rowOff>9525</xdr:rowOff>
                  </from>
                  <to>
                    <xdr:col>10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15</xdr:col>
                    <xdr:colOff>0</xdr:colOff>
                    <xdr:row>22</xdr:row>
                    <xdr:rowOff>238125</xdr:rowOff>
                  </from>
                  <to>
                    <xdr:col>15</xdr:col>
                    <xdr:colOff>733425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14</xdr:col>
                    <xdr:colOff>323850</xdr:colOff>
                    <xdr:row>23</xdr:row>
                    <xdr:rowOff>9525</xdr:rowOff>
                  </from>
                  <to>
                    <xdr:col>14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8</xdr:col>
                    <xdr:colOff>495300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10</xdr:col>
                    <xdr:colOff>0</xdr:colOff>
                    <xdr:row>24</xdr:row>
                    <xdr:rowOff>9525</xdr:rowOff>
                  </from>
                  <to>
                    <xdr:col>10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15</xdr:col>
                    <xdr:colOff>0</xdr:colOff>
                    <xdr:row>23</xdr:row>
                    <xdr:rowOff>238125</xdr:rowOff>
                  </from>
                  <to>
                    <xdr:col>15</xdr:col>
                    <xdr:colOff>733425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14</xdr:col>
                    <xdr:colOff>323850</xdr:colOff>
                    <xdr:row>24</xdr:row>
                    <xdr:rowOff>9525</xdr:rowOff>
                  </from>
                  <to>
                    <xdr:col>14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8</xdr:col>
                    <xdr:colOff>495300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10</xdr:col>
                    <xdr:colOff>0</xdr:colOff>
                    <xdr:row>25</xdr:row>
                    <xdr:rowOff>9525</xdr:rowOff>
                  </from>
                  <to>
                    <xdr:col>10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15</xdr:col>
                    <xdr:colOff>0</xdr:colOff>
                    <xdr:row>24</xdr:row>
                    <xdr:rowOff>238125</xdr:rowOff>
                  </from>
                  <to>
                    <xdr:col>15</xdr:col>
                    <xdr:colOff>733425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14</xdr:col>
                    <xdr:colOff>323850</xdr:colOff>
                    <xdr:row>25</xdr:row>
                    <xdr:rowOff>9525</xdr:rowOff>
                  </from>
                  <to>
                    <xdr:col>14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8</xdr:col>
                    <xdr:colOff>495300</xdr:colOff>
                    <xdr:row>26</xdr:row>
                    <xdr:rowOff>9525</xdr:rowOff>
                  </from>
                  <to>
                    <xdr:col>8</xdr:col>
                    <xdr:colOff>628650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10</xdr:col>
                    <xdr:colOff>0</xdr:colOff>
                    <xdr:row>26</xdr:row>
                    <xdr:rowOff>9525</xdr:rowOff>
                  </from>
                  <to>
                    <xdr:col>10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15</xdr:col>
                    <xdr:colOff>0</xdr:colOff>
                    <xdr:row>25</xdr:row>
                    <xdr:rowOff>228600</xdr:rowOff>
                  </from>
                  <to>
                    <xdr:col>15</xdr:col>
                    <xdr:colOff>733425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14</xdr:col>
                    <xdr:colOff>323850</xdr:colOff>
                    <xdr:row>26</xdr:row>
                    <xdr:rowOff>9525</xdr:rowOff>
                  </from>
                  <to>
                    <xdr:col>14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8</xdr:col>
                    <xdr:colOff>495300</xdr:colOff>
                    <xdr:row>27</xdr:row>
                    <xdr:rowOff>9525</xdr:rowOff>
                  </from>
                  <to>
                    <xdr:col>8</xdr:col>
                    <xdr:colOff>628650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10</xdr:col>
                    <xdr:colOff>0</xdr:colOff>
                    <xdr:row>27</xdr:row>
                    <xdr:rowOff>9525</xdr:rowOff>
                  </from>
                  <to>
                    <xdr:col>10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15</xdr:col>
                    <xdr:colOff>0</xdr:colOff>
                    <xdr:row>26</xdr:row>
                    <xdr:rowOff>228600</xdr:rowOff>
                  </from>
                  <to>
                    <xdr:col>15</xdr:col>
                    <xdr:colOff>733425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14</xdr:col>
                    <xdr:colOff>323850</xdr:colOff>
                    <xdr:row>27</xdr:row>
                    <xdr:rowOff>9525</xdr:rowOff>
                  </from>
                  <to>
                    <xdr:col>14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8</xdr:col>
                    <xdr:colOff>495300</xdr:colOff>
                    <xdr:row>9</xdr:row>
                    <xdr:rowOff>9525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17</xdr:col>
                    <xdr:colOff>504825</xdr:colOff>
                    <xdr:row>8</xdr:row>
                    <xdr:rowOff>9525</xdr:rowOff>
                  </from>
                  <to>
                    <xdr:col>18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17</xdr:col>
                    <xdr:colOff>504825</xdr:colOff>
                    <xdr:row>9</xdr:row>
                    <xdr:rowOff>9525</xdr:rowOff>
                  </from>
                  <to>
                    <xdr:col>18</xdr:col>
                    <xdr:colOff>28575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17</xdr:col>
                    <xdr:colOff>504825</xdr:colOff>
                    <xdr:row>10</xdr:row>
                    <xdr:rowOff>9525</xdr:rowOff>
                  </from>
                  <to>
                    <xdr:col>18</xdr:col>
                    <xdr:colOff>28575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17</xdr:col>
                    <xdr:colOff>504825</xdr:colOff>
                    <xdr:row>11</xdr:row>
                    <xdr:rowOff>9525</xdr:rowOff>
                  </from>
                  <to>
                    <xdr:col>18</xdr:col>
                    <xdr:colOff>28575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17</xdr:col>
                    <xdr:colOff>504825</xdr:colOff>
                    <xdr:row>12</xdr:row>
                    <xdr:rowOff>9525</xdr:rowOff>
                  </from>
                  <to>
                    <xdr:col>18</xdr:col>
                    <xdr:colOff>28575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17</xdr:col>
                    <xdr:colOff>504825</xdr:colOff>
                    <xdr:row>13</xdr:row>
                    <xdr:rowOff>9525</xdr:rowOff>
                  </from>
                  <to>
                    <xdr:col>18</xdr:col>
                    <xdr:colOff>28575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17</xdr:col>
                    <xdr:colOff>504825</xdr:colOff>
                    <xdr:row>14</xdr:row>
                    <xdr:rowOff>9525</xdr:rowOff>
                  </from>
                  <to>
                    <xdr:col>18</xdr:col>
                    <xdr:colOff>28575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17</xdr:col>
                    <xdr:colOff>504825</xdr:colOff>
                    <xdr:row>15</xdr:row>
                    <xdr:rowOff>9525</xdr:rowOff>
                  </from>
                  <to>
                    <xdr:col>18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17</xdr:col>
                    <xdr:colOff>504825</xdr:colOff>
                    <xdr:row>16</xdr:row>
                    <xdr:rowOff>9525</xdr:rowOff>
                  </from>
                  <to>
                    <xdr:col>18</xdr:col>
                    <xdr:colOff>28575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17</xdr:col>
                    <xdr:colOff>504825</xdr:colOff>
                    <xdr:row>17</xdr:row>
                    <xdr:rowOff>9525</xdr:rowOff>
                  </from>
                  <to>
                    <xdr:col>18</xdr:col>
                    <xdr:colOff>28575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17</xdr:col>
                    <xdr:colOff>504825</xdr:colOff>
                    <xdr:row>18</xdr:row>
                    <xdr:rowOff>9525</xdr:rowOff>
                  </from>
                  <to>
                    <xdr:col>18</xdr:col>
                    <xdr:colOff>28575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17</xdr:col>
                    <xdr:colOff>504825</xdr:colOff>
                    <xdr:row>19</xdr:row>
                    <xdr:rowOff>9525</xdr:rowOff>
                  </from>
                  <to>
                    <xdr:col>18</xdr:col>
                    <xdr:colOff>28575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17</xdr:col>
                    <xdr:colOff>504825</xdr:colOff>
                    <xdr:row>20</xdr:row>
                    <xdr:rowOff>9525</xdr:rowOff>
                  </from>
                  <to>
                    <xdr:col>18</xdr:col>
                    <xdr:colOff>28575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17</xdr:col>
                    <xdr:colOff>504825</xdr:colOff>
                    <xdr:row>21</xdr:row>
                    <xdr:rowOff>9525</xdr:rowOff>
                  </from>
                  <to>
                    <xdr:col>18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17</xdr:col>
                    <xdr:colOff>504825</xdr:colOff>
                    <xdr:row>22</xdr:row>
                    <xdr:rowOff>9525</xdr:rowOff>
                  </from>
                  <to>
                    <xdr:col>18</xdr:col>
                    <xdr:colOff>28575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17</xdr:col>
                    <xdr:colOff>504825</xdr:colOff>
                    <xdr:row>23</xdr:row>
                    <xdr:rowOff>9525</xdr:rowOff>
                  </from>
                  <to>
                    <xdr:col>18</xdr:col>
                    <xdr:colOff>28575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17</xdr:col>
                    <xdr:colOff>504825</xdr:colOff>
                    <xdr:row>24</xdr:row>
                    <xdr:rowOff>9525</xdr:rowOff>
                  </from>
                  <to>
                    <xdr:col>18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17</xdr:col>
                    <xdr:colOff>504825</xdr:colOff>
                    <xdr:row>25</xdr:row>
                    <xdr:rowOff>9525</xdr:rowOff>
                  </from>
                  <to>
                    <xdr:col>18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17</xdr:col>
                    <xdr:colOff>504825</xdr:colOff>
                    <xdr:row>26</xdr:row>
                    <xdr:rowOff>9525</xdr:rowOff>
                  </from>
                  <to>
                    <xdr:col>18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17</xdr:col>
                    <xdr:colOff>504825</xdr:colOff>
                    <xdr:row>27</xdr:row>
                    <xdr:rowOff>9525</xdr:rowOff>
                  </from>
                  <to>
                    <xdr:col>18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15</xdr:col>
                    <xdr:colOff>0</xdr:colOff>
                    <xdr:row>9</xdr:row>
                    <xdr:rowOff>247650</xdr:rowOff>
                  </from>
                  <to>
                    <xdr:col>15</xdr:col>
                    <xdr:colOff>733425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15</xdr:col>
                    <xdr:colOff>0</xdr:colOff>
                    <xdr:row>27</xdr:row>
                    <xdr:rowOff>228600</xdr:rowOff>
                  </from>
                  <to>
                    <xdr:col>15</xdr:col>
                    <xdr:colOff>733425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8</xdr:col>
                    <xdr:colOff>495300</xdr:colOff>
                    <xdr:row>28</xdr:row>
                    <xdr:rowOff>9525</xdr:rowOff>
                  </from>
                  <to>
                    <xdr:col>8</xdr:col>
                    <xdr:colOff>628650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10</xdr:col>
                    <xdr:colOff>0</xdr:colOff>
                    <xdr:row>28</xdr:row>
                    <xdr:rowOff>9525</xdr:rowOff>
                  </from>
                  <to>
                    <xdr:col>10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14</xdr:col>
                    <xdr:colOff>323850</xdr:colOff>
                    <xdr:row>28</xdr:row>
                    <xdr:rowOff>9525</xdr:rowOff>
                  </from>
                  <to>
                    <xdr:col>14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17</xdr:col>
                    <xdr:colOff>504825</xdr:colOff>
                    <xdr:row>28</xdr:row>
                    <xdr:rowOff>9525</xdr:rowOff>
                  </from>
                  <to>
                    <xdr:col>18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228600</xdr:rowOff>
                  </from>
                  <to>
                    <xdr:col>15</xdr:col>
                    <xdr:colOff>733425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8</xdr:col>
                    <xdr:colOff>495300</xdr:colOff>
                    <xdr:row>29</xdr:row>
                    <xdr:rowOff>9525</xdr:rowOff>
                  </from>
                  <to>
                    <xdr:col>8</xdr:col>
                    <xdr:colOff>628650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10</xdr:col>
                    <xdr:colOff>0</xdr:colOff>
                    <xdr:row>29</xdr:row>
                    <xdr:rowOff>9525</xdr:rowOff>
                  </from>
                  <to>
                    <xdr:col>10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14</xdr:col>
                    <xdr:colOff>323850</xdr:colOff>
                    <xdr:row>29</xdr:row>
                    <xdr:rowOff>9525</xdr:rowOff>
                  </from>
                  <to>
                    <xdr:col>14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17</xdr:col>
                    <xdr:colOff>504825</xdr:colOff>
                    <xdr:row>29</xdr:row>
                    <xdr:rowOff>9525</xdr:rowOff>
                  </from>
                  <to>
                    <xdr:col>18</xdr:col>
                    <xdr:colOff>28575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228600</xdr:rowOff>
                  </from>
                  <to>
                    <xdr:col>15</xdr:col>
                    <xdr:colOff>733425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8</xdr:col>
                    <xdr:colOff>495300</xdr:colOff>
                    <xdr:row>30</xdr:row>
                    <xdr:rowOff>9525</xdr:rowOff>
                  </from>
                  <to>
                    <xdr:col>8</xdr:col>
                    <xdr:colOff>628650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10</xdr:col>
                    <xdr:colOff>0</xdr:colOff>
                    <xdr:row>30</xdr:row>
                    <xdr:rowOff>9525</xdr:rowOff>
                  </from>
                  <to>
                    <xdr:col>10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14</xdr:col>
                    <xdr:colOff>323850</xdr:colOff>
                    <xdr:row>30</xdr:row>
                    <xdr:rowOff>9525</xdr:rowOff>
                  </from>
                  <to>
                    <xdr:col>14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17</xdr:col>
                    <xdr:colOff>504825</xdr:colOff>
                    <xdr:row>30</xdr:row>
                    <xdr:rowOff>9525</xdr:rowOff>
                  </from>
                  <to>
                    <xdr:col>18</xdr:col>
                    <xdr:colOff>28575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228600</xdr:rowOff>
                  </from>
                  <to>
                    <xdr:col>15</xdr:col>
                    <xdr:colOff>733425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8</xdr:col>
                    <xdr:colOff>495300</xdr:colOff>
                    <xdr:row>31</xdr:row>
                    <xdr:rowOff>9525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10</xdr:col>
                    <xdr:colOff>0</xdr:colOff>
                    <xdr:row>31</xdr:row>
                    <xdr:rowOff>9525</xdr:rowOff>
                  </from>
                  <to>
                    <xdr:col>10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14</xdr:col>
                    <xdr:colOff>323850</xdr:colOff>
                    <xdr:row>31</xdr:row>
                    <xdr:rowOff>9525</xdr:rowOff>
                  </from>
                  <to>
                    <xdr:col>14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17</xdr:col>
                    <xdr:colOff>504825</xdr:colOff>
                    <xdr:row>31</xdr:row>
                    <xdr:rowOff>9525</xdr:rowOff>
                  </from>
                  <to>
                    <xdr:col>18</xdr:col>
                    <xdr:colOff>28575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228600</xdr:rowOff>
                  </from>
                  <to>
                    <xdr:col>15</xdr:col>
                    <xdr:colOff>733425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8</xdr:col>
                    <xdr:colOff>495300</xdr:colOff>
                    <xdr:row>32</xdr:row>
                    <xdr:rowOff>9525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10</xdr:col>
                    <xdr:colOff>0</xdr:colOff>
                    <xdr:row>32</xdr:row>
                    <xdr:rowOff>9525</xdr:rowOff>
                  </from>
                  <to>
                    <xdr:col>10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14</xdr:col>
                    <xdr:colOff>323850</xdr:colOff>
                    <xdr:row>32</xdr:row>
                    <xdr:rowOff>9525</xdr:rowOff>
                  </from>
                  <to>
                    <xdr:col>14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17</xdr:col>
                    <xdr:colOff>504825</xdr:colOff>
                    <xdr:row>32</xdr:row>
                    <xdr:rowOff>9525</xdr:rowOff>
                  </from>
                  <to>
                    <xdr:col>18</xdr:col>
                    <xdr:colOff>28575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228600</xdr:rowOff>
                  </from>
                  <to>
                    <xdr:col>15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8</xdr:col>
                    <xdr:colOff>495300</xdr:colOff>
                    <xdr:row>33</xdr:row>
                    <xdr:rowOff>9525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10</xdr:col>
                    <xdr:colOff>0</xdr:colOff>
                    <xdr:row>33</xdr:row>
                    <xdr:rowOff>9525</xdr:rowOff>
                  </from>
                  <to>
                    <xdr:col>10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14</xdr:col>
                    <xdr:colOff>323850</xdr:colOff>
                    <xdr:row>33</xdr:row>
                    <xdr:rowOff>9525</xdr:rowOff>
                  </from>
                  <to>
                    <xdr:col>14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17</xdr:col>
                    <xdr:colOff>504825</xdr:colOff>
                    <xdr:row>33</xdr:row>
                    <xdr:rowOff>9525</xdr:rowOff>
                  </from>
                  <to>
                    <xdr:col>18</xdr:col>
                    <xdr:colOff>28575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228600</xdr:rowOff>
                  </from>
                  <to>
                    <xdr:col>15</xdr:col>
                    <xdr:colOff>733425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8</xdr:col>
                    <xdr:colOff>495300</xdr:colOff>
                    <xdr:row>34</xdr:row>
                    <xdr:rowOff>19050</xdr:rowOff>
                  </from>
                  <to>
                    <xdr:col>8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10</xdr:col>
                    <xdr:colOff>0</xdr:colOff>
                    <xdr:row>34</xdr:row>
                    <xdr:rowOff>19050</xdr:rowOff>
                  </from>
                  <to>
                    <xdr:col>10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14</xdr:col>
                    <xdr:colOff>323850</xdr:colOff>
                    <xdr:row>34</xdr:row>
                    <xdr:rowOff>19050</xdr:rowOff>
                  </from>
                  <to>
                    <xdr:col>14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17</xdr:col>
                    <xdr:colOff>504825</xdr:colOff>
                    <xdr:row>34</xdr:row>
                    <xdr:rowOff>19050</xdr:rowOff>
                  </from>
                  <to>
                    <xdr:col>18</xdr:col>
                    <xdr:colOff>28575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228600</xdr:rowOff>
                  </from>
                  <to>
                    <xdr:col>15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8</xdr:col>
                    <xdr:colOff>495300</xdr:colOff>
                    <xdr:row>35</xdr:row>
                    <xdr:rowOff>19050</xdr:rowOff>
                  </from>
                  <to>
                    <xdr:col>8</xdr:col>
                    <xdr:colOff>628650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10</xdr:col>
                    <xdr:colOff>0</xdr:colOff>
                    <xdr:row>35</xdr:row>
                    <xdr:rowOff>19050</xdr:rowOff>
                  </from>
                  <to>
                    <xdr:col>10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14</xdr:col>
                    <xdr:colOff>323850</xdr:colOff>
                    <xdr:row>35</xdr:row>
                    <xdr:rowOff>19050</xdr:rowOff>
                  </from>
                  <to>
                    <xdr:col>14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17</xdr:col>
                    <xdr:colOff>504825</xdr:colOff>
                    <xdr:row>35</xdr:row>
                    <xdr:rowOff>19050</xdr:rowOff>
                  </from>
                  <to>
                    <xdr:col>18</xdr:col>
                    <xdr:colOff>28575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228600</xdr:rowOff>
                  </from>
                  <to>
                    <xdr:col>15</xdr:col>
                    <xdr:colOff>733425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8</xdr:col>
                    <xdr:colOff>495300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10</xdr:col>
                    <xdr:colOff>0</xdr:colOff>
                    <xdr:row>36</xdr:row>
                    <xdr:rowOff>19050</xdr:rowOff>
                  </from>
                  <to>
                    <xdr:col>10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14</xdr:col>
                    <xdr:colOff>323850</xdr:colOff>
                    <xdr:row>36</xdr:row>
                    <xdr:rowOff>19050</xdr:rowOff>
                  </from>
                  <to>
                    <xdr:col>14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17</xdr:col>
                    <xdr:colOff>504825</xdr:colOff>
                    <xdr:row>36</xdr:row>
                    <xdr:rowOff>19050</xdr:rowOff>
                  </from>
                  <to>
                    <xdr:col>18</xdr:col>
                    <xdr:colOff>28575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228600</xdr:rowOff>
                  </from>
                  <to>
                    <xdr:col>15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8</xdr:col>
                    <xdr:colOff>495300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10</xdr:col>
                    <xdr:colOff>0</xdr:colOff>
                    <xdr:row>37</xdr:row>
                    <xdr:rowOff>19050</xdr:rowOff>
                  </from>
                  <to>
                    <xdr:col>10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14</xdr:col>
                    <xdr:colOff>323850</xdr:colOff>
                    <xdr:row>37</xdr:row>
                    <xdr:rowOff>19050</xdr:rowOff>
                  </from>
                  <to>
                    <xdr:col>14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17</xdr:col>
                    <xdr:colOff>504825</xdr:colOff>
                    <xdr:row>37</xdr:row>
                    <xdr:rowOff>19050</xdr:rowOff>
                  </from>
                  <to>
                    <xdr:col>18</xdr:col>
                    <xdr:colOff>28575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</sheetPr>
  <dimension ref="A1:AP41"/>
  <sheetViews>
    <sheetView zoomScaleNormal="100" workbookViewId="0">
      <pane xSplit="1" ySplit="1" topLeftCell="Y2" activePane="bottomRight" state="frozen"/>
      <selection pane="topRight" activeCell="B1" sqref="B1"/>
      <selection pane="bottomLeft" activeCell="A2" sqref="A2"/>
      <selection pane="bottomRight" activeCell="Y2" sqref="Y2"/>
    </sheetView>
  </sheetViews>
  <sheetFormatPr defaultRowHeight="12.75" x14ac:dyDescent="0.2"/>
  <cols>
    <col min="2" max="2" width="10.28515625" customWidth="1"/>
    <col min="3" max="3" width="24.140625" customWidth="1"/>
    <col min="4" max="4" width="11.42578125" customWidth="1"/>
    <col min="5" max="5" width="10.42578125" customWidth="1"/>
    <col min="10" max="10" width="9.42578125" bestFit="1" customWidth="1"/>
    <col min="21" max="21" width="24.140625" customWidth="1"/>
    <col min="23" max="23" width="9.7109375" bestFit="1" customWidth="1"/>
    <col min="24" max="24" width="9.28515625" bestFit="1" customWidth="1"/>
    <col min="25" max="25" width="17.140625" customWidth="1"/>
    <col min="26" max="26" width="9.5703125" customWidth="1"/>
    <col min="28" max="28" width="35.140625" customWidth="1"/>
    <col min="29" max="29" width="84.5703125" customWidth="1"/>
    <col min="32" max="32" width="9" style="320"/>
    <col min="33" max="33" width="10.28515625" style="320" customWidth="1"/>
    <col min="37" max="37" width="29.140625" customWidth="1"/>
    <col min="39" max="39" width="15.42578125" customWidth="1"/>
    <col min="40" max="40" width="15.28515625" customWidth="1"/>
  </cols>
  <sheetData>
    <row r="1" spans="1:42" x14ac:dyDescent="0.2">
      <c r="A1" s="361"/>
      <c r="B1" s="321" t="s">
        <v>1181</v>
      </c>
      <c r="C1" s="321" t="s">
        <v>5072</v>
      </c>
      <c r="D1" s="139" t="s">
        <v>475</v>
      </c>
      <c r="E1" t="s">
        <v>168</v>
      </c>
      <c r="F1" t="s">
        <v>169</v>
      </c>
      <c r="G1" t="s">
        <v>150</v>
      </c>
      <c r="H1" t="s">
        <v>344</v>
      </c>
      <c r="I1" t="s">
        <v>387</v>
      </c>
      <c r="J1" t="s">
        <v>219</v>
      </c>
      <c r="K1" t="s">
        <v>151</v>
      </c>
      <c r="L1" t="s">
        <v>152</v>
      </c>
      <c r="M1" t="s">
        <v>100</v>
      </c>
      <c r="N1" t="s">
        <v>380</v>
      </c>
      <c r="O1" t="s">
        <v>381</v>
      </c>
      <c r="P1" t="s">
        <v>382</v>
      </c>
      <c r="Q1" t="s">
        <v>388</v>
      </c>
      <c r="R1" t="s">
        <v>239</v>
      </c>
      <c r="S1" t="s">
        <v>384</v>
      </c>
      <c r="T1" t="s">
        <v>385</v>
      </c>
      <c r="U1" s="321" t="s">
        <v>1180</v>
      </c>
      <c r="V1" t="s">
        <v>369</v>
      </c>
      <c r="W1" t="s">
        <v>459</v>
      </c>
      <c r="X1" t="s">
        <v>344</v>
      </c>
      <c r="Y1" t="s">
        <v>460</v>
      </c>
      <c r="Z1" t="s">
        <v>159</v>
      </c>
      <c r="AA1" t="s">
        <v>388</v>
      </c>
      <c r="AB1" t="s">
        <v>461</v>
      </c>
      <c r="AC1" t="s">
        <v>442</v>
      </c>
      <c r="AE1" s="321" t="s">
        <v>286</v>
      </c>
      <c r="AF1" s="321" t="s">
        <v>4900</v>
      </c>
      <c r="AG1" s="321" t="s">
        <v>4901</v>
      </c>
      <c r="AH1" s="321" t="s">
        <v>1182</v>
      </c>
      <c r="AI1" s="321" t="s">
        <v>215</v>
      </c>
      <c r="AJ1" s="321" t="s">
        <v>1183</v>
      </c>
      <c r="AK1" s="321" t="s">
        <v>1184</v>
      </c>
      <c r="AL1" s="321" t="s">
        <v>4894</v>
      </c>
      <c r="AM1" s="321" t="s">
        <v>4902</v>
      </c>
      <c r="AN1" s="321" t="s">
        <v>159</v>
      </c>
      <c r="AO1" s="321" t="s">
        <v>4905</v>
      </c>
      <c r="AP1" s="321" t="s">
        <v>5105</v>
      </c>
    </row>
    <row r="2" spans="1:42" x14ac:dyDescent="0.2">
      <c r="A2">
        <v>1</v>
      </c>
      <c r="E2" s="17">
        <v>0</v>
      </c>
      <c r="G2">
        <v>0</v>
      </c>
      <c r="H2">
        <f t="shared" ref="H2:H21" si="0">E2*G2</f>
        <v>0</v>
      </c>
      <c r="I2">
        <v>1</v>
      </c>
      <c r="J2" s="320">
        <f t="shared" ref="J2:J31" si="1">IF(AND(I2&gt;2,I2&lt;15),INDEX(tblMedDiscTijdenIndex,I2,1),)</f>
        <v>0</v>
      </c>
      <c r="K2">
        <f t="shared" ref="K2:K21" si="2">J2*H2</f>
        <v>0</v>
      </c>
      <c r="M2">
        <f t="shared" ref="M2:M31" si="3">IF(_Pat_Gewicht&gt;0,IF(ROUND(10*K2/_Pat_Gewicht,1) = 0,ROUND(10*K2/_Pat_Gewicht,2),ROUND(10*K2/_Pat_Gewicht,1) ),0)</f>
        <v>0</v>
      </c>
      <c r="N2">
        <v>0</v>
      </c>
      <c r="O2">
        <v>1</v>
      </c>
      <c r="P2">
        <f>IF(O2&gt;1,N2*J2,0)</f>
        <v>0</v>
      </c>
      <c r="Q2"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 t="shared" ref="W2:W21" si="7">IF(IF(U2=0,"",INDEX(tblMedDiscTijden,I2,2))=0,"",IF(U2=0,"",INDEX(tblMedDiscTijden,I2,2)))</f>
        <v/>
      </c>
      <c r="X2" t="str">
        <f t="shared" ref="X2:X31" si="8">IF(U2=0,"",H2&amp;" "&amp;F2&amp;" ("&amp;ROUND(K2*10/_Pat_Gewicht,AD2)&amp;" "&amp;F2&amp;"/kg/dag)")</f>
        <v/>
      </c>
      <c r="Y2" t="str">
        <f>IF(U2=0,"",TRIM(L2))</f>
        <v/>
      </c>
      <c r="Z2" t="str">
        <f>IF(P2=0,"","opl: "&amp;N2&amp;" mL "&amp;INDEX(tblMedDiscOplVl,O2,1)&amp;" "&amp;IF(Q2=0,"","("&amp;ROUND(GlobBerMedDisc!H2/GlobBerMedDisc!N2,2)&amp;" "&amp;GlobBerMedDisc!F2&amp;"/ml)"))</f>
        <v/>
      </c>
      <c r="AA2" t="str">
        <f>IF(OR(Q2=0,Z2=""),"","in "&amp;Q2&amp;" min")</f>
        <v/>
      </c>
      <c r="AC2" t="str">
        <f>IF(OR(V2="",V2=0),"",TRIM(V2)&amp;"||"&amp;TRIM(W2)&amp;"||"&amp;TRIM(X2)&amp;"||"&amp;TRIM(Y2)&amp;"||"&amp;TRIM(Z2)&amp;"||"&amp;TRIM(AA2)&amp;"||"&amp;TRIM(AB2)&amp;"||"&amp;TRIM(U2)&amp;"||"&amp;TRIM(B2)&amp;"||"&amp;TRIM(AF2)&amp;"||"&amp;TRIM(AG2)&amp;"||"&amp;TRIM(AH2)&amp;"||"&amp;TRIM(AI2)&amp;"||"&amp;TRIM(AJ2)&amp;"||"&amp;TRIM(AK2))</f>
        <v/>
      </c>
      <c r="AD2">
        <f>IF(AE2&gt;=10,0,IF(AE2&gt;=1,1,IF(AE2&gt;=0,2,IF(AE2&gt;=0.1,3,IF(AE2&gt;=0.01,4,5)))))</f>
        <v>2</v>
      </c>
      <c r="AE2">
        <f t="shared" ref="AE2:AE31" si="9">IF(_Pat_Gewicht&gt;0,K2*10/_Pat_Gewicht,0)</f>
        <v>0</v>
      </c>
      <c r="AF2" s="320" t="b">
        <v>0</v>
      </c>
      <c r="AI2">
        <v>0</v>
      </c>
      <c r="AL2" t="str">
        <f>IF(OR(U2=0,U2=""),"","verw")</f>
        <v/>
      </c>
      <c r="AM2" t="str">
        <f>IF(C2&gt;1,M2&amp;" "&amp;F2&amp;"/kg/dag","")</f>
        <v/>
      </c>
      <c r="AN2" t="str">
        <f>IF(AND(C2&gt;1,O2&gt;1,N2&gt;0),ROUND(H2/N2,2)&amp;" "&amp;F2&amp;"/ml","")</f>
        <v/>
      </c>
      <c r="AO2" t="str">
        <f>IF(AF2,"PRN","")</f>
        <v/>
      </c>
      <c r="AP2" t="str">
        <f>TRIM(D2&amp;" "&amp;C2&amp;" "&amp;IF(AI2&gt;0,AI2&amp;" "&amp;AJ2,""))</f>
        <v/>
      </c>
    </row>
    <row r="3" spans="1:42" x14ac:dyDescent="0.2">
      <c r="A3">
        <v>2</v>
      </c>
      <c r="E3" s="17">
        <v>0</v>
      </c>
      <c r="G3">
        <v>0</v>
      </c>
      <c r="H3">
        <f t="shared" si="0"/>
        <v>0</v>
      </c>
      <c r="I3">
        <v>1</v>
      </c>
      <c r="J3" s="320">
        <f t="shared" si="1"/>
        <v>0</v>
      </c>
      <c r="K3">
        <f t="shared" si="2"/>
        <v>0</v>
      </c>
      <c r="M3" s="320">
        <f t="shared" si="3"/>
        <v>0</v>
      </c>
      <c r="N3">
        <v>0</v>
      </c>
      <c r="O3">
        <v>1</v>
      </c>
      <c r="P3">
        <f t="shared" ref="P3:P21" si="10">IF(O3&gt;1,N3*J3,0)</f>
        <v>0</v>
      </c>
      <c r="Q3"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1">IF(U3=0,"",IF(U3=-1,C3,D3))</f>
        <v/>
      </c>
      <c r="W3" s="320" t="str">
        <f t="shared" si="7"/>
        <v/>
      </c>
      <c r="X3" t="str">
        <f t="shared" si="8"/>
        <v/>
      </c>
      <c r="Y3" t="str">
        <f t="shared" ref="Y3:Y21" si="12">IF(U3=0,"",TRIM(L3))</f>
        <v/>
      </c>
      <c r="Z3" s="320" t="str">
        <f>IF(P3=0,"","opl: "&amp;N3&amp;" mL "&amp;INDEX(tblMedDiscOplVl,O3,1)&amp;" "&amp;IF(Q3=0,"","("&amp;ROUND(GlobBerMedDisc!H3/GlobBerMedDisc!N3,2)&amp;" "&amp;GlobBerMedDisc!F3&amp;"/ml)"))</f>
        <v/>
      </c>
      <c r="AA3" t="str">
        <f t="shared" ref="AA3:AA21" si="13">IF(OR(Q3=0,Z3=""),"","in "&amp;Q3&amp;" min")</f>
        <v/>
      </c>
      <c r="AC3" s="320" t="str">
        <f t="shared" ref="AC3:AC31" si="14">IF(OR(V3="",V3=0),"",TRIM(V3)&amp;"||"&amp;TRIM(W3)&amp;"||"&amp;TRIM(X3)&amp;"||"&amp;TRIM(Y3)&amp;"||"&amp;TRIM(Z3)&amp;"||"&amp;TRIM(AA3)&amp;"||"&amp;TRIM(AB3)&amp;"||"&amp;TRIM(U3)&amp;"||"&amp;TRIM(B3)&amp;"||"&amp;TRIM(AF3)&amp;"||"&amp;TRIM(AG3)&amp;"||"&amp;TRIM(AH3)&amp;"||"&amp;TRIM(AI3)&amp;"||"&amp;TRIM(AJ3)&amp;"||"&amp;TRIM(AK3))</f>
        <v/>
      </c>
      <c r="AD3">
        <f t="shared" ref="AD3:AD21" si="15">IF(AE3&gt;=10,0,IF(AE3&gt;=1,1,IF(AE3&gt;=0,2,IF(AE3&gt;=0.1,3,IF(AE3&gt;=0.01,4,5)))))</f>
        <v>2</v>
      </c>
      <c r="AE3" s="320">
        <f t="shared" si="9"/>
        <v>0</v>
      </c>
      <c r="AF3" s="320" t="b">
        <v>0</v>
      </c>
      <c r="AI3">
        <v>0</v>
      </c>
      <c r="AL3" s="320" t="str">
        <f t="shared" ref="AL3:AL31" si="16">IF(OR(U3=0,U3=""),"","verw")</f>
        <v/>
      </c>
      <c r="AM3" s="320" t="str">
        <f t="shared" ref="AM3:AM31" si="17">IF(C3&gt;1,M3&amp;" "&amp;F3&amp;"/kg/dag","")</f>
        <v/>
      </c>
      <c r="AN3" s="320" t="str">
        <f t="shared" ref="AN3:AN31" si="18">IF(AND(C3&gt;1,O3&gt;1,N3&gt;0),ROUND(H3/N3,2)&amp;" "&amp;F3&amp;"/ml","")</f>
        <v/>
      </c>
      <c r="AO3" s="320" t="str">
        <f t="shared" ref="AO3:AO31" si="19">IF(AF3,"PRN","")</f>
        <v/>
      </c>
      <c r="AP3" s="320" t="str">
        <f t="shared" ref="AP3:AP31" si="20">TRIM(D3&amp;" "&amp;C3&amp;" "&amp;IF(AI3&gt;0,AI3&amp;" "&amp;AJ3,""))</f>
        <v/>
      </c>
    </row>
    <row r="4" spans="1:42" x14ac:dyDescent="0.2">
      <c r="A4">
        <v>3</v>
      </c>
      <c r="E4" s="17">
        <v>0</v>
      </c>
      <c r="G4">
        <v>0</v>
      </c>
      <c r="H4">
        <f t="shared" si="0"/>
        <v>0</v>
      </c>
      <c r="I4">
        <v>1</v>
      </c>
      <c r="J4" s="320">
        <f t="shared" si="1"/>
        <v>0</v>
      </c>
      <c r="K4">
        <f t="shared" si="2"/>
        <v>0</v>
      </c>
      <c r="M4" s="320">
        <f t="shared" si="3"/>
        <v>0</v>
      </c>
      <c r="N4">
        <v>0</v>
      </c>
      <c r="O4">
        <v>1</v>
      </c>
      <c r="P4">
        <f t="shared" si="10"/>
        <v>0</v>
      </c>
      <c r="Q4"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1"/>
        <v/>
      </c>
      <c r="W4" s="320" t="str">
        <f t="shared" si="7"/>
        <v/>
      </c>
      <c r="X4" t="str">
        <f t="shared" si="8"/>
        <v/>
      </c>
      <c r="Y4" t="str">
        <f t="shared" si="12"/>
        <v/>
      </c>
      <c r="Z4" s="320" t="str">
        <f>IF(P4=0,"","opl: "&amp;N4&amp;" mL "&amp;INDEX(tblMedDiscOplVl,O4,1)&amp;" "&amp;IF(Q4=0,"","("&amp;ROUND(GlobBerMedDisc!H4/GlobBerMedDisc!N4,2)&amp;" "&amp;GlobBerMedDisc!F4&amp;"/ml)"))</f>
        <v/>
      </c>
      <c r="AA4" t="str">
        <f t="shared" si="13"/>
        <v/>
      </c>
      <c r="AC4" s="320" t="str">
        <f t="shared" si="14"/>
        <v/>
      </c>
      <c r="AD4">
        <f t="shared" si="15"/>
        <v>2</v>
      </c>
      <c r="AE4" s="320">
        <f t="shared" si="9"/>
        <v>0</v>
      </c>
      <c r="AF4" s="320" t="b">
        <v>0</v>
      </c>
      <c r="AI4">
        <v>0</v>
      </c>
      <c r="AL4" s="320" t="str">
        <f t="shared" si="16"/>
        <v/>
      </c>
      <c r="AM4" s="320" t="str">
        <f t="shared" si="17"/>
        <v/>
      </c>
      <c r="AN4" s="320" t="str">
        <f t="shared" si="18"/>
        <v/>
      </c>
      <c r="AO4" s="320" t="str">
        <f t="shared" si="19"/>
        <v/>
      </c>
      <c r="AP4" s="320" t="str">
        <f t="shared" si="20"/>
        <v/>
      </c>
    </row>
    <row r="5" spans="1:42" x14ac:dyDescent="0.2">
      <c r="A5">
        <v>4</v>
      </c>
      <c r="E5" s="17">
        <v>0</v>
      </c>
      <c r="G5">
        <v>0</v>
      </c>
      <c r="H5">
        <f t="shared" si="0"/>
        <v>0</v>
      </c>
      <c r="I5">
        <v>1</v>
      </c>
      <c r="J5" s="320">
        <f t="shared" si="1"/>
        <v>0</v>
      </c>
      <c r="K5">
        <f t="shared" si="2"/>
        <v>0</v>
      </c>
      <c r="M5" s="320">
        <f t="shared" si="3"/>
        <v>0</v>
      </c>
      <c r="N5">
        <v>0</v>
      </c>
      <c r="O5">
        <v>1</v>
      </c>
      <c r="P5">
        <f t="shared" si="10"/>
        <v>0</v>
      </c>
      <c r="Q5"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1"/>
        <v/>
      </c>
      <c r="W5" s="320" t="str">
        <f t="shared" si="7"/>
        <v/>
      </c>
      <c r="X5" t="str">
        <f t="shared" si="8"/>
        <v/>
      </c>
      <c r="Y5" t="str">
        <f t="shared" si="12"/>
        <v/>
      </c>
      <c r="Z5" s="320" t="str">
        <f>IF(P5=0,"","opl: "&amp;N5&amp;" mL "&amp;INDEX(tblMedDiscOplVl,O5,1)&amp;" "&amp;IF(Q5=0,"","("&amp;ROUND(GlobBerMedDisc!H5/GlobBerMedDisc!N5,2)&amp;" "&amp;GlobBerMedDisc!F5&amp;"/ml)"))</f>
        <v/>
      </c>
      <c r="AA5" t="str">
        <f t="shared" si="13"/>
        <v/>
      </c>
      <c r="AC5" s="320" t="str">
        <f t="shared" si="14"/>
        <v/>
      </c>
      <c r="AD5">
        <f t="shared" si="15"/>
        <v>2</v>
      </c>
      <c r="AE5" s="320">
        <f t="shared" si="9"/>
        <v>0</v>
      </c>
      <c r="AF5" s="320" t="b">
        <v>0</v>
      </c>
      <c r="AI5">
        <v>0</v>
      </c>
      <c r="AL5" s="320" t="str">
        <f t="shared" si="16"/>
        <v/>
      </c>
      <c r="AM5" s="320" t="str">
        <f t="shared" si="17"/>
        <v/>
      </c>
      <c r="AN5" s="320" t="str">
        <f t="shared" si="18"/>
        <v/>
      </c>
      <c r="AO5" s="320" t="str">
        <f t="shared" si="19"/>
        <v/>
      </c>
      <c r="AP5" s="320" t="str">
        <f t="shared" si="20"/>
        <v/>
      </c>
    </row>
    <row r="6" spans="1:42" x14ac:dyDescent="0.2">
      <c r="A6" s="361">
        <v>5</v>
      </c>
      <c r="E6" s="17">
        <v>0</v>
      </c>
      <c r="G6">
        <v>0</v>
      </c>
      <c r="H6">
        <f t="shared" si="0"/>
        <v>0</v>
      </c>
      <c r="I6">
        <v>1</v>
      </c>
      <c r="J6" s="320">
        <f t="shared" si="1"/>
        <v>0</v>
      </c>
      <c r="K6">
        <f t="shared" si="2"/>
        <v>0</v>
      </c>
      <c r="M6" s="320">
        <f t="shared" si="3"/>
        <v>0</v>
      </c>
      <c r="N6">
        <v>0</v>
      </c>
      <c r="O6">
        <v>1</v>
      </c>
      <c r="P6">
        <f t="shared" si="10"/>
        <v>0</v>
      </c>
      <c r="Q6"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1"/>
        <v/>
      </c>
      <c r="W6" s="320" t="str">
        <f t="shared" si="7"/>
        <v/>
      </c>
      <c r="X6" t="str">
        <f t="shared" si="8"/>
        <v/>
      </c>
      <c r="Y6" t="str">
        <f t="shared" si="12"/>
        <v/>
      </c>
      <c r="Z6" s="320" t="str">
        <f>IF(P6=0,"","opl: "&amp;N6&amp;" mL "&amp;INDEX(tblMedDiscOplVl,O6,1)&amp;" "&amp;IF(Q6=0,"","("&amp;ROUND(GlobBerMedDisc!H6/GlobBerMedDisc!N6,2)&amp;" "&amp;GlobBerMedDisc!F6&amp;"/ml)"))</f>
        <v/>
      </c>
      <c r="AA6" t="str">
        <f t="shared" si="13"/>
        <v/>
      </c>
      <c r="AC6" s="320" t="str">
        <f t="shared" si="14"/>
        <v/>
      </c>
      <c r="AD6">
        <f t="shared" si="15"/>
        <v>2</v>
      </c>
      <c r="AE6" s="320">
        <f t="shared" si="9"/>
        <v>0</v>
      </c>
      <c r="AF6" s="320" t="b">
        <v>0</v>
      </c>
      <c r="AI6">
        <v>0</v>
      </c>
      <c r="AL6" s="320" t="str">
        <f t="shared" si="16"/>
        <v/>
      </c>
      <c r="AM6" s="320" t="str">
        <f t="shared" si="17"/>
        <v/>
      </c>
      <c r="AN6" s="320" t="str">
        <f t="shared" si="18"/>
        <v/>
      </c>
      <c r="AO6" s="320" t="str">
        <f t="shared" si="19"/>
        <v/>
      </c>
      <c r="AP6" s="320" t="str">
        <f t="shared" si="20"/>
        <v/>
      </c>
    </row>
    <row r="7" spans="1:42" x14ac:dyDescent="0.2">
      <c r="A7">
        <v>6</v>
      </c>
      <c r="E7" s="17">
        <v>0</v>
      </c>
      <c r="G7">
        <v>0</v>
      </c>
      <c r="H7">
        <f t="shared" si="0"/>
        <v>0</v>
      </c>
      <c r="I7">
        <v>1</v>
      </c>
      <c r="J7" s="320">
        <f t="shared" si="1"/>
        <v>0</v>
      </c>
      <c r="K7">
        <f t="shared" si="2"/>
        <v>0</v>
      </c>
      <c r="M7" s="320">
        <f t="shared" si="3"/>
        <v>0</v>
      </c>
      <c r="N7">
        <v>0</v>
      </c>
      <c r="O7">
        <v>1</v>
      </c>
      <c r="P7">
        <f t="shared" si="10"/>
        <v>0</v>
      </c>
      <c r="Q7"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1"/>
        <v/>
      </c>
      <c r="W7" s="320" t="str">
        <f t="shared" si="7"/>
        <v/>
      </c>
      <c r="X7" t="str">
        <f t="shared" si="8"/>
        <v/>
      </c>
      <c r="Y7" t="str">
        <f t="shared" si="12"/>
        <v/>
      </c>
      <c r="Z7" s="320" t="str">
        <f>IF(P7=0,"","opl: "&amp;N7&amp;" mL "&amp;INDEX(tblMedDiscOplVl,O7,1)&amp;" "&amp;IF(Q7=0,"","("&amp;ROUND(GlobBerMedDisc!H7/GlobBerMedDisc!N7,2)&amp;" "&amp;GlobBerMedDisc!F7&amp;"/ml)"))</f>
        <v/>
      </c>
      <c r="AA7" t="str">
        <f t="shared" si="13"/>
        <v/>
      </c>
      <c r="AC7" s="320" t="str">
        <f t="shared" si="14"/>
        <v/>
      </c>
      <c r="AD7">
        <f t="shared" si="15"/>
        <v>2</v>
      </c>
      <c r="AE7" s="320">
        <f t="shared" si="9"/>
        <v>0</v>
      </c>
      <c r="AF7" s="320" t="b">
        <v>0</v>
      </c>
      <c r="AI7">
        <v>0</v>
      </c>
      <c r="AL7" s="320" t="str">
        <f t="shared" si="16"/>
        <v/>
      </c>
      <c r="AM7" s="320" t="str">
        <f t="shared" si="17"/>
        <v/>
      </c>
      <c r="AN7" s="320" t="str">
        <f t="shared" si="18"/>
        <v/>
      </c>
      <c r="AO7" s="320" t="str">
        <f t="shared" si="19"/>
        <v/>
      </c>
      <c r="AP7" s="320" t="str">
        <f t="shared" si="20"/>
        <v/>
      </c>
    </row>
    <row r="8" spans="1:42" x14ac:dyDescent="0.2">
      <c r="A8">
        <v>7</v>
      </c>
      <c r="E8" s="17">
        <v>0</v>
      </c>
      <c r="G8">
        <v>0</v>
      </c>
      <c r="H8">
        <f t="shared" si="0"/>
        <v>0</v>
      </c>
      <c r="I8">
        <v>1</v>
      </c>
      <c r="J8" s="320">
        <f t="shared" si="1"/>
        <v>0</v>
      </c>
      <c r="K8">
        <f t="shared" si="2"/>
        <v>0</v>
      </c>
      <c r="M8" s="320">
        <f t="shared" si="3"/>
        <v>0</v>
      </c>
      <c r="N8">
        <v>0</v>
      </c>
      <c r="O8">
        <v>1</v>
      </c>
      <c r="P8">
        <f t="shared" si="10"/>
        <v>0</v>
      </c>
      <c r="Q8"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1"/>
        <v/>
      </c>
      <c r="W8" s="320" t="str">
        <f t="shared" si="7"/>
        <v/>
      </c>
      <c r="X8" t="str">
        <f t="shared" si="8"/>
        <v/>
      </c>
      <c r="Y8" t="str">
        <f t="shared" si="12"/>
        <v/>
      </c>
      <c r="Z8" s="320" t="str">
        <f>IF(P8=0,"","opl: "&amp;N8&amp;" mL "&amp;INDEX(tblMedDiscOplVl,O8,1)&amp;" "&amp;IF(Q8=0,"","("&amp;ROUND(GlobBerMedDisc!H8/GlobBerMedDisc!N8,2)&amp;" "&amp;GlobBerMedDisc!F8&amp;"/ml)"))</f>
        <v/>
      </c>
      <c r="AA8" t="str">
        <f t="shared" si="13"/>
        <v/>
      </c>
      <c r="AC8" s="320" t="str">
        <f t="shared" si="14"/>
        <v/>
      </c>
      <c r="AD8">
        <f t="shared" si="15"/>
        <v>2</v>
      </c>
      <c r="AE8" s="320">
        <f t="shared" si="9"/>
        <v>0</v>
      </c>
      <c r="AF8" s="320" t="b">
        <v>0</v>
      </c>
      <c r="AI8">
        <v>0</v>
      </c>
      <c r="AL8" s="320" t="str">
        <f t="shared" si="16"/>
        <v/>
      </c>
      <c r="AM8" s="320" t="str">
        <f t="shared" si="17"/>
        <v/>
      </c>
      <c r="AN8" s="320" t="str">
        <f t="shared" si="18"/>
        <v/>
      </c>
      <c r="AO8" s="320" t="str">
        <f t="shared" si="19"/>
        <v/>
      </c>
      <c r="AP8" s="320" t="str">
        <f t="shared" si="20"/>
        <v/>
      </c>
    </row>
    <row r="9" spans="1:42" x14ac:dyDescent="0.2">
      <c r="A9">
        <v>8</v>
      </c>
      <c r="E9" s="17">
        <v>0</v>
      </c>
      <c r="G9">
        <v>0</v>
      </c>
      <c r="H9">
        <f t="shared" si="0"/>
        <v>0</v>
      </c>
      <c r="I9">
        <v>1</v>
      </c>
      <c r="J9" s="320">
        <f t="shared" si="1"/>
        <v>0</v>
      </c>
      <c r="K9">
        <f t="shared" si="2"/>
        <v>0</v>
      </c>
      <c r="M9" s="320">
        <f t="shared" si="3"/>
        <v>0</v>
      </c>
      <c r="N9">
        <v>0</v>
      </c>
      <c r="O9">
        <v>1</v>
      </c>
      <c r="P9">
        <f t="shared" si="10"/>
        <v>0</v>
      </c>
      <c r="Q9"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1"/>
        <v/>
      </c>
      <c r="W9" s="320" t="str">
        <f t="shared" si="7"/>
        <v/>
      </c>
      <c r="X9" t="str">
        <f t="shared" si="8"/>
        <v/>
      </c>
      <c r="Y9" t="str">
        <f t="shared" si="12"/>
        <v/>
      </c>
      <c r="Z9" s="320" t="str">
        <f>IF(P9=0,"","opl: "&amp;N9&amp;" mL "&amp;INDEX(tblMedDiscOplVl,O9,1)&amp;" "&amp;IF(Q9=0,"","("&amp;ROUND(GlobBerMedDisc!H9/GlobBerMedDisc!N9,2)&amp;" "&amp;GlobBerMedDisc!F9&amp;"/ml)"))</f>
        <v/>
      </c>
      <c r="AA9" t="str">
        <f t="shared" si="13"/>
        <v/>
      </c>
      <c r="AC9" s="320" t="str">
        <f t="shared" si="14"/>
        <v/>
      </c>
      <c r="AD9">
        <f t="shared" si="15"/>
        <v>2</v>
      </c>
      <c r="AE9" s="320">
        <f t="shared" si="9"/>
        <v>0</v>
      </c>
      <c r="AF9" s="320" t="b">
        <v>0</v>
      </c>
      <c r="AI9">
        <v>0</v>
      </c>
      <c r="AL9" s="320" t="str">
        <f t="shared" si="16"/>
        <v/>
      </c>
      <c r="AM9" s="320" t="str">
        <f t="shared" si="17"/>
        <v/>
      </c>
      <c r="AN9" s="320" t="str">
        <f t="shared" si="18"/>
        <v/>
      </c>
      <c r="AO9" s="320" t="str">
        <f t="shared" si="19"/>
        <v/>
      </c>
      <c r="AP9" s="320" t="str">
        <f t="shared" si="20"/>
        <v/>
      </c>
    </row>
    <row r="10" spans="1:42" x14ac:dyDescent="0.2">
      <c r="A10">
        <v>9</v>
      </c>
      <c r="E10" s="17">
        <v>0</v>
      </c>
      <c r="G10">
        <v>0</v>
      </c>
      <c r="H10">
        <f t="shared" si="0"/>
        <v>0</v>
      </c>
      <c r="I10">
        <v>1</v>
      </c>
      <c r="J10" s="320">
        <f t="shared" si="1"/>
        <v>0</v>
      </c>
      <c r="K10">
        <f t="shared" si="2"/>
        <v>0</v>
      </c>
      <c r="M10" s="320">
        <f t="shared" si="3"/>
        <v>0</v>
      </c>
      <c r="N10">
        <v>0</v>
      </c>
      <c r="O10">
        <v>1</v>
      </c>
      <c r="P10">
        <f t="shared" si="10"/>
        <v>0</v>
      </c>
      <c r="Q10"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1"/>
        <v/>
      </c>
      <c r="W10" s="320" t="str">
        <f t="shared" si="7"/>
        <v/>
      </c>
      <c r="X10" t="str">
        <f t="shared" si="8"/>
        <v/>
      </c>
      <c r="Y10" t="str">
        <f t="shared" si="12"/>
        <v/>
      </c>
      <c r="Z10" s="320" t="str">
        <f>IF(P10=0,"","opl: "&amp;N10&amp;" mL "&amp;INDEX(tblMedDiscOplVl,O10,1)&amp;" "&amp;IF(Q10=0,"","("&amp;ROUND(GlobBerMedDisc!H10/GlobBerMedDisc!N10,2)&amp;" "&amp;GlobBerMedDisc!F10&amp;"/ml)"))</f>
        <v/>
      </c>
      <c r="AA10" t="str">
        <f t="shared" si="13"/>
        <v/>
      </c>
      <c r="AC10" s="320" t="str">
        <f t="shared" si="14"/>
        <v/>
      </c>
      <c r="AD10">
        <f t="shared" si="15"/>
        <v>2</v>
      </c>
      <c r="AE10" s="320">
        <f t="shared" si="9"/>
        <v>0</v>
      </c>
      <c r="AF10" s="320" t="b">
        <v>0</v>
      </c>
      <c r="AI10">
        <v>0</v>
      </c>
      <c r="AL10" s="320" t="str">
        <f t="shared" si="16"/>
        <v/>
      </c>
      <c r="AM10" s="320" t="str">
        <f t="shared" si="17"/>
        <v/>
      </c>
      <c r="AN10" s="320" t="str">
        <f t="shared" si="18"/>
        <v/>
      </c>
      <c r="AO10" s="320" t="str">
        <f t="shared" si="19"/>
        <v/>
      </c>
      <c r="AP10" s="320" t="str">
        <f t="shared" si="20"/>
        <v/>
      </c>
    </row>
    <row r="11" spans="1:42" x14ac:dyDescent="0.2">
      <c r="A11">
        <v>10</v>
      </c>
      <c r="E11" s="17">
        <v>0</v>
      </c>
      <c r="G11">
        <v>0</v>
      </c>
      <c r="H11">
        <f t="shared" si="0"/>
        <v>0</v>
      </c>
      <c r="I11">
        <v>1</v>
      </c>
      <c r="J11" s="320">
        <f t="shared" si="1"/>
        <v>0</v>
      </c>
      <c r="K11">
        <f t="shared" si="2"/>
        <v>0</v>
      </c>
      <c r="M11" s="320">
        <f t="shared" si="3"/>
        <v>0</v>
      </c>
      <c r="N11">
        <v>0</v>
      </c>
      <c r="O11">
        <v>1</v>
      </c>
      <c r="P11">
        <f t="shared" si="10"/>
        <v>0</v>
      </c>
      <c r="Q11"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1"/>
        <v/>
      </c>
      <c r="W11" s="320" t="str">
        <f t="shared" si="7"/>
        <v/>
      </c>
      <c r="X11" t="str">
        <f t="shared" si="8"/>
        <v/>
      </c>
      <c r="Y11" t="str">
        <f t="shared" si="12"/>
        <v/>
      </c>
      <c r="Z11" s="320" t="str">
        <f>IF(P11=0,"","opl: "&amp;N11&amp;" mL "&amp;INDEX(tblMedDiscOplVl,O11,1)&amp;" "&amp;IF(Q11=0,"","("&amp;ROUND(GlobBerMedDisc!H11/GlobBerMedDisc!N11,2)&amp;" "&amp;GlobBerMedDisc!F11&amp;"/ml)"))</f>
        <v/>
      </c>
      <c r="AA11" t="str">
        <f t="shared" si="13"/>
        <v/>
      </c>
      <c r="AC11" s="320" t="str">
        <f t="shared" si="14"/>
        <v/>
      </c>
      <c r="AD11">
        <f t="shared" si="15"/>
        <v>2</v>
      </c>
      <c r="AE11" s="320">
        <f t="shared" si="9"/>
        <v>0</v>
      </c>
      <c r="AF11" s="320" t="b">
        <v>0</v>
      </c>
      <c r="AI11">
        <v>0</v>
      </c>
      <c r="AL11" s="320" t="str">
        <f t="shared" si="16"/>
        <v/>
      </c>
      <c r="AM11" s="320" t="str">
        <f t="shared" si="17"/>
        <v/>
      </c>
      <c r="AN11" s="320" t="str">
        <f t="shared" si="18"/>
        <v/>
      </c>
      <c r="AO11" s="320" t="str">
        <f t="shared" si="19"/>
        <v/>
      </c>
      <c r="AP11" s="320" t="str">
        <f t="shared" si="20"/>
        <v/>
      </c>
    </row>
    <row r="12" spans="1:42" x14ac:dyDescent="0.2">
      <c r="A12">
        <v>11</v>
      </c>
      <c r="E12" s="17">
        <v>0</v>
      </c>
      <c r="G12">
        <v>0</v>
      </c>
      <c r="H12">
        <f t="shared" si="0"/>
        <v>0</v>
      </c>
      <c r="I12">
        <v>1</v>
      </c>
      <c r="J12" s="320">
        <f t="shared" si="1"/>
        <v>0</v>
      </c>
      <c r="K12">
        <f t="shared" si="2"/>
        <v>0</v>
      </c>
      <c r="M12" s="320">
        <f t="shared" si="3"/>
        <v>0</v>
      </c>
      <c r="N12">
        <v>0</v>
      </c>
      <c r="O12">
        <v>1</v>
      </c>
      <c r="P12">
        <f t="shared" si="10"/>
        <v>0</v>
      </c>
      <c r="Q12"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1"/>
        <v/>
      </c>
      <c r="W12" s="320" t="str">
        <f t="shared" si="7"/>
        <v/>
      </c>
      <c r="X12" t="str">
        <f t="shared" si="8"/>
        <v/>
      </c>
      <c r="Y12" t="str">
        <f t="shared" si="12"/>
        <v/>
      </c>
      <c r="Z12" s="320" t="str">
        <f>IF(P12=0,"","opl: "&amp;N12&amp;" mL "&amp;INDEX(tblMedDiscOplVl,O12,1)&amp;" "&amp;IF(Q12=0,"","("&amp;ROUND(GlobBerMedDisc!H12/GlobBerMedDisc!N12,2)&amp;" "&amp;GlobBerMedDisc!F12&amp;"/ml)"))</f>
        <v/>
      </c>
      <c r="AA12" t="str">
        <f t="shared" si="13"/>
        <v/>
      </c>
      <c r="AC12" s="320" t="str">
        <f t="shared" si="14"/>
        <v/>
      </c>
      <c r="AD12">
        <f t="shared" si="15"/>
        <v>2</v>
      </c>
      <c r="AE12" s="320">
        <f t="shared" si="9"/>
        <v>0</v>
      </c>
      <c r="AF12" s="320" t="b">
        <v>0</v>
      </c>
      <c r="AI12">
        <v>0</v>
      </c>
      <c r="AL12" s="320" t="str">
        <f t="shared" si="16"/>
        <v/>
      </c>
      <c r="AM12" s="320" t="str">
        <f t="shared" si="17"/>
        <v/>
      </c>
      <c r="AN12" s="320" t="str">
        <f t="shared" si="18"/>
        <v/>
      </c>
      <c r="AO12" s="320" t="str">
        <f t="shared" si="19"/>
        <v/>
      </c>
      <c r="AP12" s="320" t="str">
        <f t="shared" si="20"/>
        <v/>
      </c>
    </row>
    <row r="13" spans="1:42" x14ac:dyDescent="0.2">
      <c r="A13">
        <v>12</v>
      </c>
      <c r="E13" s="17">
        <v>0</v>
      </c>
      <c r="G13">
        <v>0</v>
      </c>
      <c r="H13">
        <f t="shared" si="0"/>
        <v>0</v>
      </c>
      <c r="I13">
        <v>1</v>
      </c>
      <c r="J13" s="320">
        <f t="shared" si="1"/>
        <v>0</v>
      </c>
      <c r="K13">
        <f t="shared" si="2"/>
        <v>0</v>
      </c>
      <c r="M13" s="320">
        <f t="shared" si="3"/>
        <v>0</v>
      </c>
      <c r="N13">
        <v>0</v>
      </c>
      <c r="O13">
        <v>1</v>
      </c>
      <c r="P13">
        <f t="shared" si="10"/>
        <v>0</v>
      </c>
      <c r="Q13"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1"/>
        <v/>
      </c>
      <c r="W13" s="320" t="str">
        <f t="shared" si="7"/>
        <v/>
      </c>
      <c r="X13" t="str">
        <f t="shared" si="8"/>
        <v/>
      </c>
      <c r="Y13" t="str">
        <f t="shared" si="12"/>
        <v/>
      </c>
      <c r="Z13" s="320" t="str">
        <f>IF(P13=0,"","opl: "&amp;N13&amp;" mL "&amp;INDEX(tblMedDiscOplVl,O13,1)&amp;" "&amp;IF(Q13=0,"","("&amp;ROUND(GlobBerMedDisc!H13/GlobBerMedDisc!N13,2)&amp;" "&amp;GlobBerMedDisc!F13&amp;"/ml)"))</f>
        <v/>
      </c>
      <c r="AA13" t="str">
        <f t="shared" si="13"/>
        <v/>
      </c>
      <c r="AC13" s="320" t="str">
        <f t="shared" si="14"/>
        <v/>
      </c>
      <c r="AD13">
        <f t="shared" si="15"/>
        <v>2</v>
      </c>
      <c r="AE13" s="320">
        <f t="shared" si="9"/>
        <v>0</v>
      </c>
      <c r="AF13" s="320" t="b">
        <v>0</v>
      </c>
      <c r="AI13">
        <v>0</v>
      </c>
      <c r="AL13" s="320" t="str">
        <f t="shared" si="16"/>
        <v/>
      </c>
      <c r="AM13" s="320" t="str">
        <f t="shared" si="17"/>
        <v/>
      </c>
      <c r="AN13" s="320" t="str">
        <f t="shared" si="18"/>
        <v/>
      </c>
      <c r="AO13" s="320" t="str">
        <f t="shared" si="19"/>
        <v/>
      </c>
      <c r="AP13" s="320" t="str">
        <f t="shared" si="20"/>
        <v/>
      </c>
    </row>
    <row r="14" spans="1:42" x14ac:dyDescent="0.2">
      <c r="A14">
        <v>13</v>
      </c>
      <c r="E14" s="17">
        <v>0</v>
      </c>
      <c r="G14">
        <v>0</v>
      </c>
      <c r="H14">
        <f t="shared" si="0"/>
        <v>0</v>
      </c>
      <c r="I14">
        <v>1</v>
      </c>
      <c r="J14" s="320">
        <f t="shared" si="1"/>
        <v>0</v>
      </c>
      <c r="K14">
        <f t="shared" si="2"/>
        <v>0</v>
      </c>
      <c r="M14" s="320">
        <f t="shared" si="3"/>
        <v>0</v>
      </c>
      <c r="N14">
        <v>0</v>
      </c>
      <c r="O14">
        <v>1</v>
      </c>
      <c r="P14">
        <f t="shared" si="10"/>
        <v>0</v>
      </c>
      <c r="Q14"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1"/>
        <v/>
      </c>
      <c r="W14" s="320" t="str">
        <f t="shared" si="7"/>
        <v/>
      </c>
      <c r="X14" t="str">
        <f t="shared" si="8"/>
        <v/>
      </c>
      <c r="Y14" t="str">
        <f t="shared" si="12"/>
        <v/>
      </c>
      <c r="Z14" s="320" t="str">
        <f>IF(P14=0,"","opl: "&amp;N14&amp;" mL "&amp;INDEX(tblMedDiscOplVl,O14,1)&amp;" "&amp;IF(Q14=0,"","("&amp;ROUND(GlobBerMedDisc!H14/GlobBerMedDisc!N14,2)&amp;" "&amp;GlobBerMedDisc!F14&amp;"/ml)"))</f>
        <v/>
      </c>
      <c r="AA14" t="str">
        <f t="shared" si="13"/>
        <v/>
      </c>
      <c r="AC14" s="320" t="str">
        <f t="shared" si="14"/>
        <v/>
      </c>
      <c r="AD14">
        <f t="shared" si="15"/>
        <v>2</v>
      </c>
      <c r="AE14" s="320">
        <f t="shared" si="9"/>
        <v>0</v>
      </c>
      <c r="AF14" s="320" t="b">
        <v>0</v>
      </c>
      <c r="AI14">
        <v>0</v>
      </c>
      <c r="AL14" s="320" t="str">
        <f t="shared" si="16"/>
        <v/>
      </c>
      <c r="AM14" s="320" t="str">
        <f t="shared" si="17"/>
        <v/>
      </c>
      <c r="AN14" s="320" t="str">
        <f t="shared" si="18"/>
        <v/>
      </c>
      <c r="AO14" s="320" t="str">
        <f t="shared" si="19"/>
        <v/>
      </c>
      <c r="AP14" s="320" t="str">
        <f t="shared" si="20"/>
        <v/>
      </c>
    </row>
    <row r="15" spans="1:42" x14ac:dyDescent="0.2">
      <c r="A15">
        <v>14</v>
      </c>
      <c r="E15" s="17">
        <v>0</v>
      </c>
      <c r="G15">
        <v>0</v>
      </c>
      <c r="H15">
        <f t="shared" si="0"/>
        <v>0</v>
      </c>
      <c r="I15">
        <v>1</v>
      </c>
      <c r="J15" s="320">
        <f t="shared" si="1"/>
        <v>0</v>
      </c>
      <c r="K15">
        <f t="shared" si="2"/>
        <v>0</v>
      </c>
      <c r="M15" s="320">
        <f t="shared" si="3"/>
        <v>0</v>
      </c>
      <c r="N15">
        <v>0</v>
      </c>
      <c r="O15">
        <v>1</v>
      </c>
      <c r="P15">
        <f t="shared" si="10"/>
        <v>0</v>
      </c>
      <c r="Q15"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1"/>
        <v/>
      </c>
      <c r="W15" s="320" t="str">
        <f t="shared" si="7"/>
        <v/>
      </c>
      <c r="X15" t="str">
        <f t="shared" si="8"/>
        <v/>
      </c>
      <c r="Y15" t="str">
        <f t="shared" si="12"/>
        <v/>
      </c>
      <c r="Z15" s="320" t="str">
        <f>IF(P15=0,"","opl: "&amp;N15&amp;" mL "&amp;INDEX(tblMedDiscOplVl,O15,1)&amp;" "&amp;IF(Q15=0,"","("&amp;ROUND(GlobBerMedDisc!H15/GlobBerMedDisc!N15,2)&amp;" "&amp;GlobBerMedDisc!F15&amp;"/ml)"))</f>
        <v/>
      </c>
      <c r="AA15" t="str">
        <f t="shared" si="13"/>
        <v/>
      </c>
      <c r="AC15" s="320" t="str">
        <f t="shared" si="14"/>
        <v/>
      </c>
      <c r="AD15">
        <f t="shared" si="15"/>
        <v>2</v>
      </c>
      <c r="AE15" s="320">
        <f t="shared" si="9"/>
        <v>0</v>
      </c>
      <c r="AF15" s="320" t="b">
        <v>0</v>
      </c>
      <c r="AI15">
        <v>0</v>
      </c>
      <c r="AL15" s="320" t="str">
        <f t="shared" si="16"/>
        <v/>
      </c>
      <c r="AM15" s="320" t="str">
        <f t="shared" si="17"/>
        <v/>
      </c>
      <c r="AN15" s="320" t="str">
        <f t="shared" si="18"/>
        <v/>
      </c>
      <c r="AO15" s="320" t="str">
        <f t="shared" si="19"/>
        <v/>
      </c>
      <c r="AP15" s="320" t="str">
        <f t="shared" si="20"/>
        <v/>
      </c>
    </row>
    <row r="16" spans="1:42" x14ac:dyDescent="0.2">
      <c r="A16">
        <v>15</v>
      </c>
      <c r="E16" s="17">
        <v>0</v>
      </c>
      <c r="G16">
        <v>0</v>
      </c>
      <c r="H16">
        <f t="shared" si="0"/>
        <v>0</v>
      </c>
      <c r="I16">
        <v>1</v>
      </c>
      <c r="J16" s="320">
        <f t="shared" si="1"/>
        <v>0</v>
      </c>
      <c r="K16">
        <f t="shared" si="2"/>
        <v>0</v>
      </c>
      <c r="M16" s="320">
        <f t="shared" si="3"/>
        <v>0</v>
      </c>
      <c r="N16">
        <v>0</v>
      </c>
      <c r="O16">
        <v>1</v>
      </c>
      <c r="P16">
        <f t="shared" si="10"/>
        <v>0</v>
      </c>
      <c r="Q16"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1"/>
        <v/>
      </c>
      <c r="W16" s="320" t="str">
        <f t="shared" si="7"/>
        <v/>
      </c>
      <c r="X16" t="str">
        <f t="shared" si="8"/>
        <v/>
      </c>
      <c r="Y16" t="str">
        <f t="shared" si="12"/>
        <v/>
      </c>
      <c r="Z16" s="320" t="str">
        <f>IF(P16=0,"","opl: "&amp;N16&amp;" mL "&amp;INDEX(tblMedDiscOplVl,O16,1)&amp;" "&amp;IF(Q16=0,"","("&amp;ROUND(GlobBerMedDisc!H16/GlobBerMedDisc!N16,2)&amp;" "&amp;GlobBerMedDisc!F16&amp;"/ml)"))</f>
        <v/>
      </c>
      <c r="AA16" t="str">
        <f t="shared" si="13"/>
        <v/>
      </c>
      <c r="AC16" s="320" t="str">
        <f t="shared" si="14"/>
        <v/>
      </c>
      <c r="AD16">
        <f t="shared" si="15"/>
        <v>2</v>
      </c>
      <c r="AE16" s="320">
        <f t="shared" si="9"/>
        <v>0</v>
      </c>
      <c r="AF16" s="320" t="b">
        <v>0</v>
      </c>
      <c r="AI16">
        <v>0</v>
      </c>
      <c r="AL16" s="320" t="str">
        <f t="shared" si="16"/>
        <v/>
      </c>
      <c r="AM16" s="320" t="str">
        <f t="shared" si="17"/>
        <v/>
      </c>
      <c r="AN16" s="320" t="str">
        <f t="shared" si="18"/>
        <v/>
      </c>
      <c r="AO16" s="320" t="str">
        <f t="shared" si="19"/>
        <v/>
      </c>
      <c r="AP16" s="320" t="str">
        <f t="shared" si="20"/>
        <v/>
      </c>
    </row>
    <row r="17" spans="1:42" x14ac:dyDescent="0.2">
      <c r="A17">
        <v>16</v>
      </c>
      <c r="E17" s="17">
        <v>0</v>
      </c>
      <c r="G17">
        <v>0</v>
      </c>
      <c r="H17">
        <f t="shared" si="0"/>
        <v>0</v>
      </c>
      <c r="I17">
        <v>1</v>
      </c>
      <c r="J17" s="320">
        <f t="shared" si="1"/>
        <v>0</v>
      </c>
      <c r="K17">
        <f t="shared" si="2"/>
        <v>0</v>
      </c>
      <c r="M17" s="320">
        <f t="shared" si="3"/>
        <v>0</v>
      </c>
      <c r="N17">
        <v>0</v>
      </c>
      <c r="O17">
        <v>1</v>
      </c>
      <c r="P17">
        <f t="shared" si="10"/>
        <v>0</v>
      </c>
      <c r="Q17"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1"/>
        <v/>
      </c>
      <c r="W17" s="320" t="str">
        <f t="shared" si="7"/>
        <v/>
      </c>
      <c r="X17" t="str">
        <f t="shared" si="8"/>
        <v/>
      </c>
      <c r="Y17" t="str">
        <f t="shared" si="12"/>
        <v/>
      </c>
      <c r="Z17" s="320" t="str">
        <f>IF(P17=0,"","opl: "&amp;N17&amp;" mL "&amp;INDEX(tblMedDiscOplVl,O17,1)&amp;" "&amp;IF(Q17=0,"","("&amp;ROUND(GlobBerMedDisc!H17/GlobBerMedDisc!N17,2)&amp;" "&amp;GlobBerMedDisc!F17&amp;"/ml)"))</f>
        <v/>
      </c>
      <c r="AA17" t="str">
        <f t="shared" si="13"/>
        <v/>
      </c>
      <c r="AC17" s="320" t="str">
        <f t="shared" si="14"/>
        <v/>
      </c>
      <c r="AD17">
        <f t="shared" si="15"/>
        <v>2</v>
      </c>
      <c r="AE17" s="320">
        <f t="shared" si="9"/>
        <v>0</v>
      </c>
      <c r="AF17" s="320" t="b">
        <v>0</v>
      </c>
      <c r="AI17">
        <v>0</v>
      </c>
      <c r="AL17" s="320" t="str">
        <f t="shared" si="16"/>
        <v/>
      </c>
      <c r="AM17" s="320" t="str">
        <f t="shared" si="17"/>
        <v/>
      </c>
      <c r="AN17" s="320" t="str">
        <f t="shared" si="18"/>
        <v/>
      </c>
      <c r="AO17" s="320" t="str">
        <f t="shared" si="19"/>
        <v/>
      </c>
      <c r="AP17" s="320" t="str">
        <f t="shared" si="20"/>
        <v/>
      </c>
    </row>
    <row r="18" spans="1:42" x14ac:dyDescent="0.2">
      <c r="A18">
        <v>17</v>
      </c>
      <c r="E18" s="17">
        <v>0</v>
      </c>
      <c r="G18">
        <v>0</v>
      </c>
      <c r="H18">
        <f t="shared" si="0"/>
        <v>0</v>
      </c>
      <c r="I18">
        <v>1</v>
      </c>
      <c r="J18" s="320">
        <f t="shared" si="1"/>
        <v>0</v>
      </c>
      <c r="K18">
        <f t="shared" si="2"/>
        <v>0</v>
      </c>
      <c r="M18" s="320">
        <f t="shared" si="3"/>
        <v>0</v>
      </c>
      <c r="N18">
        <v>0</v>
      </c>
      <c r="O18">
        <v>1</v>
      </c>
      <c r="P18">
        <f t="shared" si="10"/>
        <v>0</v>
      </c>
      <c r="Q18"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1"/>
        <v/>
      </c>
      <c r="W18" s="320" t="str">
        <f t="shared" si="7"/>
        <v/>
      </c>
      <c r="X18" t="str">
        <f t="shared" si="8"/>
        <v/>
      </c>
      <c r="Y18" t="str">
        <f t="shared" si="12"/>
        <v/>
      </c>
      <c r="Z18" s="320" t="str">
        <f>IF(P18=0,"","opl: "&amp;N18&amp;" mL "&amp;INDEX(tblMedDiscOplVl,O18,1)&amp;" "&amp;IF(Q18=0,"","("&amp;ROUND(GlobBerMedDisc!H18/GlobBerMedDisc!N18,2)&amp;" "&amp;GlobBerMedDisc!F18&amp;"/ml)"))</f>
        <v/>
      </c>
      <c r="AA18" t="str">
        <f t="shared" si="13"/>
        <v/>
      </c>
      <c r="AC18" s="320" t="str">
        <f t="shared" si="14"/>
        <v/>
      </c>
      <c r="AD18">
        <f t="shared" si="15"/>
        <v>2</v>
      </c>
      <c r="AE18" s="320">
        <f t="shared" si="9"/>
        <v>0</v>
      </c>
      <c r="AF18" s="320" t="b">
        <v>0</v>
      </c>
      <c r="AI18">
        <v>0</v>
      </c>
      <c r="AL18" s="320" t="str">
        <f t="shared" si="16"/>
        <v/>
      </c>
      <c r="AM18" s="320" t="str">
        <f t="shared" si="17"/>
        <v/>
      </c>
      <c r="AN18" s="320" t="str">
        <f t="shared" si="18"/>
        <v/>
      </c>
      <c r="AO18" s="320" t="str">
        <f t="shared" si="19"/>
        <v/>
      </c>
      <c r="AP18" s="320" t="str">
        <f t="shared" si="20"/>
        <v/>
      </c>
    </row>
    <row r="19" spans="1:42" x14ac:dyDescent="0.2">
      <c r="A19">
        <v>18</v>
      </c>
      <c r="E19" s="17">
        <v>0</v>
      </c>
      <c r="G19">
        <v>0</v>
      </c>
      <c r="H19">
        <f t="shared" si="0"/>
        <v>0</v>
      </c>
      <c r="I19">
        <v>1</v>
      </c>
      <c r="J19" s="320">
        <f t="shared" si="1"/>
        <v>0</v>
      </c>
      <c r="K19">
        <f t="shared" si="2"/>
        <v>0</v>
      </c>
      <c r="M19" s="320">
        <f t="shared" si="3"/>
        <v>0</v>
      </c>
      <c r="N19">
        <v>0</v>
      </c>
      <c r="O19">
        <v>1</v>
      </c>
      <c r="P19">
        <f t="shared" si="10"/>
        <v>0</v>
      </c>
      <c r="Q19"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1"/>
        <v/>
      </c>
      <c r="W19" s="320" t="str">
        <f t="shared" si="7"/>
        <v/>
      </c>
      <c r="X19" t="str">
        <f t="shared" si="8"/>
        <v/>
      </c>
      <c r="Y19" t="str">
        <f t="shared" si="12"/>
        <v/>
      </c>
      <c r="Z19" s="320" t="str">
        <f>IF(P19=0,"","opl: "&amp;N19&amp;" mL "&amp;INDEX(tblMedDiscOplVl,O19,1)&amp;" "&amp;IF(Q19=0,"","("&amp;ROUND(GlobBerMedDisc!H19/GlobBerMedDisc!N19,2)&amp;" "&amp;GlobBerMedDisc!F19&amp;"/ml)"))</f>
        <v/>
      </c>
      <c r="AA19" t="str">
        <f t="shared" si="13"/>
        <v/>
      </c>
      <c r="AC19" s="320" t="str">
        <f t="shared" si="14"/>
        <v/>
      </c>
      <c r="AD19">
        <f t="shared" si="15"/>
        <v>2</v>
      </c>
      <c r="AE19" s="320">
        <f t="shared" si="9"/>
        <v>0</v>
      </c>
      <c r="AF19" s="320" t="b">
        <v>0</v>
      </c>
      <c r="AI19">
        <v>0</v>
      </c>
      <c r="AL19" s="320" t="str">
        <f t="shared" si="16"/>
        <v/>
      </c>
      <c r="AM19" s="320" t="str">
        <f t="shared" si="17"/>
        <v/>
      </c>
      <c r="AN19" s="320" t="str">
        <f t="shared" si="18"/>
        <v/>
      </c>
      <c r="AO19" s="320" t="str">
        <f t="shared" si="19"/>
        <v/>
      </c>
      <c r="AP19" s="320" t="str">
        <f t="shared" si="20"/>
        <v/>
      </c>
    </row>
    <row r="20" spans="1:42" x14ac:dyDescent="0.2">
      <c r="A20">
        <v>19</v>
      </c>
      <c r="E20" s="17">
        <v>0</v>
      </c>
      <c r="G20">
        <v>0</v>
      </c>
      <c r="H20">
        <f t="shared" si="0"/>
        <v>0</v>
      </c>
      <c r="I20">
        <v>1</v>
      </c>
      <c r="J20" s="320">
        <f t="shared" si="1"/>
        <v>0</v>
      </c>
      <c r="K20">
        <f t="shared" si="2"/>
        <v>0</v>
      </c>
      <c r="M20" s="320">
        <f t="shared" si="3"/>
        <v>0</v>
      </c>
      <c r="N20">
        <v>0</v>
      </c>
      <c r="O20">
        <v>1</v>
      </c>
      <c r="P20">
        <f t="shared" si="10"/>
        <v>0</v>
      </c>
      <c r="Q20"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1"/>
        <v/>
      </c>
      <c r="W20" s="320" t="str">
        <f t="shared" si="7"/>
        <v/>
      </c>
      <c r="X20" t="str">
        <f t="shared" si="8"/>
        <v/>
      </c>
      <c r="Y20" t="str">
        <f t="shared" si="12"/>
        <v/>
      </c>
      <c r="Z20" s="320" t="str">
        <f>IF(P20=0,"","opl: "&amp;N20&amp;" mL "&amp;INDEX(tblMedDiscOplVl,O20,1)&amp;" "&amp;IF(Q20=0,"","("&amp;ROUND(GlobBerMedDisc!H20/GlobBerMedDisc!N20,2)&amp;" "&amp;GlobBerMedDisc!F20&amp;"/ml)"))</f>
        <v/>
      </c>
      <c r="AA20" t="str">
        <f t="shared" si="13"/>
        <v/>
      </c>
      <c r="AC20" s="320" t="str">
        <f t="shared" si="14"/>
        <v/>
      </c>
      <c r="AD20">
        <f t="shared" si="15"/>
        <v>2</v>
      </c>
      <c r="AE20" s="320">
        <f t="shared" si="9"/>
        <v>0</v>
      </c>
      <c r="AF20" s="320" t="b">
        <v>0</v>
      </c>
      <c r="AI20">
        <v>0</v>
      </c>
      <c r="AL20" s="320" t="str">
        <f t="shared" si="16"/>
        <v/>
      </c>
      <c r="AM20" s="320" t="str">
        <f t="shared" si="17"/>
        <v/>
      </c>
      <c r="AN20" s="320" t="str">
        <f t="shared" si="18"/>
        <v/>
      </c>
      <c r="AO20" s="320" t="str">
        <f t="shared" si="19"/>
        <v/>
      </c>
      <c r="AP20" s="320" t="str">
        <f t="shared" si="20"/>
        <v/>
      </c>
    </row>
    <row r="21" spans="1:42" x14ac:dyDescent="0.2">
      <c r="A21">
        <v>20</v>
      </c>
      <c r="E21" s="17">
        <v>0</v>
      </c>
      <c r="G21">
        <v>0</v>
      </c>
      <c r="H21">
        <f t="shared" si="0"/>
        <v>0</v>
      </c>
      <c r="I21">
        <v>1</v>
      </c>
      <c r="J21" s="320">
        <f t="shared" si="1"/>
        <v>0</v>
      </c>
      <c r="K21">
        <f t="shared" si="2"/>
        <v>0</v>
      </c>
      <c r="M21" s="320">
        <f t="shared" si="3"/>
        <v>0</v>
      </c>
      <c r="N21">
        <v>0</v>
      </c>
      <c r="O21">
        <v>1</v>
      </c>
      <c r="P21">
        <f t="shared" si="10"/>
        <v>0</v>
      </c>
      <c r="Q21"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1"/>
        <v/>
      </c>
      <c r="W21" s="320" t="str">
        <f t="shared" si="7"/>
        <v/>
      </c>
      <c r="X21" t="str">
        <f t="shared" si="8"/>
        <v/>
      </c>
      <c r="Y21" t="str">
        <f t="shared" si="12"/>
        <v/>
      </c>
      <c r="Z21" s="320" t="str">
        <f>IF(P21=0,"","opl: "&amp;N21&amp;" mL "&amp;INDEX(tblMedDiscOplVl,O21,1)&amp;" "&amp;IF(Q21=0,"","("&amp;ROUND(GlobBerMedDisc!H21/GlobBerMedDisc!N21,2)&amp;" "&amp;GlobBerMedDisc!F21&amp;"/ml)"))</f>
        <v/>
      </c>
      <c r="AA21" t="str">
        <f t="shared" si="13"/>
        <v/>
      </c>
      <c r="AC21" s="320" t="str">
        <f t="shared" si="14"/>
        <v/>
      </c>
      <c r="AD21">
        <f t="shared" si="15"/>
        <v>2</v>
      </c>
      <c r="AE21" s="320">
        <f t="shared" si="9"/>
        <v>0</v>
      </c>
      <c r="AF21" s="320" t="b">
        <v>0</v>
      </c>
      <c r="AI21">
        <v>0</v>
      </c>
      <c r="AL21" s="320" t="str">
        <f t="shared" si="16"/>
        <v/>
      </c>
      <c r="AM21" s="320" t="str">
        <f t="shared" si="17"/>
        <v/>
      </c>
      <c r="AN21" s="320" t="str">
        <f t="shared" si="18"/>
        <v/>
      </c>
      <c r="AO21" s="320" t="str">
        <f t="shared" si="19"/>
        <v/>
      </c>
      <c r="AP21" s="320" t="str">
        <f t="shared" si="20"/>
        <v/>
      </c>
    </row>
    <row r="22" spans="1:42" x14ac:dyDescent="0.2">
      <c r="A22" s="320">
        <v>21</v>
      </c>
      <c r="B22" s="320"/>
      <c r="C22" s="320"/>
      <c r="D22" s="320"/>
      <c r="E22" s="322">
        <v>0</v>
      </c>
      <c r="F22" s="320"/>
      <c r="G22" s="320">
        <v>0</v>
      </c>
      <c r="H22" s="320">
        <f t="shared" ref="H22:H31" si="21">E22*G22</f>
        <v>0</v>
      </c>
      <c r="I22" s="320">
        <v>1</v>
      </c>
      <c r="J22" s="320">
        <f t="shared" si="1"/>
        <v>0</v>
      </c>
      <c r="K22" s="320">
        <f t="shared" ref="K22:K31" si="22">J22*H22</f>
        <v>0</v>
      </c>
      <c r="L22" s="320"/>
      <c r="M22" s="320">
        <f t="shared" si="3"/>
        <v>0</v>
      </c>
      <c r="N22" s="320">
        <v>0</v>
      </c>
      <c r="O22" s="320">
        <v>1</v>
      </c>
      <c r="P22" s="320">
        <f t="shared" ref="P22:P31" si="23">IF(O22&gt;1,N22*J22,0)</f>
        <v>0</v>
      </c>
      <c r="Q22" s="320">
        <v>0</v>
      </c>
      <c r="R22" s="320">
        <f t="shared" ref="R22:R31" si="24">IF(O22=2,P22*0.155,0)</f>
        <v>0</v>
      </c>
      <c r="S22" s="320">
        <f t="shared" ref="S22:S31" si="25">IF(O22=3,P22*0.05,0)</f>
        <v>0</v>
      </c>
      <c r="T22" s="320">
        <f t="shared" ref="T22:T31" si="26">IF(O22=4,P22*0.1,0)</f>
        <v>0</v>
      </c>
      <c r="U22" s="320"/>
      <c r="V22" s="320" t="str">
        <f t="shared" ref="V22:V31" si="27">IF(U22=0,"",IF(U22=-1,C22,D22))</f>
        <v/>
      </c>
      <c r="W22" s="320" t="str">
        <f t="shared" ref="W22:W31" si="28">IF(IF(U22=0,"",INDEX(tblMedDiscTijden,I22,2))=0,"",IF(U22=0,"",INDEX(tblMedDiscTijden,I22,2)))</f>
        <v/>
      </c>
      <c r="X22" s="320" t="str">
        <f t="shared" si="8"/>
        <v/>
      </c>
      <c r="Y22" s="320" t="str">
        <f t="shared" ref="Y22:Y31" si="29">IF(U22=0,"",TRIM(L22))</f>
        <v/>
      </c>
      <c r="Z22" s="320" t="str">
        <f>IF(P22=0,"","opl: "&amp;N22&amp;" mL "&amp;INDEX(tblMedDiscOplVl,O22,1)&amp;" "&amp;IF(Q22=0,"","("&amp;ROUND(GlobBerMedDisc!H22/GlobBerMedDisc!N22,2)&amp;" "&amp;GlobBerMedDisc!F22&amp;"/ml)"))</f>
        <v/>
      </c>
      <c r="AA22" s="320" t="str">
        <f t="shared" ref="AA22:AA31" si="30">IF(OR(Q22=0,Z22=""),"","in "&amp;Q22&amp;" min")</f>
        <v/>
      </c>
      <c r="AB22" s="320"/>
      <c r="AC22" s="320" t="str">
        <f t="shared" si="14"/>
        <v/>
      </c>
      <c r="AD22" s="320">
        <f t="shared" ref="AD22:AD31" si="31">IF(AE22&gt;=10,0,IF(AE22&gt;=1,1,IF(AE22&gt;=0,2,IF(AE22&gt;=0.1,3,IF(AE22&gt;=0.01,4,5)))))</f>
        <v>2</v>
      </c>
      <c r="AE22" s="320">
        <f t="shared" si="9"/>
        <v>0</v>
      </c>
      <c r="AF22" s="320" t="b">
        <v>0</v>
      </c>
      <c r="AI22">
        <v>0</v>
      </c>
      <c r="AL22" s="320" t="str">
        <f t="shared" si="16"/>
        <v/>
      </c>
      <c r="AM22" s="320" t="str">
        <f t="shared" si="17"/>
        <v/>
      </c>
      <c r="AN22" s="320" t="str">
        <f t="shared" si="18"/>
        <v/>
      </c>
      <c r="AO22" s="320" t="str">
        <f t="shared" si="19"/>
        <v/>
      </c>
      <c r="AP22" s="320" t="str">
        <f t="shared" si="20"/>
        <v/>
      </c>
    </row>
    <row r="23" spans="1:42" x14ac:dyDescent="0.2">
      <c r="A23" s="320">
        <v>22</v>
      </c>
      <c r="B23" s="320"/>
      <c r="C23" s="320"/>
      <c r="D23" s="320"/>
      <c r="E23" s="322">
        <v>0</v>
      </c>
      <c r="F23" s="320"/>
      <c r="G23" s="320">
        <v>0</v>
      </c>
      <c r="H23" s="320">
        <f t="shared" si="21"/>
        <v>0</v>
      </c>
      <c r="I23" s="320">
        <v>1</v>
      </c>
      <c r="J23" s="320">
        <f t="shared" si="1"/>
        <v>0</v>
      </c>
      <c r="K23" s="320">
        <f t="shared" si="22"/>
        <v>0</v>
      </c>
      <c r="L23" s="320"/>
      <c r="M23" s="320">
        <f t="shared" si="3"/>
        <v>0</v>
      </c>
      <c r="N23" s="320">
        <v>0</v>
      </c>
      <c r="O23" s="320">
        <v>1</v>
      </c>
      <c r="P23" s="320">
        <f t="shared" si="23"/>
        <v>0</v>
      </c>
      <c r="Q23" s="320">
        <v>0</v>
      </c>
      <c r="R23" s="320">
        <f t="shared" si="24"/>
        <v>0</v>
      </c>
      <c r="S23" s="320">
        <f t="shared" si="25"/>
        <v>0</v>
      </c>
      <c r="T23" s="320">
        <f t="shared" si="26"/>
        <v>0</v>
      </c>
      <c r="U23" s="320"/>
      <c r="V23" s="320" t="str">
        <f t="shared" si="27"/>
        <v/>
      </c>
      <c r="W23" s="320" t="str">
        <f t="shared" si="28"/>
        <v/>
      </c>
      <c r="X23" s="320" t="str">
        <f t="shared" si="8"/>
        <v/>
      </c>
      <c r="Y23" s="320" t="str">
        <f t="shared" si="29"/>
        <v/>
      </c>
      <c r="Z23" s="320" t="str">
        <f>IF(P23=0,"","opl: "&amp;N23&amp;" mL "&amp;INDEX(tblMedDiscOplVl,O23,1)&amp;" "&amp;IF(Q23=0,"","("&amp;ROUND(GlobBerMedDisc!H23/GlobBerMedDisc!N23,2)&amp;" "&amp;GlobBerMedDisc!F23&amp;"/ml)"))</f>
        <v/>
      </c>
      <c r="AA23" s="320" t="str">
        <f t="shared" si="30"/>
        <v/>
      </c>
      <c r="AB23" s="320"/>
      <c r="AC23" s="320" t="str">
        <f t="shared" si="14"/>
        <v/>
      </c>
      <c r="AD23" s="320">
        <f t="shared" si="31"/>
        <v>2</v>
      </c>
      <c r="AE23" s="320">
        <f t="shared" si="9"/>
        <v>0</v>
      </c>
      <c r="AF23" s="320" t="b">
        <v>0</v>
      </c>
      <c r="AI23">
        <v>0</v>
      </c>
      <c r="AL23" s="320" t="str">
        <f t="shared" si="16"/>
        <v/>
      </c>
      <c r="AM23" s="320" t="str">
        <f t="shared" si="17"/>
        <v/>
      </c>
      <c r="AN23" s="320" t="str">
        <f t="shared" si="18"/>
        <v/>
      </c>
      <c r="AO23" s="320" t="str">
        <f t="shared" si="19"/>
        <v/>
      </c>
      <c r="AP23" s="320" t="str">
        <f t="shared" si="20"/>
        <v/>
      </c>
    </row>
    <row r="24" spans="1:42" x14ac:dyDescent="0.2">
      <c r="A24" s="320">
        <v>23</v>
      </c>
      <c r="B24" s="320"/>
      <c r="C24" s="320"/>
      <c r="D24" s="320"/>
      <c r="E24" s="322">
        <v>0</v>
      </c>
      <c r="F24" s="320"/>
      <c r="G24" s="320">
        <v>0</v>
      </c>
      <c r="H24" s="320">
        <f t="shared" si="21"/>
        <v>0</v>
      </c>
      <c r="I24" s="320">
        <v>1</v>
      </c>
      <c r="J24" s="320">
        <f t="shared" si="1"/>
        <v>0</v>
      </c>
      <c r="K24" s="320">
        <f t="shared" si="22"/>
        <v>0</v>
      </c>
      <c r="L24" s="320"/>
      <c r="M24" s="320">
        <f t="shared" si="3"/>
        <v>0</v>
      </c>
      <c r="N24" s="320">
        <v>0</v>
      </c>
      <c r="O24" s="320">
        <v>1</v>
      </c>
      <c r="P24" s="320">
        <f t="shared" si="23"/>
        <v>0</v>
      </c>
      <c r="Q24" s="320">
        <v>0</v>
      </c>
      <c r="R24" s="320">
        <f t="shared" si="24"/>
        <v>0</v>
      </c>
      <c r="S24" s="320">
        <f t="shared" si="25"/>
        <v>0</v>
      </c>
      <c r="T24" s="320">
        <f t="shared" si="26"/>
        <v>0</v>
      </c>
      <c r="U24" s="320"/>
      <c r="V24" s="320" t="str">
        <f t="shared" si="27"/>
        <v/>
      </c>
      <c r="W24" s="320" t="str">
        <f t="shared" si="28"/>
        <v/>
      </c>
      <c r="X24" s="320" t="str">
        <f t="shared" si="8"/>
        <v/>
      </c>
      <c r="Y24" s="320" t="str">
        <f t="shared" si="29"/>
        <v/>
      </c>
      <c r="Z24" s="320" t="str">
        <f>IF(P24=0,"","opl: "&amp;N24&amp;" mL "&amp;INDEX(tblMedDiscOplVl,O24,1)&amp;" "&amp;IF(Q24=0,"","("&amp;ROUND(GlobBerMedDisc!H24/GlobBerMedDisc!N24,2)&amp;" "&amp;GlobBerMedDisc!F24&amp;"/ml)"))</f>
        <v/>
      </c>
      <c r="AA24" s="320" t="str">
        <f t="shared" si="30"/>
        <v/>
      </c>
      <c r="AB24" s="320"/>
      <c r="AC24" s="320" t="str">
        <f t="shared" si="14"/>
        <v/>
      </c>
      <c r="AD24" s="320">
        <f t="shared" si="31"/>
        <v>2</v>
      </c>
      <c r="AE24" s="320">
        <f t="shared" si="9"/>
        <v>0</v>
      </c>
      <c r="AF24" s="320" t="b">
        <v>0</v>
      </c>
      <c r="AI24">
        <v>0</v>
      </c>
      <c r="AL24" s="320" t="str">
        <f t="shared" si="16"/>
        <v/>
      </c>
      <c r="AM24" s="320" t="str">
        <f t="shared" si="17"/>
        <v/>
      </c>
      <c r="AN24" s="320" t="str">
        <f t="shared" si="18"/>
        <v/>
      </c>
      <c r="AO24" s="320" t="str">
        <f t="shared" si="19"/>
        <v/>
      </c>
      <c r="AP24" s="320" t="str">
        <f t="shared" si="20"/>
        <v/>
      </c>
    </row>
    <row r="25" spans="1:42" x14ac:dyDescent="0.2">
      <c r="A25" s="320">
        <v>24</v>
      </c>
      <c r="B25" s="320"/>
      <c r="C25" s="320"/>
      <c r="D25" s="320"/>
      <c r="E25" s="322">
        <v>0</v>
      </c>
      <c r="F25" s="320"/>
      <c r="G25" s="320">
        <v>0</v>
      </c>
      <c r="H25" s="320">
        <f t="shared" si="21"/>
        <v>0</v>
      </c>
      <c r="I25" s="320">
        <v>1</v>
      </c>
      <c r="J25" s="320">
        <f t="shared" si="1"/>
        <v>0</v>
      </c>
      <c r="K25" s="320">
        <f t="shared" si="22"/>
        <v>0</v>
      </c>
      <c r="L25" s="320"/>
      <c r="M25" s="320">
        <f t="shared" si="3"/>
        <v>0</v>
      </c>
      <c r="N25" s="320">
        <v>0</v>
      </c>
      <c r="O25" s="320">
        <v>1</v>
      </c>
      <c r="P25" s="320">
        <f t="shared" si="23"/>
        <v>0</v>
      </c>
      <c r="Q25" s="320">
        <v>0</v>
      </c>
      <c r="R25" s="320">
        <f t="shared" si="24"/>
        <v>0</v>
      </c>
      <c r="S25" s="320">
        <f t="shared" si="25"/>
        <v>0</v>
      </c>
      <c r="T25" s="320">
        <f t="shared" si="26"/>
        <v>0</v>
      </c>
      <c r="U25" s="320"/>
      <c r="V25" s="320" t="str">
        <f t="shared" si="27"/>
        <v/>
      </c>
      <c r="W25" s="320" t="str">
        <f t="shared" si="28"/>
        <v/>
      </c>
      <c r="X25" s="320" t="str">
        <f t="shared" si="8"/>
        <v/>
      </c>
      <c r="Y25" s="320" t="str">
        <f t="shared" si="29"/>
        <v/>
      </c>
      <c r="Z25" s="320" t="str">
        <f>IF(P25=0,"","opl: "&amp;N25&amp;" mL "&amp;INDEX(tblMedDiscOplVl,O25,1)&amp;" "&amp;IF(Q25=0,"","("&amp;ROUND(GlobBerMedDisc!H25/GlobBerMedDisc!N25,2)&amp;" "&amp;GlobBerMedDisc!F25&amp;"/ml)"))</f>
        <v/>
      </c>
      <c r="AA25" s="320" t="str">
        <f t="shared" si="30"/>
        <v/>
      </c>
      <c r="AB25" s="320"/>
      <c r="AC25" s="320" t="str">
        <f t="shared" si="14"/>
        <v/>
      </c>
      <c r="AD25" s="320">
        <f t="shared" si="31"/>
        <v>2</v>
      </c>
      <c r="AE25" s="320">
        <f t="shared" si="9"/>
        <v>0</v>
      </c>
      <c r="AF25" s="320" t="b">
        <v>0</v>
      </c>
      <c r="AI25">
        <v>0</v>
      </c>
      <c r="AL25" s="320" t="str">
        <f t="shared" si="16"/>
        <v/>
      </c>
      <c r="AM25" s="320" t="str">
        <f t="shared" si="17"/>
        <v/>
      </c>
      <c r="AN25" s="320" t="str">
        <f t="shared" si="18"/>
        <v/>
      </c>
      <c r="AO25" s="320" t="str">
        <f t="shared" si="19"/>
        <v/>
      </c>
      <c r="AP25" s="320" t="str">
        <f t="shared" si="20"/>
        <v/>
      </c>
    </row>
    <row r="26" spans="1:42" x14ac:dyDescent="0.2">
      <c r="A26" s="320">
        <v>25</v>
      </c>
      <c r="B26" s="320"/>
      <c r="C26" s="320"/>
      <c r="D26" s="320"/>
      <c r="E26" s="322">
        <v>0</v>
      </c>
      <c r="F26" s="320"/>
      <c r="G26" s="320">
        <v>0</v>
      </c>
      <c r="H26" s="320">
        <f t="shared" si="21"/>
        <v>0</v>
      </c>
      <c r="I26" s="320">
        <v>1</v>
      </c>
      <c r="J26" s="320">
        <f t="shared" si="1"/>
        <v>0</v>
      </c>
      <c r="K26" s="320">
        <f t="shared" si="22"/>
        <v>0</v>
      </c>
      <c r="L26" s="320"/>
      <c r="M26" s="320">
        <f t="shared" si="3"/>
        <v>0</v>
      </c>
      <c r="N26" s="320">
        <v>0</v>
      </c>
      <c r="O26" s="320">
        <v>1</v>
      </c>
      <c r="P26" s="320">
        <f t="shared" si="23"/>
        <v>0</v>
      </c>
      <c r="Q26" s="320">
        <v>0</v>
      </c>
      <c r="R26" s="320">
        <f t="shared" si="24"/>
        <v>0</v>
      </c>
      <c r="S26" s="320">
        <f t="shared" si="25"/>
        <v>0</v>
      </c>
      <c r="T26" s="320">
        <f t="shared" si="26"/>
        <v>0</v>
      </c>
      <c r="U26" s="320"/>
      <c r="V26" s="320" t="str">
        <f t="shared" si="27"/>
        <v/>
      </c>
      <c r="W26" s="320" t="str">
        <f t="shared" si="28"/>
        <v/>
      </c>
      <c r="X26" s="320" t="str">
        <f t="shared" si="8"/>
        <v/>
      </c>
      <c r="Y26" s="320" t="str">
        <f t="shared" si="29"/>
        <v/>
      </c>
      <c r="Z26" s="320" t="str">
        <f>IF(P26=0,"","opl: "&amp;N26&amp;" mL "&amp;INDEX(tblMedDiscOplVl,O26,1)&amp;" "&amp;IF(Q26=0,"","("&amp;ROUND(GlobBerMedDisc!H26/GlobBerMedDisc!N26,2)&amp;" "&amp;GlobBerMedDisc!F26&amp;"/ml)"))</f>
        <v/>
      </c>
      <c r="AA26" s="320" t="str">
        <f t="shared" si="30"/>
        <v/>
      </c>
      <c r="AB26" s="320"/>
      <c r="AC26" s="320" t="str">
        <f t="shared" si="14"/>
        <v/>
      </c>
      <c r="AD26" s="320">
        <f t="shared" si="31"/>
        <v>2</v>
      </c>
      <c r="AE26" s="320">
        <f t="shared" si="9"/>
        <v>0</v>
      </c>
      <c r="AF26" s="320" t="b">
        <v>0</v>
      </c>
      <c r="AI26">
        <v>0</v>
      </c>
      <c r="AL26" s="320" t="str">
        <f t="shared" si="16"/>
        <v/>
      </c>
      <c r="AM26" s="320" t="str">
        <f t="shared" si="17"/>
        <v/>
      </c>
      <c r="AN26" s="320" t="str">
        <f t="shared" si="18"/>
        <v/>
      </c>
      <c r="AO26" s="320" t="str">
        <f t="shared" si="19"/>
        <v/>
      </c>
      <c r="AP26" s="320" t="str">
        <f t="shared" si="20"/>
        <v/>
      </c>
    </row>
    <row r="27" spans="1:42" x14ac:dyDescent="0.2">
      <c r="A27" s="320">
        <v>26</v>
      </c>
      <c r="B27" s="320"/>
      <c r="C27" s="320"/>
      <c r="D27" s="320"/>
      <c r="E27" s="322">
        <v>0</v>
      </c>
      <c r="F27" s="320"/>
      <c r="G27" s="320">
        <v>0</v>
      </c>
      <c r="H27" s="320">
        <f t="shared" si="21"/>
        <v>0</v>
      </c>
      <c r="I27" s="320">
        <v>1</v>
      </c>
      <c r="J27" s="320">
        <f t="shared" si="1"/>
        <v>0</v>
      </c>
      <c r="K27" s="320">
        <f t="shared" si="22"/>
        <v>0</v>
      </c>
      <c r="L27" s="320"/>
      <c r="M27" s="320">
        <f t="shared" si="3"/>
        <v>0</v>
      </c>
      <c r="N27" s="320">
        <v>0</v>
      </c>
      <c r="O27" s="320">
        <v>1</v>
      </c>
      <c r="P27" s="320">
        <f t="shared" si="23"/>
        <v>0</v>
      </c>
      <c r="Q27" s="320">
        <v>0</v>
      </c>
      <c r="R27" s="320">
        <f t="shared" si="24"/>
        <v>0</v>
      </c>
      <c r="S27" s="320">
        <f t="shared" si="25"/>
        <v>0</v>
      </c>
      <c r="T27" s="320">
        <f t="shared" si="26"/>
        <v>0</v>
      </c>
      <c r="U27" s="320"/>
      <c r="V27" s="320" t="str">
        <f t="shared" si="27"/>
        <v/>
      </c>
      <c r="W27" s="320" t="str">
        <f t="shared" si="28"/>
        <v/>
      </c>
      <c r="X27" s="320" t="str">
        <f t="shared" si="8"/>
        <v/>
      </c>
      <c r="Y27" s="320" t="str">
        <f t="shared" si="29"/>
        <v/>
      </c>
      <c r="Z27" s="320" t="str">
        <f>IF(P27=0,"","opl: "&amp;N27&amp;" mL "&amp;INDEX(tblMedDiscOplVl,O27,1)&amp;" "&amp;IF(Q27=0,"","("&amp;ROUND(GlobBerMedDisc!H27/GlobBerMedDisc!N27,2)&amp;" "&amp;GlobBerMedDisc!F27&amp;"/ml)"))</f>
        <v/>
      </c>
      <c r="AA27" s="320" t="str">
        <f t="shared" si="30"/>
        <v/>
      </c>
      <c r="AB27" s="320"/>
      <c r="AC27" s="320" t="str">
        <f t="shared" si="14"/>
        <v/>
      </c>
      <c r="AD27" s="320">
        <f t="shared" si="31"/>
        <v>2</v>
      </c>
      <c r="AE27" s="320">
        <f t="shared" si="9"/>
        <v>0</v>
      </c>
      <c r="AF27" s="320" t="b">
        <v>0</v>
      </c>
      <c r="AI27">
        <v>0</v>
      </c>
      <c r="AL27" s="320" t="str">
        <f t="shared" si="16"/>
        <v/>
      </c>
      <c r="AM27" s="320" t="str">
        <f t="shared" si="17"/>
        <v/>
      </c>
      <c r="AN27" s="320" t="str">
        <f t="shared" si="18"/>
        <v/>
      </c>
      <c r="AO27" s="320" t="str">
        <f t="shared" si="19"/>
        <v/>
      </c>
      <c r="AP27" s="320" t="str">
        <f t="shared" si="20"/>
        <v/>
      </c>
    </row>
    <row r="28" spans="1:42" x14ac:dyDescent="0.2">
      <c r="A28" s="320">
        <v>27</v>
      </c>
      <c r="B28" s="320"/>
      <c r="C28" s="320"/>
      <c r="D28" s="320"/>
      <c r="E28" s="322">
        <v>0</v>
      </c>
      <c r="F28" s="320"/>
      <c r="G28" s="320">
        <v>0</v>
      </c>
      <c r="H28" s="320">
        <f t="shared" si="21"/>
        <v>0</v>
      </c>
      <c r="I28" s="320">
        <v>1</v>
      </c>
      <c r="J28" s="320">
        <f t="shared" si="1"/>
        <v>0</v>
      </c>
      <c r="K28" s="320">
        <f t="shared" si="22"/>
        <v>0</v>
      </c>
      <c r="L28" s="320"/>
      <c r="M28" s="320">
        <f t="shared" si="3"/>
        <v>0</v>
      </c>
      <c r="N28" s="320">
        <v>0</v>
      </c>
      <c r="O28" s="320">
        <v>1</v>
      </c>
      <c r="P28" s="320">
        <f t="shared" si="23"/>
        <v>0</v>
      </c>
      <c r="Q28" s="320">
        <v>0</v>
      </c>
      <c r="R28" s="320">
        <f t="shared" si="24"/>
        <v>0</v>
      </c>
      <c r="S28" s="320">
        <f t="shared" si="25"/>
        <v>0</v>
      </c>
      <c r="T28" s="320">
        <f t="shared" si="26"/>
        <v>0</v>
      </c>
      <c r="U28" s="320"/>
      <c r="V28" s="320" t="str">
        <f t="shared" si="27"/>
        <v/>
      </c>
      <c r="W28" s="320" t="str">
        <f t="shared" si="28"/>
        <v/>
      </c>
      <c r="X28" s="320" t="str">
        <f t="shared" si="8"/>
        <v/>
      </c>
      <c r="Y28" s="320" t="str">
        <f t="shared" si="29"/>
        <v/>
      </c>
      <c r="Z28" s="320" t="str">
        <f>IF(P28=0,"","opl: "&amp;N28&amp;" mL "&amp;INDEX(tblMedDiscOplVl,O28,1)&amp;" "&amp;IF(Q28=0,"","("&amp;ROUND(GlobBerMedDisc!H28/GlobBerMedDisc!N28,2)&amp;" "&amp;GlobBerMedDisc!F28&amp;"/ml)"))</f>
        <v/>
      </c>
      <c r="AA28" s="320" t="str">
        <f t="shared" si="30"/>
        <v/>
      </c>
      <c r="AB28" s="320"/>
      <c r="AC28" s="320" t="str">
        <f t="shared" si="14"/>
        <v/>
      </c>
      <c r="AD28" s="320">
        <f t="shared" si="31"/>
        <v>2</v>
      </c>
      <c r="AE28" s="320">
        <f t="shared" si="9"/>
        <v>0</v>
      </c>
      <c r="AF28" s="320" t="b">
        <v>0</v>
      </c>
      <c r="AI28">
        <v>0</v>
      </c>
      <c r="AL28" s="320" t="str">
        <f t="shared" si="16"/>
        <v/>
      </c>
      <c r="AM28" s="320" t="str">
        <f t="shared" si="17"/>
        <v/>
      </c>
      <c r="AN28" s="320" t="str">
        <f t="shared" si="18"/>
        <v/>
      </c>
      <c r="AO28" s="320" t="str">
        <f t="shared" si="19"/>
        <v/>
      </c>
      <c r="AP28" s="320" t="str">
        <f t="shared" si="20"/>
        <v/>
      </c>
    </row>
    <row r="29" spans="1:42" x14ac:dyDescent="0.2">
      <c r="A29" s="320">
        <v>28</v>
      </c>
      <c r="B29" s="320"/>
      <c r="C29" s="320"/>
      <c r="D29" s="320"/>
      <c r="E29" s="322">
        <v>0</v>
      </c>
      <c r="F29" s="320"/>
      <c r="G29" s="320">
        <v>0</v>
      </c>
      <c r="H29" s="320">
        <f t="shared" si="21"/>
        <v>0</v>
      </c>
      <c r="I29" s="320">
        <v>1</v>
      </c>
      <c r="J29" s="320">
        <f t="shared" si="1"/>
        <v>0</v>
      </c>
      <c r="K29" s="320">
        <f t="shared" si="22"/>
        <v>0</v>
      </c>
      <c r="L29" s="320"/>
      <c r="M29" s="320">
        <f t="shared" si="3"/>
        <v>0</v>
      </c>
      <c r="N29" s="320">
        <v>0</v>
      </c>
      <c r="O29" s="320">
        <v>1</v>
      </c>
      <c r="P29" s="320">
        <f t="shared" si="23"/>
        <v>0</v>
      </c>
      <c r="Q29" s="320">
        <v>0</v>
      </c>
      <c r="R29" s="320">
        <f t="shared" si="24"/>
        <v>0</v>
      </c>
      <c r="S29" s="320">
        <f t="shared" si="25"/>
        <v>0</v>
      </c>
      <c r="T29" s="320">
        <f t="shared" si="26"/>
        <v>0</v>
      </c>
      <c r="U29" s="320"/>
      <c r="V29" s="320" t="str">
        <f t="shared" si="27"/>
        <v/>
      </c>
      <c r="W29" s="320" t="str">
        <f t="shared" si="28"/>
        <v/>
      </c>
      <c r="X29" s="320" t="str">
        <f t="shared" si="8"/>
        <v/>
      </c>
      <c r="Y29" s="320" t="str">
        <f t="shared" si="29"/>
        <v/>
      </c>
      <c r="Z29" s="320" t="str">
        <f>IF(P29=0,"","opl: "&amp;N29&amp;" mL "&amp;INDEX(tblMedDiscOplVl,O29,1)&amp;" "&amp;IF(Q29=0,"","("&amp;ROUND(GlobBerMedDisc!H29/GlobBerMedDisc!N29,2)&amp;" "&amp;GlobBerMedDisc!F29&amp;"/ml)"))</f>
        <v/>
      </c>
      <c r="AA29" s="320" t="str">
        <f t="shared" si="30"/>
        <v/>
      </c>
      <c r="AB29" s="320"/>
      <c r="AC29" s="320" t="str">
        <f t="shared" si="14"/>
        <v/>
      </c>
      <c r="AD29" s="320">
        <f t="shared" si="31"/>
        <v>2</v>
      </c>
      <c r="AE29" s="320">
        <f t="shared" si="9"/>
        <v>0</v>
      </c>
      <c r="AF29" s="320" t="b">
        <v>0</v>
      </c>
      <c r="AI29">
        <v>0</v>
      </c>
      <c r="AL29" s="320" t="str">
        <f t="shared" si="16"/>
        <v/>
      </c>
      <c r="AM29" s="320" t="str">
        <f t="shared" si="17"/>
        <v/>
      </c>
      <c r="AN29" s="320" t="str">
        <f t="shared" si="18"/>
        <v/>
      </c>
      <c r="AO29" s="320" t="str">
        <f t="shared" si="19"/>
        <v/>
      </c>
      <c r="AP29" s="320" t="str">
        <f t="shared" si="20"/>
        <v/>
      </c>
    </row>
    <row r="30" spans="1:42" x14ac:dyDescent="0.2">
      <c r="A30" s="320">
        <v>29</v>
      </c>
      <c r="B30" s="320"/>
      <c r="C30" s="320"/>
      <c r="D30" s="320"/>
      <c r="E30" s="322">
        <v>0</v>
      </c>
      <c r="F30" s="320"/>
      <c r="G30" s="320">
        <v>0</v>
      </c>
      <c r="H30" s="320">
        <f t="shared" si="21"/>
        <v>0</v>
      </c>
      <c r="I30" s="320">
        <v>1</v>
      </c>
      <c r="J30" s="320">
        <f t="shared" si="1"/>
        <v>0</v>
      </c>
      <c r="K30" s="320">
        <f t="shared" si="22"/>
        <v>0</v>
      </c>
      <c r="L30" s="320"/>
      <c r="M30" s="320">
        <f t="shared" si="3"/>
        <v>0</v>
      </c>
      <c r="N30" s="320">
        <v>0</v>
      </c>
      <c r="O30" s="320">
        <v>1</v>
      </c>
      <c r="P30" s="320">
        <f t="shared" si="23"/>
        <v>0</v>
      </c>
      <c r="Q30" s="320">
        <v>0</v>
      </c>
      <c r="R30" s="320">
        <f t="shared" si="24"/>
        <v>0</v>
      </c>
      <c r="S30" s="320">
        <f t="shared" si="25"/>
        <v>0</v>
      </c>
      <c r="T30" s="320">
        <f t="shared" si="26"/>
        <v>0</v>
      </c>
      <c r="U30" s="320"/>
      <c r="V30" s="320" t="str">
        <f t="shared" si="27"/>
        <v/>
      </c>
      <c r="W30" s="320" t="str">
        <f t="shared" si="28"/>
        <v/>
      </c>
      <c r="X30" s="320" t="str">
        <f t="shared" si="8"/>
        <v/>
      </c>
      <c r="Y30" s="320" t="str">
        <f t="shared" si="29"/>
        <v/>
      </c>
      <c r="Z30" s="320" t="str">
        <f>IF(P30=0,"","opl: "&amp;N30&amp;" mL "&amp;INDEX(tblMedDiscOplVl,O30,1)&amp;" "&amp;IF(Q30=0,"","("&amp;ROUND(GlobBerMedDisc!H30/GlobBerMedDisc!N30,2)&amp;" "&amp;GlobBerMedDisc!F30&amp;"/ml)"))</f>
        <v/>
      </c>
      <c r="AA30" s="320" t="str">
        <f t="shared" si="30"/>
        <v/>
      </c>
      <c r="AB30" s="320"/>
      <c r="AC30" s="320" t="str">
        <f t="shared" si="14"/>
        <v/>
      </c>
      <c r="AD30" s="320">
        <f t="shared" si="31"/>
        <v>2</v>
      </c>
      <c r="AE30" s="320">
        <f t="shared" si="9"/>
        <v>0</v>
      </c>
      <c r="AF30" s="320" t="b">
        <v>0</v>
      </c>
      <c r="AI30">
        <v>0</v>
      </c>
      <c r="AL30" s="320" t="str">
        <f t="shared" si="16"/>
        <v/>
      </c>
      <c r="AM30" s="320" t="str">
        <f t="shared" si="17"/>
        <v/>
      </c>
      <c r="AN30" s="320" t="str">
        <f t="shared" si="18"/>
        <v/>
      </c>
      <c r="AO30" s="320" t="str">
        <f t="shared" si="19"/>
        <v/>
      </c>
      <c r="AP30" s="320" t="str">
        <f t="shared" si="20"/>
        <v/>
      </c>
    </row>
    <row r="31" spans="1:42" x14ac:dyDescent="0.2">
      <c r="A31" s="320">
        <v>30</v>
      </c>
      <c r="B31" s="320"/>
      <c r="C31" s="320"/>
      <c r="D31" s="320"/>
      <c r="E31" s="322">
        <v>0</v>
      </c>
      <c r="F31" s="320"/>
      <c r="G31" s="320">
        <v>0</v>
      </c>
      <c r="H31" s="320">
        <f t="shared" si="21"/>
        <v>0</v>
      </c>
      <c r="I31" s="320">
        <v>1</v>
      </c>
      <c r="J31" s="320">
        <f t="shared" si="1"/>
        <v>0</v>
      </c>
      <c r="K31" s="320">
        <f t="shared" si="22"/>
        <v>0</v>
      </c>
      <c r="L31" s="320"/>
      <c r="M31" s="320">
        <f t="shared" si="3"/>
        <v>0</v>
      </c>
      <c r="N31" s="320">
        <v>0</v>
      </c>
      <c r="O31" s="320">
        <v>1</v>
      </c>
      <c r="P31" s="320">
        <f t="shared" si="23"/>
        <v>0</v>
      </c>
      <c r="Q31" s="320">
        <v>0</v>
      </c>
      <c r="R31" s="320">
        <f t="shared" si="24"/>
        <v>0</v>
      </c>
      <c r="S31" s="320">
        <f t="shared" si="25"/>
        <v>0</v>
      </c>
      <c r="T31" s="320">
        <f t="shared" si="26"/>
        <v>0</v>
      </c>
      <c r="U31" s="320"/>
      <c r="V31" s="320" t="str">
        <f t="shared" si="27"/>
        <v/>
      </c>
      <c r="W31" s="320" t="str">
        <f t="shared" si="28"/>
        <v/>
      </c>
      <c r="X31" s="320" t="str">
        <f t="shared" si="8"/>
        <v/>
      </c>
      <c r="Y31" s="320" t="str">
        <f t="shared" si="29"/>
        <v/>
      </c>
      <c r="Z31" s="320" t="str">
        <f>IF(P31=0,"","opl: "&amp;N31&amp;" mL "&amp;INDEX(tblMedDiscOplVl,O31,1)&amp;" "&amp;IF(Q31=0,"","("&amp;ROUND(GlobBerMedDisc!H31/GlobBerMedDisc!N31,2)&amp;" "&amp;GlobBerMedDisc!F31&amp;"/ml)"))</f>
        <v/>
      </c>
      <c r="AA31" s="320" t="str">
        <f t="shared" si="30"/>
        <v/>
      </c>
      <c r="AB31" s="320"/>
      <c r="AC31" s="320" t="str">
        <f t="shared" si="14"/>
        <v/>
      </c>
      <c r="AD31" s="320">
        <f t="shared" si="31"/>
        <v>2</v>
      </c>
      <c r="AE31" s="320">
        <f t="shared" si="9"/>
        <v>0</v>
      </c>
      <c r="AF31" s="320" t="b">
        <v>0</v>
      </c>
      <c r="AI31">
        <v>0</v>
      </c>
      <c r="AL31" s="320" t="str">
        <f t="shared" si="16"/>
        <v/>
      </c>
      <c r="AM31" s="320" t="str">
        <f t="shared" si="17"/>
        <v/>
      </c>
      <c r="AN31" s="320" t="str">
        <f t="shared" si="18"/>
        <v/>
      </c>
      <c r="AO31" s="320" t="str">
        <f t="shared" si="19"/>
        <v/>
      </c>
      <c r="AP31" s="320" t="str">
        <f t="shared" si="20"/>
        <v/>
      </c>
    </row>
    <row r="33" spans="2:19" x14ac:dyDescent="0.2">
      <c r="P33">
        <f>SUM(P2:P31)</f>
        <v>0</v>
      </c>
      <c r="R33">
        <f>SUM(R2:R31)</f>
        <v>0</v>
      </c>
      <c r="S33">
        <f>SUM(S2:T31)</f>
        <v>0</v>
      </c>
    </row>
    <row r="34" spans="2:19" x14ac:dyDescent="0.2">
      <c r="B34" s="321" t="s">
        <v>231</v>
      </c>
    </row>
    <row r="40" spans="2:19" x14ac:dyDescent="0.2">
      <c r="D40" s="321"/>
    </row>
    <row r="41" spans="2:19" x14ac:dyDescent="0.2">
      <c r="D41" s="321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65"/>
  <sheetViews>
    <sheetView workbookViewId="0">
      <selection activeCell="B13" sqref="B13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14.5703125" customWidth="1"/>
  </cols>
  <sheetData>
    <row r="1" spans="1:18" s="320" customFormat="1" x14ac:dyDescent="0.2">
      <c r="A1" s="321" t="s">
        <v>1198</v>
      </c>
      <c r="B1" s="321" t="s">
        <v>1199</v>
      </c>
      <c r="D1" s="321" t="s">
        <v>3803</v>
      </c>
      <c r="E1" s="321" t="s">
        <v>1189</v>
      </c>
      <c r="G1" s="325"/>
      <c r="H1" s="321" t="s">
        <v>3803</v>
      </c>
      <c r="I1" s="321" t="s">
        <v>1189</v>
      </c>
      <c r="K1" s="321" t="s">
        <v>5147</v>
      </c>
      <c r="L1" s="321" t="s">
        <v>5148</v>
      </c>
      <c r="M1" s="321" t="s">
        <v>166</v>
      </c>
      <c r="P1" s="325" t="s">
        <v>5149</v>
      </c>
    </row>
    <row r="2" spans="1:18" x14ac:dyDescent="0.2">
      <c r="A2" s="321" t="s">
        <v>1185</v>
      </c>
      <c r="B2" t="b">
        <v>1</v>
      </c>
      <c r="D2" s="320" t="s">
        <v>3804</v>
      </c>
      <c r="E2" s="321" t="s">
        <v>3822</v>
      </c>
      <c r="G2" s="321" t="s">
        <v>5144</v>
      </c>
      <c r="H2" s="702" t="s">
        <v>5137</v>
      </c>
      <c r="I2" s="702" t="s">
        <v>5137</v>
      </c>
      <c r="K2" s="321" t="s">
        <v>5150</v>
      </c>
      <c r="L2" s="321"/>
      <c r="M2" s="321"/>
      <c r="N2" s="320"/>
      <c r="O2" s="320"/>
      <c r="P2" s="152"/>
      <c r="Q2" s="152"/>
      <c r="R2" s="152"/>
    </row>
    <row r="3" spans="1:18" x14ac:dyDescent="0.2">
      <c r="A3" s="321" t="s">
        <v>1186</v>
      </c>
      <c r="B3" t="b">
        <v>1</v>
      </c>
      <c r="D3" s="320" t="s">
        <v>3805</v>
      </c>
      <c r="E3" s="321" t="s">
        <v>3823</v>
      </c>
      <c r="G3" s="321" t="s">
        <v>5141</v>
      </c>
      <c r="H3" s="780" t="s">
        <v>5141</v>
      </c>
      <c r="I3" s="709" t="s">
        <v>5141</v>
      </c>
      <c r="K3" s="321" t="s">
        <v>5150</v>
      </c>
      <c r="L3" s="321" t="s">
        <v>5141</v>
      </c>
      <c r="M3" s="320" t="e">
        <f>P3:R3</f>
        <v>#VALUE!</v>
      </c>
      <c r="N3" s="320"/>
      <c r="O3" s="320"/>
      <c r="P3" s="710" t="s">
        <v>5149</v>
      </c>
      <c r="Q3" s="711" t="s">
        <v>5141</v>
      </c>
      <c r="R3" s="712"/>
    </row>
    <row r="4" spans="1:18" x14ac:dyDescent="0.2">
      <c r="A4" s="321" t="s">
        <v>1187</v>
      </c>
      <c r="B4" s="321" t="s">
        <v>1189</v>
      </c>
      <c r="C4" s="320"/>
      <c r="D4" s="320" t="s">
        <v>3806</v>
      </c>
      <c r="E4" s="321" t="s">
        <v>3824</v>
      </c>
      <c r="G4" s="321" t="s">
        <v>5140</v>
      </c>
      <c r="H4" s="703" t="s">
        <v>5140</v>
      </c>
      <c r="I4" s="703" t="s">
        <v>5140</v>
      </c>
      <c r="K4" s="321" t="s">
        <v>5150</v>
      </c>
      <c r="L4" s="321" t="s">
        <v>5140</v>
      </c>
      <c r="M4" s="320" t="e">
        <f t="shared" ref="M4:M9" si="0">P4:R4</f>
        <v>#VALUE!</v>
      </c>
      <c r="N4" s="320"/>
      <c r="O4" s="320"/>
      <c r="P4" s="733" t="s">
        <v>5149</v>
      </c>
      <c r="Q4" s="733" t="s">
        <v>5140</v>
      </c>
      <c r="R4" s="733"/>
    </row>
    <row r="5" spans="1:18" x14ac:dyDescent="0.2">
      <c r="A5" s="321" t="s">
        <v>1188</v>
      </c>
      <c r="B5" s="321" t="s">
        <v>1190</v>
      </c>
      <c r="C5" s="320"/>
      <c r="D5" s="320" t="s">
        <v>3807</v>
      </c>
      <c r="E5" s="321" t="s">
        <v>3825</v>
      </c>
      <c r="G5" s="321" t="s">
        <v>5138</v>
      </c>
      <c r="H5" s="704" t="s">
        <v>5138</v>
      </c>
      <c r="I5" s="704" t="s">
        <v>5138</v>
      </c>
      <c r="K5" s="321" t="s">
        <v>5150</v>
      </c>
      <c r="L5" s="321" t="s">
        <v>5138</v>
      </c>
      <c r="M5" s="320" t="e">
        <f t="shared" si="0"/>
        <v>#VALUE!</v>
      </c>
      <c r="N5" s="320"/>
      <c r="O5" s="320"/>
      <c r="P5" s="771" t="s">
        <v>5149</v>
      </c>
      <c r="Q5" s="771" t="s">
        <v>5138</v>
      </c>
      <c r="R5" s="771"/>
    </row>
    <row r="6" spans="1:18" x14ac:dyDescent="0.2">
      <c r="A6" s="321" t="s">
        <v>1191</v>
      </c>
      <c r="B6" s="321" t="s">
        <v>5149</v>
      </c>
      <c r="C6" s="320"/>
      <c r="D6" s="320" t="s">
        <v>3808</v>
      </c>
      <c r="E6" s="321" t="s">
        <v>3826</v>
      </c>
      <c r="G6" s="321" t="s">
        <v>5139</v>
      </c>
      <c r="H6" s="705" t="s">
        <v>5139</v>
      </c>
      <c r="I6" s="705" t="s">
        <v>5139</v>
      </c>
      <c r="K6" s="321" t="s">
        <v>5150</v>
      </c>
      <c r="L6" s="321" t="s">
        <v>5139</v>
      </c>
      <c r="M6" s="320" t="e">
        <f t="shared" si="0"/>
        <v>#VALUE!</v>
      </c>
      <c r="N6" s="320"/>
      <c r="O6" s="320"/>
      <c r="P6" s="772" t="s">
        <v>5149</v>
      </c>
      <c r="Q6" s="772" t="s">
        <v>5139</v>
      </c>
      <c r="R6" s="772"/>
    </row>
    <row r="7" spans="1:18" x14ac:dyDescent="0.2">
      <c r="A7" s="321" t="s">
        <v>1192</v>
      </c>
      <c r="B7" t="s">
        <v>1193</v>
      </c>
      <c r="C7" s="320"/>
      <c r="D7" s="320" t="s">
        <v>3809</v>
      </c>
      <c r="E7" s="321" t="s">
        <v>3827</v>
      </c>
      <c r="G7" s="321" t="s">
        <v>5142</v>
      </c>
      <c r="H7" s="706" t="s">
        <v>5142</v>
      </c>
      <c r="I7" s="706" t="s">
        <v>5142</v>
      </c>
      <c r="K7" s="321" t="s">
        <v>5150</v>
      </c>
      <c r="L7" s="321" t="s">
        <v>5142</v>
      </c>
      <c r="M7" s="320" t="e">
        <f t="shared" si="0"/>
        <v>#VALUE!</v>
      </c>
      <c r="N7" s="320"/>
      <c r="O7" s="320"/>
      <c r="P7" s="773" t="s">
        <v>5149</v>
      </c>
      <c r="Q7" s="773" t="s">
        <v>5142</v>
      </c>
      <c r="R7" s="773"/>
    </row>
    <row r="8" spans="1:18" x14ac:dyDescent="0.2">
      <c r="A8" s="321" t="s">
        <v>1194</v>
      </c>
      <c r="B8" s="321" t="s">
        <v>1195</v>
      </c>
      <c r="C8" s="320"/>
      <c r="D8" s="320" t="s">
        <v>3810</v>
      </c>
      <c r="E8" s="321" t="s">
        <v>3828</v>
      </c>
      <c r="G8" s="321" t="s">
        <v>5145</v>
      </c>
      <c r="H8" s="707" t="s">
        <v>122</v>
      </c>
      <c r="I8" s="707" t="s">
        <v>122</v>
      </c>
      <c r="K8" s="321" t="s">
        <v>5150</v>
      </c>
      <c r="L8" s="321" t="s">
        <v>5145</v>
      </c>
      <c r="M8" s="320" t="e">
        <f t="shared" si="0"/>
        <v>#VALUE!</v>
      </c>
      <c r="N8" s="320"/>
      <c r="O8" s="320"/>
      <c r="P8" s="774" t="s">
        <v>5149</v>
      </c>
      <c r="Q8" s="774" t="s">
        <v>5145</v>
      </c>
      <c r="R8" s="774"/>
    </row>
    <row r="9" spans="1:18" x14ac:dyDescent="0.2">
      <c r="A9" s="321" t="s">
        <v>1196</v>
      </c>
      <c r="B9" t="s">
        <v>1197</v>
      </c>
      <c r="C9" s="320"/>
      <c r="D9" s="320" t="s">
        <v>3811</v>
      </c>
      <c r="E9" s="321" t="s">
        <v>3829</v>
      </c>
      <c r="G9" s="321" t="s">
        <v>5143</v>
      </c>
      <c r="H9" s="708" t="s">
        <v>5143</v>
      </c>
      <c r="I9" s="708" t="s">
        <v>5143</v>
      </c>
      <c r="K9" s="321" t="s">
        <v>5150</v>
      </c>
      <c r="L9" s="321" t="s">
        <v>5143</v>
      </c>
      <c r="M9" s="320" t="e">
        <f t="shared" si="0"/>
        <v>#VALUE!</v>
      </c>
      <c r="N9" s="320"/>
      <c r="O9" s="320"/>
      <c r="P9" s="775" t="s">
        <v>5149</v>
      </c>
      <c r="Q9" s="775" t="s">
        <v>5143</v>
      </c>
      <c r="R9" s="775"/>
    </row>
    <row r="10" spans="1:18" x14ac:dyDescent="0.2">
      <c r="A10" s="321" t="s">
        <v>1200</v>
      </c>
      <c r="B10" s="321" t="s">
        <v>1201</v>
      </c>
      <c r="C10" s="320"/>
      <c r="D10" s="320" t="s">
        <v>3812</v>
      </c>
      <c r="E10" s="321" t="s">
        <v>3830</v>
      </c>
      <c r="K10" s="321" t="s">
        <v>5146</v>
      </c>
      <c r="L10" s="321" t="s">
        <v>5144</v>
      </c>
      <c r="M10" s="320">
        <f>PedGuiMedIV!A1</f>
        <v>0</v>
      </c>
      <c r="P10" s="152"/>
      <c r="Q10" s="152"/>
      <c r="R10" s="152"/>
    </row>
    <row r="11" spans="1:18" x14ac:dyDescent="0.2">
      <c r="C11" s="320"/>
      <c r="D11" s="320" t="s">
        <v>3813</v>
      </c>
      <c r="E11" s="321" t="s">
        <v>3831</v>
      </c>
      <c r="K11" s="321" t="s">
        <v>5146</v>
      </c>
      <c r="L11" s="321" t="s">
        <v>5141</v>
      </c>
      <c r="M11" s="328" t="e">
        <f>PedGuiMedIV!E9:N23,PedGuiMedIV!E25:N29,PedGuiMedIV!F37</f>
        <v>#VALUE!</v>
      </c>
      <c r="P11" s="152"/>
      <c r="Q11" s="152"/>
      <c r="R11" s="152"/>
    </row>
    <row r="12" spans="1:18" x14ac:dyDescent="0.2">
      <c r="D12" s="320" t="s">
        <v>3814</v>
      </c>
      <c r="E12" s="321" t="s">
        <v>3832</v>
      </c>
      <c r="K12" s="321" t="s">
        <v>5146</v>
      </c>
      <c r="L12" s="321" t="s">
        <v>5140</v>
      </c>
      <c r="M12" s="328" t="e">
        <f>PedGuiMedIV!D9:D23,PedGuiMedIV!D25:D29,PedGuiMedIV!D37:E39</f>
        <v>#VALUE!</v>
      </c>
      <c r="P12" s="152"/>
      <c r="Q12" s="152"/>
      <c r="R12" s="152"/>
    </row>
    <row r="13" spans="1:18" x14ac:dyDescent="0.2">
      <c r="D13" s="320" t="s">
        <v>3815</v>
      </c>
      <c r="E13" s="321" t="s">
        <v>3833</v>
      </c>
      <c r="K13" s="321" t="s">
        <v>5146</v>
      </c>
      <c r="L13" s="321" t="s">
        <v>5138</v>
      </c>
      <c r="M13" s="328" t="e">
        <f>PedGuiMedIV!B1:N5</f>
        <v>#VALUE!</v>
      </c>
    </row>
    <row r="14" spans="1:18" x14ac:dyDescent="0.2">
      <c r="D14" s="320" t="s">
        <v>3816</v>
      </c>
      <c r="E14" s="321" t="s">
        <v>3834</v>
      </c>
      <c r="K14" s="321" t="s">
        <v>5146</v>
      </c>
      <c r="L14" s="321" t="s">
        <v>5139</v>
      </c>
      <c r="M14" t="str">
        <f>PedGuiMedIV!B7:N7</f>
        <v>Adviesdosering</v>
      </c>
    </row>
    <row r="15" spans="1:18" x14ac:dyDescent="0.2">
      <c r="D15" s="320" t="s">
        <v>3817</v>
      </c>
      <c r="E15" s="321" t="s">
        <v>3835</v>
      </c>
      <c r="K15" s="321" t="s">
        <v>5146</v>
      </c>
      <c r="L15" s="321" t="s">
        <v>5142</v>
      </c>
      <c r="M15" s="328" t="e">
        <f>PedGuiMedIV!D31:N35</f>
        <v>#VALUE!</v>
      </c>
    </row>
    <row r="16" spans="1:18" x14ac:dyDescent="0.2">
      <c r="D16" s="320" t="s">
        <v>3818</v>
      </c>
      <c r="E16" s="321" t="s">
        <v>3836</v>
      </c>
      <c r="K16" s="321" t="s">
        <v>5146</v>
      </c>
      <c r="L16" s="321" t="s">
        <v>5145</v>
      </c>
    </row>
    <row r="17" spans="4:13" x14ac:dyDescent="0.2">
      <c r="D17" s="320" t="s">
        <v>3819</v>
      </c>
      <c r="E17" s="321" t="s">
        <v>3837</v>
      </c>
      <c r="K17" s="321" t="s">
        <v>5146</v>
      </c>
      <c r="L17" s="321" t="s">
        <v>5143</v>
      </c>
    </row>
    <row r="18" spans="4:13" x14ac:dyDescent="0.2">
      <c r="D18" s="320" t="s">
        <v>3820</v>
      </c>
      <c r="E18" s="321" t="s">
        <v>3838</v>
      </c>
      <c r="K18" s="321" t="s">
        <v>5151</v>
      </c>
      <c r="L18" s="321" t="s">
        <v>5144</v>
      </c>
      <c r="M18">
        <f>GlobGuiMedDisc!A1</f>
        <v>0</v>
      </c>
    </row>
    <row r="19" spans="4:13" x14ac:dyDescent="0.2">
      <c r="D19" s="320" t="s">
        <v>3821</v>
      </c>
      <c r="E19" s="321" t="s">
        <v>3839</v>
      </c>
      <c r="K19" s="321" t="s">
        <v>5151</v>
      </c>
      <c r="L19" s="321" t="s">
        <v>5141</v>
      </c>
      <c r="M19" t="str">
        <f>GlobGuiMedDisc!E9:S38</f>
        <v/>
      </c>
    </row>
    <row r="20" spans="4:13" x14ac:dyDescent="0.2">
      <c r="E20" s="321" t="s">
        <v>3840</v>
      </c>
      <c r="K20" s="321" t="s">
        <v>5151</v>
      </c>
      <c r="L20" s="321" t="s">
        <v>5140</v>
      </c>
      <c r="M20">
        <f>GlobGuiMedDisc!D9:D38</f>
        <v>12</v>
      </c>
    </row>
    <row r="21" spans="4:13" x14ac:dyDescent="0.2">
      <c r="E21" s="321" t="s">
        <v>3841</v>
      </c>
      <c r="K21" s="321" t="s">
        <v>5151</v>
      </c>
      <c r="L21" s="321" t="s">
        <v>5138</v>
      </c>
      <c r="M21" t="e">
        <f>GlobGuiMedDisc!B1:S5</f>
        <v>#VALUE!</v>
      </c>
    </row>
    <row r="22" spans="4:13" x14ac:dyDescent="0.2">
      <c r="E22" s="321" t="s">
        <v>3842</v>
      </c>
      <c r="K22" s="321" t="s">
        <v>5151</v>
      </c>
      <c r="L22" s="321" t="s">
        <v>5139</v>
      </c>
      <c r="M22" t="str">
        <f>GlobGuiMedDisc!B7:S7</f>
        <v>Dosering</v>
      </c>
    </row>
    <row r="23" spans="4:13" x14ac:dyDescent="0.2">
      <c r="E23" s="321" t="s">
        <v>3843</v>
      </c>
      <c r="K23" s="321" t="s">
        <v>5151</v>
      </c>
      <c r="L23" s="321" t="s">
        <v>5142</v>
      </c>
    </row>
    <row r="24" spans="4:13" x14ac:dyDescent="0.2">
      <c r="E24" s="321" t="s">
        <v>3844</v>
      </c>
      <c r="K24" s="321" t="s">
        <v>5151</v>
      </c>
      <c r="L24" s="321" t="s">
        <v>5145</v>
      </c>
    </row>
    <row r="25" spans="4:13" x14ac:dyDescent="0.2">
      <c r="E25" s="321" t="s">
        <v>3845</v>
      </c>
      <c r="K25" s="321" t="s">
        <v>5151</v>
      </c>
      <c r="L25" s="321" t="s">
        <v>5143</v>
      </c>
    </row>
    <row r="26" spans="4:13" x14ac:dyDescent="0.2">
      <c r="E26" s="321" t="s">
        <v>3846</v>
      </c>
      <c r="K26" s="321" t="s">
        <v>5152</v>
      </c>
      <c r="L26" s="321" t="s">
        <v>5144</v>
      </c>
      <c r="M26">
        <f>PedGuiLijnPM!A1</f>
        <v>0</v>
      </c>
    </row>
    <row r="27" spans="4:13" x14ac:dyDescent="0.2">
      <c r="E27" s="321" t="s">
        <v>3847</v>
      </c>
      <c r="K27" s="321" t="s">
        <v>5152</v>
      </c>
      <c r="L27" s="321" t="s">
        <v>5141</v>
      </c>
      <c r="M27" t="e">
        <f>PedGuiLijnPM!E16,PedGuiLijnPM!E23,PedGuiLijnPM!E25:E26,PedGuiLijnPM!E28,PedGuiLijnPM!E30:E31</f>
        <v>#VALUE!</v>
      </c>
    </row>
    <row r="28" spans="4:13" x14ac:dyDescent="0.2">
      <c r="E28" s="321" t="s">
        <v>3848</v>
      </c>
      <c r="K28" s="321" t="s">
        <v>5152</v>
      </c>
      <c r="L28" s="321" t="s">
        <v>5140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E29" s="321" t="s">
        <v>3849</v>
      </c>
      <c r="K29" s="321" t="s">
        <v>5152</v>
      </c>
      <c r="L29" s="321" t="s">
        <v>5138</v>
      </c>
      <c r="M29" t="e">
        <f>PedGuiLijnPM!B1:K5</f>
        <v>#VALUE!</v>
      </c>
    </row>
    <row r="30" spans="4:13" x14ac:dyDescent="0.2">
      <c r="E30" s="321" t="s">
        <v>3850</v>
      </c>
      <c r="K30" s="321" t="s">
        <v>5152</v>
      </c>
      <c r="L30" s="321" t="s">
        <v>5139</v>
      </c>
      <c r="M30" t="e">
        <f>PedGuiLijnPM!B7:K7,PedGuiLijnPM!B19:K19</f>
        <v>#VALUE!</v>
      </c>
    </row>
    <row r="31" spans="4:13" x14ac:dyDescent="0.2">
      <c r="E31" s="321" t="s">
        <v>3851</v>
      </c>
      <c r="K31" s="321" t="s">
        <v>5152</v>
      </c>
      <c r="L31" s="321" t="s">
        <v>5142</v>
      </c>
    </row>
    <row r="32" spans="4:13" x14ac:dyDescent="0.2">
      <c r="E32" s="321" t="s">
        <v>3852</v>
      </c>
      <c r="K32" s="321" t="s">
        <v>5152</v>
      </c>
      <c r="L32" s="321" t="s">
        <v>5145</v>
      </c>
    </row>
    <row r="33" spans="5:13" x14ac:dyDescent="0.2">
      <c r="E33" s="321" t="s">
        <v>3853</v>
      </c>
      <c r="K33" s="321" t="s">
        <v>5152</v>
      </c>
      <c r="L33" s="321" t="s">
        <v>5143</v>
      </c>
    </row>
    <row r="34" spans="5:13" x14ac:dyDescent="0.2">
      <c r="E34" s="321" t="s">
        <v>3854</v>
      </c>
      <c r="K34" s="321" t="s">
        <v>5153</v>
      </c>
      <c r="L34" s="321" t="s">
        <v>5144</v>
      </c>
      <c r="M34">
        <f>PedGuiEntTPN!A1</f>
        <v>0</v>
      </c>
    </row>
    <row r="35" spans="5:13" x14ac:dyDescent="0.2">
      <c r="E35" s="321" t="s">
        <v>3855</v>
      </c>
      <c r="K35" s="321" t="s">
        <v>5153</v>
      </c>
      <c r="L35" s="321" t="s">
        <v>5141</v>
      </c>
      <c r="M35" t="e">
        <f>PedGuiEntTPN!D12:E12,PedGuiEntTPN!D14:E16,PedGuiEntTPN!K10:K18,PedGuiEntTPN!E18,PedGuiEntTPN!E22,PedGuiEntTPN!F23:F24,PedGuiEntTPN!F26:F27,PedGuiEntTPN!F29:F30,PedGuiEntTPN!F32,PedGuiEntTPN!E34,PedGuiEntTPN!F36:F37,PedGuiEntTPN!J26:J27,PedGuiEntTPN!E39</f>
        <v>#VALUE!</v>
      </c>
    </row>
    <row r="36" spans="5:13" x14ac:dyDescent="0.2">
      <c r="E36" s="321" t="s">
        <v>3856</v>
      </c>
      <c r="K36" s="321" t="s">
        <v>5153</v>
      </c>
      <c r="L36" s="321" t="s">
        <v>5140</v>
      </c>
      <c r="M36" t="e">
        <f>PedGuiEntTPN!C9:D9,PedGuiEntTPN!G9,PedGuiEntTPN!C11:G11,PedGuiEntTPN!C12:C16,PedGuiEntTPN!D13:G13,PedGuiEntTPN!J9:L9,PedGuiEntTPN!J10:J18,PedGuiEntTPN!C18:D18,PedGuiEntTPN!C22:D30,PedGuiEntTPN!C32:D32,PedGuiEntTPN!C34:D37,PedGuiEntTPN!I22:I27,PedGuiEntTPN!C39:D39</f>
        <v>#VALUE!</v>
      </c>
    </row>
    <row r="37" spans="5:13" x14ac:dyDescent="0.2">
      <c r="E37" s="321" t="s">
        <v>3857</v>
      </c>
      <c r="K37" s="321" t="s">
        <v>5153</v>
      </c>
      <c r="L37" s="321" t="s">
        <v>5138</v>
      </c>
      <c r="M37" t="e">
        <f>PedGuiEntTPN!B1:L5</f>
        <v>#VALUE!</v>
      </c>
    </row>
    <row r="38" spans="5:13" x14ac:dyDescent="0.2">
      <c r="E38" s="321" t="s">
        <v>3858</v>
      </c>
      <c r="K38" s="321" t="s">
        <v>5153</v>
      </c>
      <c r="L38" s="321" t="s">
        <v>5139</v>
      </c>
      <c r="M38" t="e">
        <f>PedGuiEntTPN!B7:L7,PedGuiEntTPN!B20:L20</f>
        <v>#VALUE!</v>
      </c>
    </row>
    <row r="39" spans="5:13" x14ac:dyDescent="0.2">
      <c r="E39" s="321" t="s">
        <v>3859</v>
      </c>
      <c r="K39" s="321" t="s">
        <v>5153</v>
      </c>
      <c r="L39" s="321" t="s">
        <v>5142</v>
      </c>
      <c r="M39" t="e">
        <f>PedGuiEntTPN!B41:L45</f>
        <v>#VALUE!</v>
      </c>
    </row>
    <row r="40" spans="5:13" x14ac:dyDescent="0.2">
      <c r="E40" s="321" t="s">
        <v>3860</v>
      </c>
      <c r="K40" s="321" t="s">
        <v>5153</v>
      </c>
      <c r="L40" s="321" t="s">
        <v>5145</v>
      </c>
    </row>
    <row r="41" spans="5:13" x14ac:dyDescent="0.2">
      <c r="E41" s="321" t="s">
        <v>3861</v>
      </c>
      <c r="K41" s="321" t="s">
        <v>5153</v>
      </c>
      <c r="L41" s="321" t="s">
        <v>5143</v>
      </c>
    </row>
    <row r="42" spans="5:13" x14ac:dyDescent="0.2">
      <c r="E42" s="321" t="s">
        <v>3862</v>
      </c>
      <c r="K42" s="321" t="s">
        <v>5154</v>
      </c>
      <c r="L42" s="321" t="s">
        <v>5144</v>
      </c>
      <c r="M42">
        <f>PedGuiLab!A1</f>
        <v>0</v>
      </c>
    </row>
    <row r="43" spans="5:13" x14ac:dyDescent="0.2">
      <c r="E43" s="321" t="s">
        <v>3863</v>
      </c>
      <c r="K43" s="321" t="s">
        <v>5154</v>
      </c>
      <c r="L43" s="321" t="s">
        <v>5141</v>
      </c>
      <c r="M43" t="str">
        <f>PedGuiLab!D43</f>
        <v/>
      </c>
    </row>
    <row r="44" spans="5:13" x14ac:dyDescent="0.2">
      <c r="E44" s="321" t="s">
        <v>3864</v>
      </c>
      <c r="K44" s="321" t="s">
        <v>5154</v>
      </c>
      <c r="L44" s="321" t="s">
        <v>5140</v>
      </c>
      <c r="M44" t="e">
        <f>PedGuiLab!B9:L9,PedGuiLab!B43:C44</f>
        <v>#VALUE!</v>
      </c>
    </row>
    <row r="45" spans="5:13" x14ac:dyDescent="0.2">
      <c r="E45" s="321" t="s">
        <v>3865</v>
      </c>
      <c r="K45" s="321" t="s">
        <v>5154</v>
      </c>
      <c r="L45" s="321" t="s">
        <v>5138</v>
      </c>
      <c r="M45" t="e">
        <f>PedGuiLab!B1:N5</f>
        <v>#VALUE!</v>
      </c>
    </row>
    <row r="46" spans="5:13" x14ac:dyDescent="0.2">
      <c r="E46" s="321" t="s">
        <v>3866</v>
      </c>
      <c r="K46" s="321" t="s">
        <v>5154</v>
      </c>
      <c r="L46" s="321" t="s">
        <v>5139</v>
      </c>
      <c r="M46">
        <f>PedGuiLab!B7:N7</f>
        <v>0</v>
      </c>
    </row>
    <row r="47" spans="5:13" x14ac:dyDescent="0.2">
      <c r="E47" s="321" t="s">
        <v>3867</v>
      </c>
      <c r="K47" s="321" t="s">
        <v>5154</v>
      </c>
      <c r="L47" s="321" t="s">
        <v>5142</v>
      </c>
    </row>
    <row r="48" spans="5:13" x14ac:dyDescent="0.2">
      <c r="E48" s="321" t="s">
        <v>3868</v>
      </c>
      <c r="K48" s="321" t="s">
        <v>5154</v>
      </c>
      <c r="L48" s="321" t="s">
        <v>5145</v>
      </c>
      <c r="M48" t="e">
        <f>PedGuiLab!B10:I41,PedGuiLab!K10:L41</f>
        <v>#VALUE!</v>
      </c>
    </row>
    <row r="49" spans="5:13" x14ac:dyDescent="0.2">
      <c r="E49" s="321" t="s">
        <v>3869</v>
      </c>
      <c r="K49" s="321" t="s">
        <v>5154</v>
      </c>
      <c r="L49" s="321" t="s">
        <v>5143</v>
      </c>
    </row>
    <row r="50" spans="5:13" x14ac:dyDescent="0.2">
      <c r="E50" s="321" t="s">
        <v>3870</v>
      </c>
      <c r="K50" s="321" t="s">
        <v>5155</v>
      </c>
      <c r="L50" s="321" t="s">
        <v>5144</v>
      </c>
      <c r="M50">
        <f>PedGuiAcuut!A1</f>
        <v>0</v>
      </c>
    </row>
    <row r="51" spans="5:13" x14ac:dyDescent="0.2">
      <c r="E51" s="321" t="s">
        <v>3871</v>
      </c>
      <c r="K51" s="321" t="s">
        <v>5155</v>
      </c>
      <c r="L51" s="321" t="s">
        <v>5141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321" t="s">
        <v>3872</v>
      </c>
      <c r="K52" s="321" t="s">
        <v>5155</v>
      </c>
      <c r="L52" s="321" t="s">
        <v>5140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321" t="s">
        <v>3873</v>
      </c>
      <c r="K53" s="321" t="s">
        <v>5155</v>
      </c>
      <c r="L53" s="321" t="s">
        <v>5138</v>
      </c>
      <c r="M53" t="e">
        <f>PedGuiAcuut!B2:G5</f>
        <v>#VALUE!</v>
      </c>
    </row>
    <row r="54" spans="5:13" x14ac:dyDescent="0.2">
      <c r="E54" s="321" t="s">
        <v>3874</v>
      </c>
      <c r="K54" s="321" t="s">
        <v>5155</v>
      </c>
      <c r="L54" s="321" t="s">
        <v>5139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321" t="s">
        <v>5155</v>
      </c>
      <c r="L55" s="321" t="s">
        <v>5142</v>
      </c>
    </row>
    <row r="56" spans="5:13" x14ac:dyDescent="0.2">
      <c r="K56" s="321" t="s">
        <v>5155</v>
      </c>
      <c r="L56" s="321" t="s">
        <v>5145</v>
      </c>
    </row>
    <row r="57" spans="5:13" x14ac:dyDescent="0.2">
      <c r="K57" s="321" t="s">
        <v>5155</v>
      </c>
      <c r="L57" s="321" t="s">
        <v>5143</v>
      </c>
    </row>
    <row r="58" spans="5:13" x14ac:dyDescent="0.2">
      <c r="K58" s="321" t="s">
        <v>5156</v>
      </c>
      <c r="L58" s="321" t="s">
        <v>5144</v>
      </c>
      <c r="M58">
        <f>PedGuiAfspr!A1</f>
        <v>0</v>
      </c>
    </row>
    <row r="59" spans="5:13" x14ac:dyDescent="0.2">
      <c r="K59" s="321" t="s">
        <v>5156</v>
      </c>
      <c r="L59" s="321" t="s">
        <v>5141</v>
      </c>
      <c r="M59" t="e">
        <f>PedGuiAfspr!C8:C11,PedGuiAfspr!C18:C19,PedGuiAfspr!G9:G10,PedGuiAfspr!I10,PedGuiAfspr!F18,PedGuiAfspr!D35</f>
        <v>#VALUE!</v>
      </c>
    </row>
    <row r="60" spans="5:13" x14ac:dyDescent="0.2">
      <c r="K60" s="321" t="s">
        <v>5156</v>
      </c>
      <c r="L60" s="321" t="s">
        <v>5140</v>
      </c>
      <c r="M60" t="e">
        <f>PedGuiAfspr!H10,PedGuiAfspr!F17:I17</f>
        <v>#VALUE!</v>
      </c>
    </row>
    <row r="61" spans="5:13" x14ac:dyDescent="0.2">
      <c r="K61" s="321" t="s">
        <v>5156</v>
      </c>
      <c r="L61" s="321" t="s">
        <v>5138</v>
      </c>
      <c r="M61" t="e">
        <f>PedGuiAfspr!B1:I4</f>
        <v>#VALUE!</v>
      </c>
    </row>
    <row r="62" spans="5:13" x14ac:dyDescent="0.2">
      <c r="K62" s="321" t="s">
        <v>5156</v>
      </c>
      <c r="L62" s="321" t="s">
        <v>5139</v>
      </c>
      <c r="M62" t="e">
        <f>PedGuiAfspr!B6:I6,PedGuiAfspr!B22:I22,PedGuiAfspr!B28:I28</f>
        <v>#VALUE!</v>
      </c>
    </row>
    <row r="63" spans="5:13" x14ac:dyDescent="0.2">
      <c r="K63" s="321" t="s">
        <v>5156</v>
      </c>
      <c r="L63" s="321" t="s">
        <v>5142</v>
      </c>
      <c r="M63" t="e">
        <f>PedGuiAfspr!B37:I41</f>
        <v>#VALUE!</v>
      </c>
    </row>
    <row r="64" spans="5:13" x14ac:dyDescent="0.2">
      <c r="K64" s="321" t="s">
        <v>5156</v>
      </c>
      <c r="L64" s="321" t="s">
        <v>5145</v>
      </c>
    </row>
    <row r="65" spans="11:12" x14ac:dyDescent="0.2">
      <c r="K65" s="321" t="s">
        <v>5156</v>
      </c>
      <c r="L65" s="321" t="s">
        <v>5143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2028"/>
  <sheetViews>
    <sheetView workbookViewId="0">
      <pane ySplit="1" topLeftCell="A776" activePane="bottomLeft" state="frozen"/>
      <selection pane="bottomLeft" activeCell="C914" sqref="C914"/>
    </sheetView>
  </sheetViews>
  <sheetFormatPr defaultRowHeight="12.75" x14ac:dyDescent="0.2"/>
  <cols>
    <col min="1" max="1" width="40.42578125" customWidth="1"/>
    <col min="2" max="2" width="32.28515625" customWidth="1"/>
    <col min="3" max="3" width="34.42578125" customWidth="1"/>
    <col min="4" max="4" width="15" customWidth="1"/>
    <col min="5" max="5" width="30.42578125" customWidth="1"/>
  </cols>
  <sheetData>
    <row r="1" spans="1:9" x14ac:dyDescent="0.2">
      <c r="A1" t="s">
        <v>1204</v>
      </c>
      <c r="B1" t="s">
        <v>1202</v>
      </c>
      <c r="C1" t="s">
        <v>1203</v>
      </c>
      <c r="D1" t="s">
        <v>2505</v>
      </c>
      <c r="E1" t="s">
        <v>1199</v>
      </c>
      <c r="F1" t="s">
        <v>2374</v>
      </c>
      <c r="G1" t="s">
        <v>2502</v>
      </c>
      <c r="H1" t="s">
        <v>2503</v>
      </c>
      <c r="I1" t="s">
        <v>2504</v>
      </c>
    </row>
    <row r="2" spans="1:9" x14ac:dyDescent="0.2">
      <c r="A2" t="s">
        <v>3957</v>
      </c>
      <c r="B2" t="s">
        <v>1205</v>
      </c>
      <c r="D2" t="b">
        <f>IFERROR(VLOOKUP(B2,PatData!$A$2:$A$2000,1,),"")&lt;&gt;""</f>
        <v>1</v>
      </c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1790</v>
      </c>
      <c r="B3" t="s">
        <v>1206</v>
      </c>
      <c r="D3" t="b">
        <f>IFERROR(VLOOKUP(B3,PatData!$A$2:$A$2000,1,),"")&lt;&gt;""</f>
        <v>1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3958</v>
      </c>
      <c r="B4" t="s">
        <v>1207</v>
      </c>
      <c r="D4" t="b">
        <f>IFERROR(VLOOKUP(B4,PatData!$A$2:$A$2000,1,),"")&lt;&gt;""</f>
        <v>1</v>
      </c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3959</v>
      </c>
      <c r="B5" t="s">
        <v>1208</v>
      </c>
      <c r="D5" t="b">
        <f>IFERROR(VLOOKUP(B5,PatData!$A$2:$A$2000,1,),"")&lt;&gt;""</f>
        <v>1</v>
      </c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3960</v>
      </c>
      <c r="B6" t="s">
        <v>1209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5157</v>
      </c>
      <c r="B7" t="s">
        <v>2179</v>
      </c>
      <c r="D7" t="b">
        <f>IFERROR(VLOOKUP(B7,PatData!$A$2:$A$2000,1,),"")&lt;&gt;""</f>
        <v>0</v>
      </c>
      <c r="E7" t="s">
        <v>1204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1288</v>
      </c>
      <c r="B8" t="s">
        <v>1210</v>
      </c>
      <c r="D8" t="b">
        <f>IFERROR(VLOOKUP(B8,PatData!$A$2:$A$2000,1,),"")&lt;&gt;""</f>
        <v>0</v>
      </c>
      <c r="E8" t="s">
        <v>1205</v>
      </c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5073</v>
      </c>
      <c r="B9" t="s">
        <v>1211</v>
      </c>
      <c r="D9" t="b">
        <f>IFERROR(VLOOKUP(B9,PatData!$A$2:$A$2000,1,),"")&lt;&gt;""</f>
        <v>0</v>
      </c>
      <c r="E9" t="s">
        <v>166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4351</v>
      </c>
      <c r="B10" t="s">
        <v>2512</v>
      </c>
      <c r="D10" t="b">
        <f>IFERROR(VLOOKUP(B10,PatData!$A$2:$A$2000,1,),"")&lt;&gt;""</f>
        <v>1</v>
      </c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4352</v>
      </c>
      <c r="B11" t="s">
        <v>2513</v>
      </c>
      <c r="D11" t="b">
        <f>IFERROR(VLOOKUP(B11,PatData!$A$2:$A$2000,1,),"")&lt;&gt;""</f>
        <v>1</v>
      </c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4353</v>
      </c>
      <c r="B12" t="s">
        <v>2514</v>
      </c>
      <c r="D12" t="b">
        <f>IFERROR(VLOOKUP(B12,PatData!$A$2:$A$2000,1,),"")&lt;&gt;""</f>
        <v>1</v>
      </c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4354</v>
      </c>
      <c r="B13" t="s">
        <v>2515</v>
      </c>
      <c r="D13" t="b">
        <f>IFERROR(VLOOKUP(B13,PatData!$A$2:$A$2000,1,),"")&lt;&gt;""</f>
        <v>1</v>
      </c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4355</v>
      </c>
      <c r="B14" t="s">
        <v>2516</v>
      </c>
      <c r="D14" t="b">
        <f>IFERROR(VLOOKUP(B14,PatData!$A$2:$A$2000,1,),"")&lt;&gt;""</f>
        <v>1</v>
      </c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4356</v>
      </c>
      <c r="B15" t="s">
        <v>2517</v>
      </c>
      <c r="D15" t="b">
        <f>IFERROR(VLOOKUP(B15,PatData!$A$2:$A$2000,1,),"")&lt;&gt;""</f>
        <v>1</v>
      </c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4357</v>
      </c>
      <c r="B16" t="s">
        <v>2518</v>
      </c>
      <c r="D16" t="b">
        <f>IFERROR(VLOOKUP(B16,PatData!$A$2:$A$2000,1,),"")&lt;&gt;""</f>
        <v>1</v>
      </c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4358</v>
      </c>
      <c r="B17" t="s">
        <v>2519</v>
      </c>
      <c r="D17" t="b">
        <f>IFERROR(VLOOKUP(B17,PatData!$A$2:$A$2000,1,),"")&lt;&gt;""</f>
        <v>1</v>
      </c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4359</v>
      </c>
      <c r="B18" t="s">
        <v>2520</v>
      </c>
      <c r="D18" t="b">
        <f>IFERROR(VLOOKUP(B18,PatData!$A$2:$A$2000,1,),"")&lt;&gt;""</f>
        <v>1</v>
      </c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4360</v>
      </c>
      <c r="B19" t="s">
        <v>2521</v>
      </c>
      <c r="D19" t="b">
        <f>IFERROR(VLOOKUP(B19,PatData!$A$2:$A$2000,1,),"")&lt;&gt;""</f>
        <v>1</v>
      </c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4361</v>
      </c>
      <c r="B20" t="s">
        <v>2522</v>
      </c>
      <c r="D20" t="b">
        <f>IFERROR(VLOOKUP(B20,PatData!$A$2:$A$2000,1,),"")&lt;&gt;""</f>
        <v>1</v>
      </c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4362</v>
      </c>
      <c r="B21" t="s">
        <v>2523</v>
      </c>
      <c r="D21" t="b">
        <f>IFERROR(VLOOKUP(B21,PatData!$A$2:$A$2000,1,),"")&lt;&gt;""</f>
        <v>1</v>
      </c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4363</v>
      </c>
      <c r="B22" t="s">
        <v>2524</v>
      </c>
      <c r="D22" t="b">
        <f>IFERROR(VLOOKUP(B22,PatData!$A$2:$A$2000,1,),"")&lt;&gt;""</f>
        <v>1</v>
      </c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4364</v>
      </c>
      <c r="B23" t="s">
        <v>2525</v>
      </c>
      <c r="D23" t="b">
        <f>IFERROR(VLOOKUP(B23,PatData!$A$2:$A$2000,1,),"")&lt;&gt;""</f>
        <v>1</v>
      </c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4365</v>
      </c>
      <c r="B24" t="s">
        <v>2526</v>
      </c>
      <c r="D24" t="b">
        <f>IFERROR(VLOOKUP(B24,PatData!$A$2:$A$2000,1,),"")&lt;&gt;""</f>
        <v>1</v>
      </c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4366</v>
      </c>
      <c r="B25" t="s">
        <v>2527</v>
      </c>
      <c r="D25" t="b">
        <f>IFERROR(VLOOKUP(B25,PatData!$A$2:$A$2000,1,),"")&lt;&gt;""</f>
        <v>1</v>
      </c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4367</v>
      </c>
      <c r="B26" t="s">
        <v>2528</v>
      </c>
      <c r="D26" t="b">
        <f>IFERROR(VLOOKUP(B26,PatData!$A$2:$A$2000,1,),"")&lt;&gt;""</f>
        <v>1</v>
      </c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4368</v>
      </c>
      <c r="B27" t="s">
        <v>2529</v>
      </c>
      <c r="D27" t="b">
        <f>IFERROR(VLOOKUP(B27,PatData!$A$2:$A$2000,1,),"")&lt;&gt;""</f>
        <v>1</v>
      </c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4369</v>
      </c>
      <c r="B28" t="s">
        <v>2530</v>
      </c>
      <c r="D28" t="b">
        <f>IFERROR(VLOOKUP(B28,PatData!$A$2:$A$2000,1,),"")&lt;&gt;""</f>
        <v>1</v>
      </c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4370</v>
      </c>
      <c r="B29" t="s">
        <v>2531</v>
      </c>
      <c r="D29" t="b">
        <f>IFERROR(VLOOKUP(B29,PatData!$A$2:$A$2000,1,),"")&lt;&gt;""</f>
        <v>1</v>
      </c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4371</v>
      </c>
      <c r="B30" t="s">
        <v>2532</v>
      </c>
      <c r="D30" t="b">
        <f>IFERROR(VLOOKUP(B30,PatData!$A$2:$A$2000,1,),"")&lt;&gt;""</f>
        <v>1</v>
      </c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4372</v>
      </c>
      <c r="B31" t="s">
        <v>2533</v>
      </c>
      <c r="D31" t="b">
        <f>IFERROR(VLOOKUP(B31,PatData!$A$2:$A$2000,1,),"")&lt;&gt;""</f>
        <v>1</v>
      </c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4373</v>
      </c>
      <c r="B32" t="s">
        <v>2534</v>
      </c>
      <c r="D32" t="b">
        <f>IFERROR(VLOOKUP(B32,PatData!$A$2:$A$2000,1,),"")&lt;&gt;""</f>
        <v>1</v>
      </c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4374</v>
      </c>
      <c r="B33" t="s">
        <v>2535</v>
      </c>
      <c r="D33" t="b">
        <f>IFERROR(VLOOKUP(B33,PatData!$A$2:$A$2000,1,),"")&lt;&gt;""</f>
        <v>1</v>
      </c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4375</v>
      </c>
      <c r="B34" t="s">
        <v>2536</v>
      </c>
      <c r="D34" t="b">
        <f>IFERROR(VLOOKUP(B34,PatData!$A$2:$A$2000,1,),"")&lt;&gt;""</f>
        <v>1</v>
      </c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4376</v>
      </c>
      <c r="B35" t="s">
        <v>2537</v>
      </c>
      <c r="D35" t="b">
        <f>IFERROR(VLOOKUP(B35,PatData!$A$2:$A$2000,1,),"")&lt;&gt;""</f>
        <v>1</v>
      </c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4377</v>
      </c>
      <c r="B36" t="s">
        <v>2538</v>
      </c>
      <c r="D36" t="b">
        <f>IFERROR(VLOOKUP(B36,PatData!$A$2:$A$2000,1,),"")&lt;&gt;""</f>
        <v>1</v>
      </c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4378</v>
      </c>
      <c r="B37" t="s">
        <v>2539</v>
      </c>
      <c r="D37" t="b">
        <f>IFERROR(VLOOKUP(B37,PatData!$A$2:$A$2000,1,),"")&lt;&gt;""</f>
        <v>1</v>
      </c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4379</v>
      </c>
      <c r="B38" t="s">
        <v>2540</v>
      </c>
      <c r="D38" t="b">
        <f>IFERROR(VLOOKUP(B38,PatData!$A$2:$A$2000,1,),"")&lt;&gt;""</f>
        <v>1</v>
      </c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4380</v>
      </c>
      <c r="B39" t="s">
        <v>2541</v>
      </c>
      <c r="D39" t="b">
        <f>IFERROR(VLOOKUP(B39,PatData!$A$2:$A$2000,1,),"")&lt;&gt;""</f>
        <v>1</v>
      </c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3991</v>
      </c>
      <c r="B40" t="s">
        <v>2542</v>
      </c>
      <c r="D40" t="b">
        <f>IFERROR(VLOOKUP(B40,PatData!$A$2:$A$2000,1,),"")&lt;&gt;""</f>
        <v>1</v>
      </c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3992</v>
      </c>
      <c r="B41" t="s">
        <v>2543</v>
      </c>
      <c r="D41" t="b">
        <f>IFERROR(VLOOKUP(B41,PatData!$A$2:$A$2000,1,),"")&lt;&gt;""</f>
        <v>1</v>
      </c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3993</v>
      </c>
      <c r="B42" t="s">
        <v>2544</v>
      </c>
      <c r="D42" t="b">
        <f>IFERROR(VLOOKUP(B42,PatData!$A$2:$A$2000,1,),"")&lt;&gt;""</f>
        <v>1</v>
      </c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3994</v>
      </c>
      <c r="B43" t="s">
        <v>2545</v>
      </c>
      <c r="D43" t="b">
        <f>IFERROR(VLOOKUP(B43,PatData!$A$2:$A$2000,1,),"")&lt;&gt;""</f>
        <v>1</v>
      </c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3995</v>
      </c>
      <c r="B44" t="s">
        <v>2546</v>
      </c>
      <c r="D44" t="b">
        <f>IFERROR(VLOOKUP(B44,PatData!$A$2:$A$2000,1,),"")&lt;&gt;""</f>
        <v>1</v>
      </c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3996</v>
      </c>
      <c r="B45" t="s">
        <v>2547</v>
      </c>
      <c r="D45" t="b">
        <f>IFERROR(VLOOKUP(B45,PatData!$A$2:$A$2000,1,),"")&lt;&gt;""</f>
        <v>1</v>
      </c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3997</v>
      </c>
      <c r="B46" t="s">
        <v>2548</v>
      </c>
      <c r="D46" t="b">
        <f>IFERROR(VLOOKUP(B46,PatData!$A$2:$A$2000,1,),"")&lt;&gt;""</f>
        <v>1</v>
      </c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3998</v>
      </c>
      <c r="B47" t="s">
        <v>2549</v>
      </c>
      <c r="D47" t="b">
        <f>IFERROR(VLOOKUP(B47,PatData!$A$2:$A$2000,1,),"")&lt;&gt;""</f>
        <v>1</v>
      </c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3999</v>
      </c>
      <c r="B48" t="s">
        <v>2550</v>
      </c>
      <c r="D48" t="b">
        <f>IFERROR(VLOOKUP(B48,PatData!$A$2:$A$2000,1,),"")&lt;&gt;""</f>
        <v>1</v>
      </c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4000</v>
      </c>
      <c r="B49" t="s">
        <v>2551</v>
      </c>
      <c r="D49" t="b">
        <f>IFERROR(VLOOKUP(B49,PatData!$A$2:$A$2000,1,),"")&lt;&gt;""</f>
        <v>1</v>
      </c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4001</v>
      </c>
      <c r="B50" t="s">
        <v>2552</v>
      </c>
      <c r="D50" t="b">
        <f>IFERROR(VLOOKUP(B50,PatData!$A$2:$A$2000,1,),"")&lt;&gt;""</f>
        <v>1</v>
      </c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4002</v>
      </c>
      <c r="B51" t="s">
        <v>2553</v>
      </c>
      <c r="D51" t="b">
        <f>IFERROR(VLOOKUP(B51,PatData!$A$2:$A$2000,1,),"")&lt;&gt;""</f>
        <v>1</v>
      </c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4003</v>
      </c>
      <c r="B52" t="s">
        <v>2554</v>
      </c>
      <c r="D52" t="b">
        <f>IFERROR(VLOOKUP(B52,PatData!$A$2:$A$2000,1,),"")&lt;&gt;""</f>
        <v>1</v>
      </c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4004</v>
      </c>
      <c r="B53" t="s">
        <v>2555</v>
      </c>
      <c r="D53" t="b">
        <f>IFERROR(VLOOKUP(B53,PatData!$A$2:$A$2000,1,),"")&lt;&gt;""</f>
        <v>1</v>
      </c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4005</v>
      </c>
      <c r="B54" t="s">
        <v>2556</v>
      </c>
      <c r="D54" t="b">
        <f>IFERROR(VLOOKUP(B54,PatData!$A$2:$A$2000,1,),"")&lt;&gt;""</f>
        <v>1</v>
      </c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4006</v>
      </c>
      <c r="B55" t="s">
        <v>2557</v>
      </c>
      <c r="D55" t="b">
        <f>IFERROR(VLOOKUP(B55,PatData!$A$2:$A$2000,1,),"")&lt;&gt;""</f>
        <v>1</v>
      </c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4007</v>
      </c>
      <c r="B56" t="s">
        <v>2558</v>
      </c>
      <c r="D56" t="b">
        <f>IFERROR(VLOOKUP(B56,PatData!$A$2:$A$2000,1,),"")&lt;&gt;""</f>
        <v>1</v>
      </c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4008</v>
      </c>
      <c r="B57" t="s">
        <v>2559</v>
      </c>
      <c r="D57" t="b">
        <f>IFERROR(VLOOKUP(B57,PatData!$A$2:$A$2000,1,),"")&lt;&gt;""</f>
        <v>1</v>
      </c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4009</v>
      </c>
      <c r="B58" t="s">
        <v>2560</v>
      </c>
      <c r="D58" t="b">
        <f>IFERROR(VLOOKUP(B58,PatData!$A$2:$A$2000,1,),"")&lt;&gt;""</f>
        <v>1</v>
      </c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4010</v>
      </c>
      <c r="B59" t="s">
        <v>2561</v>
      </c>
      <c r="D59" t="b">
        <f>IFERROR(VLOOKUP(B59,PatData!$A$2:$A$2000,1,),"")&lt;&gt;""</f>
        <v>1</v>
      </c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4011</v>
      </c>
      <c r="B60" t="s">
        <v>2562</v>
      </c>
      <c r="D60" t="b">
        <f>IFERROR(VLOOKUP(B60,PatData!$A$2:$A$2000,1,),"")&lt;&gt;""</f>
        <v>1</v>
      </c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4012</v>
      </c>
      <c r="B61" t="s">
        <v>2563</v>
      </c>
      <c r="D61" t="b">
        <f>IFERROR(VLOOKUP(B61,PatData!$A$2:$A$2000,1,),"")&lt;&gt;""</f>
        <v>1</v>
      </c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4013</v>
      </c>
      <c r="B62" t="s">
        <v>2564</v>
      </c>
      <c r="D62" t="b">
        <f>IFERROR(VLOOKUP(B62,PatData!$A$2:$A$2000,1,),"")&lt;&gt;""</f>
        <v>1</v>
      </c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4014</v>
      </c>
      <c r="B63" t="s">
        <v>2565</v>
      </c>
      <c r="D63" t="b">
        <f>IFERROR(VLOOKUP(B63,PatData!$A$2:$A$2000,1,),"")&lt;&gt;""</f>
        <v>1</v>
      </c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4015</v>
      </c>
      <c r="B64" t="s">
        <v>2566</v>
      </c>
      <c r="D64" t="b">
        <f>IFERROR(VLOOKUP(B64,PatData!$A$2:$A$2000,1,),"")&lt;&gt;""</f>
        <v>1</v>
      </c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4016</v>
      </c>
      <c r="B65" t="s">
        <v>2567</v>
      </c>
      <c r="D65" t="b">
        <f>IFERROR(VLOOKUP(B65,PatData!$A$2:$A$2000,1,),"")&lt;&gt;""</f>
        <v>1</v>
      </c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4017</v>
      </c>
      <c r="B66" t="s">
        <v>2568</v>
      </c>
      <c r="D66" t="b">
        <f>IFERROR(VLOOKUP(B66,PatData!$A$2:$A$2000,1,),"")&lt;&gt;""</f>
        <v>1</v>
      </c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4018</v>
      </c>
      <c r="B67" t="s">
        <v>2569</v>
      </c>
      <c r="D67" t="b">
        <f>IFERROR(VLOOKUP(B67,PatData!$A$2:$A$2000,1,),"")&lt;&gt;""</f>
        <v>1</v>
      </c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4019</v>
      </c>
      <c r="B68" t="s">
        <v>2570</v>
      </c>
      <c r="D68" t="b">
        <f>IFERROR(VLOOKUP(B68,PatData!$A$2:$A$2000,1,),"")&lt;&gt;""</f>
        <v>1</v>
      </c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4020</v>
      </c>
      <c r="B69" t="s">
        <v>2571</v>
      </c>
      <c r="D69" t="b">
        <f>IFERROR(VLOOKUP(B69,PatData!$A$2:$A$2000,1,),"")&lt;&gt;""</f>
        <v>1</v>
      </c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4021</v>
      </c>
      <c r="B70" t="s">
        <v>2572</v>
      </c>
      <c r="D70" t="b">
        <f>IFERROR(VLOOKUP(B70,PatData!$A$2:$A$2000,1,),"")&lt;&gt;""</f>
        <v>1</v>
      </c>
      <c r="E70">
        <v>0</v>
      </c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4022</v>
      </c>
      <c r="B71" t="s">
        <v>2573</v>
      </c>
      <c r="D71" t="b">
        <f>IFERROR(VLOOKUP(B71,PatData!$A$2:$A$2000,1,),"")&lt;&gt;""</f>
        <v>1</v>
      </c>
      <c r="E71">
        <v>0</v>
      </c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4023</v>
      </c>
      <c r="B72" t="s">
        <v>2574</v>
      </c>
      <c r="D72" t="b">
        <f>IFERROR(VLOOKUP(B72,PatData!$A$2:$A$2000,1,),"")&lt;&gt;""</f>
        <v>1</v>
      </c>
      <c r="E72">
        <v>0</v>
      </c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4024</v>
      </c>
      <c r="B73" t="s">
        <v>2575</v>
      </c>
      <c r="D73" t="b">
        <f>IFERROR(VLOOKUP(B73,PatData!$A$2:$A$2000,1,),"")&lt;&gt;""</f>
        <v>1</v>
      </c>
      <c r="E73">
        <v>0</v>
      </c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4025</v>
      </c>
      <c r="B74" t="s">
        <v>2576</v>
      </c>
      <c r="D74" t="b">
        <f>IFERROR(VLOOKUP(B74,PatData!$A$2:$A$2000,1,),"")&lt;&gt;""</f>
        <v>1</v>
      </c>
      <c r="E74">
        <v>0</v>
      </c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4026</v>
      </c>
      <c r="B75" t="s">
        <v>2577</v>
      </c>
      <c r="D75" t="b">
        <f>IFERROR(VLOOKUP(B75,PatData!$A$2:$A$2000,1,),"")&lt;&gt;""</f>
        <v>1</v>
      </c>
      <c r="E75">
        <v>0</v>
      </c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4027</v>
      </c>
      <c r="B76" t="s">
        <v>2578</v>
      </c>
      <c r="D76" t="b">
        <f>IFERROR(VLOOKUP(B76,PatData!$A$2:$A$2000,1,),"")&lt;&gt;""</f>
        <v>1</v>
      </c>
      <c r="E76">
        <v>0</v>
      </c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4028</v>
      </c>
      <c r="B77" t="s">
        <v>2579</v>
      </c>
      <c r="D77" t="b">
        <f>IFERROR(VLOOKUP(B77,PatData!$A$2:$A$2000,1,),"")&lt;&gt;""</f>
        <v>1</v>
      </c>
      <c r="E77">
        <v>0</v>
      </c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4029</v>
      </c>
      <c r="B78" t="s">
        <v>2580</v>
      </c>
      <c r="D78" t="b">
        <f>IFERROR(VLOOKUP(B78,PatData!$A$2:$A$2000,1,),"")&lt;&gt;""</f>
        <v>1</v>
      </c>
      <c r="E78">
        <v>0</v>
      </c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4030</v>
      </c>
      <c r="B79" t="s">
        <v>2581</v>
      </c>
      <c r="D79" t="b">
        <f>IFERROR(VLOOKUP(B79,PatData!$A$2:$A$2000,1,),"")&lt;&gt;""</f>
        <v>1</v>
      </c>
      <c r="E79">
        <v>0</v>
      </c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4031</v>
      </c>
      <c r="B80" t="s">
        <v>2582</v>
      </c>
      <c r="D80" t="b">
        <f>IFERROR(VLOOKUP(B80,PatData!$A$2:$A$2000,1,),"")&lt;&gt;""</f>
        <v>1</v>
      </c>
      <c r="E80">
        <v>0</v>
      </c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4032</v>
      </c>
      <c r="B81" t="s">
        <v>2583</v>
      </c>
      <c r="D81" t="b">
        <f>IFERROR(VLOOKUP(B81,PatData!$A$2:$A$2000,1,),"")&lt;&gt;""</f>
        <v>1</v>
      </c>
      <c r="E81">
        <v>0</v>
      </c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4033</v>
      </c>
      <c r="B82" t="s">
        <v>2584</v>
      </c>
      <c r="D82" t="b">
        <f>IFERROR(VLOOKUP(B82,PatData!$A$2:$A$2000,1,),"")&lt;&gt;""</f>
        <v>1</v>
      </c>
      <c r="E82">
        <v>0</v>
      </c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4034</v>
      </c>
      <c r="B83" t="s">
        <v>2585</v>
      </c>
      <c r="D83" t="b">
        <f>IFERROR(VLOOKUP(B83,PatData!$A$2:$A$2000,1,),"")&lt;&gt;""</f>
        <v>1</v>
      </c>
      <c r="E83">
        <v>0</v>
      </c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4035</v>
      </c>
      <c r="B84" t="s">
        <v>2586</v>
      </c>
      <c r="D84" t="b">
        <f>IFERROR(VLOOKUP(B84,PatData!$A$2:$A$2000,1,),"")&lt;&gt;""</f>
        <v>1</v>
      </c>
      <c r="E84">
        <v>0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4036</v>
      </c>
      <c r="B85" t="s">
        <v>2587</v>
      </c>
      <c r="D85" t="b">
        <f>IFERROR(VLOOKUP(B85,PatData!$A$2:$A$2000,1,),"")&lt;&gt;""</f>
        <v>1</v>
      </c>
      <c r="E85">
        <v>0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4037</v>
      </c>
      <c r="B86" t="s">
        <v>2588</v>
      </c>
      <c r="D86" t="b">
        <f>IFERROR(VLOOKUP(B86,PatData!$A$2:$A$2000,1,),"")&lt;&gt;""</f>
        <v>1</v>
      </c>
      <c r="E86">
        <v>0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4038</v>
      </c>
      <c r="B87" t="s">
        <v>2589</v>
      </c>
      <c r="D87" t="b">
        <f>IFERROR(VLOOKUP(B87,PatData!$A$2:$A$2000,1,),"")&lt;&gt;""</f>
        <v>1</v>
      </c>
      <c r="E87">
        <v>0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4039</v>
      </c>
      <c r="B88" t="s">
        <v>2590</v>
      </c>
      <c r="D88" t="b">
        <f>IFERROR(VLOOKUP(B88,PatData!$A$2:$A$2000,1,),"")&lt;&gt;""</f>
        <v>1</v>
      </c>
      <c r="E88">
        <v>0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4040</v>
      </c>
      <c r="B89" t="s">
        <v>2591</v>
      </c>
      <c r="D89" t="b">
        <f>IFERROR(VLOOKUP(B89,PatData!$A$2:$A$2000,1,),"")&lt;&gt;""</f>
        <v>1</v>
      </c>
      <c r="E89">
        <v>0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4041</v>
      </c>
      <c r="B90" t="s">
        <v>2592</v>
      </c>
      <c r="D90" t="b">
        <f>IFERROR(VLOOKUP(B90,PatData!$A$2:$A$2000,1,),"")&lt;&gt;""</f>
        <v>1</v>
      </c>
      <c r="E90">
        <v>0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4042</v>
      </c>
      <c r="B91" t="s">
        <v>2593</v>
      </c>
      <c r="D91" t="b">
        <f>IFERROR(VLOOKUP(B91,PatData!$A$2:$A$2000,1,),"")&lt;&gt;""</f>
        <v>1</v>
      </c>
      <c r="E91">
        <v>0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4043</v>
      </c>
      <c r="B92" t="s">
        <v>2594</v>
      </c>
      <c r="D92" t="b">
        <f>IFERROR(VLOOKUP(B92,PatData!$A$2:$A$2000,1,),"")&lt;&gt;""</f>
        <v>1</v>
      </c>
      <c r="E92">
        <v>0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4044</v>
      </c>
      <c r="B93" t="s">
        <v>2595</v>
      </c>
      <c r="D93" t="b">
        <f>IFERROR(VLOOKUP(B93,PatData!$A$2:$A$2000,1,),"")&lt;&gt;""</f>
        <v>1</v>
      </c>
      <c r="E93">
        <v>0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4045</v>
      </c>
      <c r="B94" t="s">
        <v>2596</v>
      </c>
      <c r="D94" t="b">
        <f>IFERROR(VLOOKUP(B94,PatData!$A$2:$A$2000,1,),"")&lt;&gt;""</f>
        <v>1</v>
      </c>
      <c r="E94">
        <v>0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4046</v>
      </c>
      <c r="B95" t="s">
        <v>2597</v>
      </c>
      <c r="D95" t="b">
        <f>IFERROR(VLOOKUP(B95,PatData!$A$2:$A$2000,1,),"")&lt;&gt;""</f>
        <v>1</v>
      </c>
      <c r="E95">
        <v>0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4047</v>
      </c>
      <c r="B96" t="s">
        <v>2598</v>
      </c>
      <c r="D96" t="b">
        <f>IFERROR(VLOOKUP(B96,PatData!$A$2:$A$2000,1,),"")&lt;&gt;""</f>
        <v>1</v>
      </c>
      <c r="E96">
        <v>0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4048</v>
      </c>
      <c r="B97" t="s">
        <v>2599</v>
      </c>
      <c r="D97" t="b">
        <f>IFERROR(VLOOKUP(B97,PatData!$A$2:$A$2000,1,),"")&lt;&gt;""</f>
        <v>1</v>
      </c>
      <c r="E97">
        <v>0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4049</v>
      </c>
      <c r="B98" t="s">
        <v>2600</v>
      </c>
      <c r="D98" t="b">
        <f>IFERROR(VLOOKUP(B98,PatData!$A$2:$A$2000,1,),"")&lt;&gt;""</f>
        <v>1</v>
      </c>
      <c r="E98">
        <v>0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4050</v>
      </c>
      <c r="B99" t="s">
        <v>2601</v>
      </c>
      <c r="D99" t="b">
        <f>IFERROR(VLOOKUP(B99,PatData!$A$2:$A$2000,1,),"")&lt;&gt;""</f>
        <v>1</v>
      </c>
      <c r="E99">
        <v>0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4916</v>
      </c>
      <c r="B100" t="s">
        <v>2602</v>
      </c>
      <c r="D100" t="b">
        <f>IFERROR(VLOOKUP(B100,PatData!$A$2:$A$2000,1,),"")&lt;&gt;""</f>
        <v>1</v>
      </c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4917</v>
      </c>
      <c r="B101" t="s">
        <v>2603</v>
      </c>
      <c r="D101" t="b">
        <f>IFERROR(VLOOKUP(B101,PatData!$A$2:$A$2000,1,),"")&lt;&gt;""</f>
        <v>1</v>
      </c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4918</v>
      </c>
      <c r="B102" t="s">
        <v>2604</v>
      </c>
      <c r="D102" t="b">
        <f>IFERROR(VLOOKUP(B102,PatData!$A$2:$A$2000,1,),"")&lt;&gt;""</f>
        <v>1</v>
      </c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4919</v>
      </c>
      <c r="B103" t="s">
        <v>2605</v>
      </c>
      <c r="D103" t="b">
        <f>IFERROR(VLOOKUP(B103,PatData!$A$2:$A$2000,1,),"")&lt;&gt;""</f>
        <v>1</v>
      </c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4920</v>
      </c>
      <c r="B104" t="s">
        <v>2606</v>
      </c>
      <c r="D104" t="b">
        <f>IFERROR(VLOOKUP(B104,PatData!$A$2:$A$2000,1,),"")&lt;&gt;""</f>
        <v>1</v>
      </c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4921</v>
      </c>
      <c r="B105" t="s">
        <v>2607</v>
      </c>
      <c r="D105" t="b">
        <f>IFERROR(VLOOKUP(B105,PatData!$A$2:$A$2000,1,),"")&lt;&gt;""</f>
        <v>1</v>
      </c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4922</v>
      </c>
      <c r="B106" t="s">
        <v>2608</v>
      </c>
      <c r="D106" t="b">
        <f>IFERROR(VLOOKUP(B106,PatData!$A$2:$A$2000,1,),"")&lt;&gt;""</f>
        <v>1</v>
      </c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4923</v>
      </c>
      <c r="B107" t="s">
        <v>2609</v>
      </c>
      <c r="D107" t="b">
        <f>IFERROR(VLOOKUP(B107,PatData!$A$2:$A$2000,1,),"")&lt;&gt;""</f>
        <v>1</v>
      </c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4924</v>
      </c>
      <c r="B108" t="s">
        <v>2610</v>
      </c>
      <c r="D108" t="b">
        <f>IFERROR(VLOOKUP(B108,PatData!$A$2:$A$2000,1,),"")&lt;&gt;""</f>
        <v>1</v>
      </c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4925</v>
      </c>
      <c r="B109" t="s">
        <v>2611</v>
      </c>
      <c r="D109" t="b">
        <f>IFERROR(VLOOKUP(B109,PatData!$A$2:$A$2000,1,),"")&lt;&gt;""</f>
        <v>1</v>
      </c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4926</v>
      </c>
      <c r="B110" t="s">
        <v>2612</v>
      </c>
      <c r="D110" t="b">
        <f>IFERROR(VLOOKUP(B110,PatData!$A$2:$A$2000,1,),"")&lt;&gt;""</f>
        <v>1</v>
      </c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4927</v>
      </c>
      <c r="B111" t="s">
        <v>2613</v>
      </c>
      <c r="D111" t="b">
        <f>IFERROR(VLOOKUP(B111,PatData!$A$2:$A$2000,1,),"")&lt;&gt;""</f>
        <v>1</v>
      </c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4928</v>
      </c>
      <c r="B112" t="s">
        <v>2614</v>
      </c>
      <c r="D112" t="b">
        <f>IFERROR(VLOOKUP(B112,PatData!$A$2:$A$2000,1,),"")&lt;&gt;""</f>
        <v>1</v>
      </c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4929</v>
      </c>
      <c r="B113" t="s">
        <v>2615</v>
      </c>
      <c r="D113" t="b">
        <f>IFERROR(VLOOKUP(B113,PatData!$A$2:$A$2000,1,),"")&lt;&gt;""</f>
        <v>1</v>
      </c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4930</v>
      </c>
      <c r="B114" t="s">
        <v>2616</v>
      </c>
      <c r="D114" t="b">
        <f>IFERROR(VLOOKUP(B114,PatData!$A$2:$A$2000,1,),"")&lt;&gt;""</f>
        <v>1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4931</v>
      </c>
      <c r="B115" t="s">
        <v>2617</v>
      </c>
      <c r="D115" t="b">
        <f>IFERROR(VLOOKUP(B115,PatData!$A$2:$A$2000,1,),"")&lt;&gt;""</f>
        <v>1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4932</v>
      </c>
      <c r="B116" t="s">
        <v>2618</v>
      </c>
      <c r="D116" t="b">
        <f>IFERROR(VLOOKUP(B116,PatData!$A$2:$A$2000,1,),"")&lt;&gt;""</f>
        <v>1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4933</v>
      </c>
      <c r="B117" t="s">
        <v>2619</v>
      </c>
      <c r="D117" t="b">
        <f>IFERROR(VLOOKUP(B117,PatData!$A$2:$A$2000,1,),"")&lt;&gt;""</f>
        <v>1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4934</v>
      </c>
      <c r="B118" t="s">
        <v>2620</v>
      </c>
      <c r="D118" t="b">
        <f>IFERROR(VLOOKUP(B118,PatData!$A$2:$A$2000,1,),"")&lt;&gt;""</f>
        <v>1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4935</v>
      </c>
      <c r="B119" t="s">
        <v>2621</v>
      </c>
      <c r="D119" t="b">
        <f>IFERROR(VLOOKUP(B119,PatData!$A$2:$A$2000,1,),"")&lt;&gt;""</f>
        <v>1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4936</v>
      </c>
      <c r="B120" t="s">
        <v>2622</v>
      </c>
      <c r="D120" t="b">
        <f>IFERROR(VLOOKUP(B120,PatData!$A$2:$A$2000,1,),"")&lt;&gt;""</f>
        <v>1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4937</v>
      </c>
      <c r="B121" t="s">
        <v>2623</v>
      </c>
      <c r="D121" t="b">
        <f>IFERROR(VLOOKUP(B121,PatData!$A$2:$A$2000,1,),"")&lt;&gt;""</f>
        <v>1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4938</v>
      </c>
      <c r="B122" t="s">
        <v>2624</v>
      </c>
      <c r="D122" t="b">
        <f>IFERROR(VLOOKUP(B122,PatData!$A$2:$A$2000,1,),"")&lt;&gt;""</f>
        <v>1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4939</v>
      </c>
      <c r="B123" t="s">
        <v>2625</v>
      </c>
      <c r="D123" t="b">
        <f>IFERROR(VLOOKUP(B123,PatData!$A$2:$A$2000,1,),"")&lt;&gt;""</f>
        <v>1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4940</v>
      </c>
      <c r="B124" t="s">
        <v>2626</v>
      </c>
      <c r="D124" t="b">
        <f>IFERROR(VLOOKUP(B124,PatData!$A$2:$A$2000,1,),"")&lt;&gt;""</f>
        <v>1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4941</v>
      </c>
      <c r="B125" t="s">
        <v>2627</v>
      </c>
      <c r="D125" t="b">
        <f>IFERROR(VLOOKUP(B125,PatData!$A$2:$A$2000,1,),"")&lt;&gt;""</f>
        <v>1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4942</v>
      </c>
      <c r="B126" t="s">
        <v>2628</v>
      </c>
      <c r="D126" t="b">
        <f>IFERROR(VLOOKUP(B126,PatData!$A$2:$A$2000,1,),"")&lt;&gt;""</f>
        <v>1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4943</v>
      </c>
      <c r="B127" t="s">
        <v>2629</v>
      </c>
      <c r="D127" t="b">
        <f>IFERROR(VLOOKUP(B127,PatData!$A$2:$A$2000,1,),"")&lt;&gt;""</f>
        <v>1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4944</v>
      </c>
      <c r="B128" t="s">
        <v>2630</v>
      </c>
      <c r="D128" t="b">
        <f>IFERROR(VLOOKUP(B128,PatData!$A$2:$A$2000,1,),"")&lt;&gt;""</f>
        <v>1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4945</v>
      </c>
      <c r="B129" t="s">
        <v>2631</v>
      </c>
      <c r="D129" t="b">
        <f>IFERROR(VLOOKUP(B129,PatData!$A$2:$A$2000,1,),"")&lt;&gt;""</f>
        <v>1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4081</v>
      </c>
      <c r="B130" t="s">
        <v>2632</v>
      </c>
      <c r="D130" t="b">
        <f>IFERROR(VLOOKUP(B130,PatData!$A$2:$A$2000,1,),"")&lt;&gt;""</f>
        <v>1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4082</v>
      </c>
      <c r="B131" t="s">
        <v>2633</v>
      </c>
      <c r="D131" t="b">
        <f>IFERROR(VLOOKUP(B131,PatData!$A$2:$A$2000,1,),"")&lt;&gt;""</f>
        <v>1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4083</v>
      </c>
      <c r="B132" t="s">
        <v>2634</v>
      </c>
      <c r="D132" t="b">
        <f>IFERROR(VLOOKUP(B132,PatData!$A$2:$A$2000,1,),"")&lt;&gt;""</f>
        <v>1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4084</v>
      </c>
      <c r="B133" t="s">
        <v>2635</v>
      </c>
      <c r="D133" t="b">
        <f>IFERROR(VLOOKUP(B133,PatData!$A$2:$A$2000,1,),"")&lt;&gt;""</f>
        <v>1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4085</v>
      </c>
      <c r="B134" t="s">
        <v>2636</v>
      </c>
      <c r="D134" t="b">
        <f>IFERROR(VLOOKUP(B134,PatData!$A$2:$A$2000,1,),"")&lt;&gt;""</f>
        <v>1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4086</v>
      </c>
      <c r="B135" t="s">
        <v>2637</v>
      </c>
      <c r="D135" t="b">
        <f>IFERROR(VLOOKUP(B135,PatData!$A$2:$A$2000,1,),"")&lt;&gt;""</f>
        <v>1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4087</v>
      </c>
      <c r="B136" t="s">
        <v>2638</v>
      </c>
      <c r="D136" t="b">
        <f>IFERROR(VLOOKUP(B136,PatData!$A$2:$A$2000,1,),"")&lt;&gt;""</f>
        <v>1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4088</v>
      </c>
      <c r="B137" t="s">
        <v>2639</v>
      </c>
      <c r="D137" t="b">
        <f>IFERROR(VLOOKUP(B137,PatData!$A$2:$A$2000,1,),"")&lt;&gt;""</f>
        <v>1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4089</v>
      </c>
      <c r="B138" t="s">
        <v>2640</v>
      </c>
      <c r="D138" t="b">
        <f>IFERROR(VLOOKUP(B138,PatData!$A$2:$A$2000,1,),"")&lt;&gt;""</f>
        <v>1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4090</v>
      </c>
      <c r="B139" t="s">
        <v>2641</v>
      </c>
      <c r="D139" t="b">
        <f>IFERROR(VLOOKUP(B139,PatData!$A$2:$A$2000,1,),"")&lt;&gt;""</f>
        <v>1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4091</v>
      </c>
      <c r="B140" t="s">
        <v>2642</v>
      </c>
      <c r="D140" t="b">
        <f>IFERROR(VLOOKUP(B140,PatData!$A$2:$A$2000,1,),"")&lt;&gt;""</f>
        <v>1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4092</v>
      </c>
      <c r="B141" t="s">
        <v>2643</v>
      </c>
      <c r="D141" t="b">
        <f>IFERROR(VLOOKUP(B141,PatData!$A$2:$A$2000,1,),"")&lt;&gt;""</f>
        <v>1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4093</v>
      </c>
      <c r="B142" t="s">
        <v>2644</v>
      </c>
      <c r="D142" t="b">
        <f>IFERROR(VLOOKUP(B142,PatData!$A$2:$A$2000,1,),"")&lt;&gt;""</f>
        <v>1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4094</v>
      </c>
      <c r="B143" t="s">
        <v>2645</v>
      </c>
      <c r="D143" t="b">
        <f>IFERROR(VLOOKUP(B143,PatData!$A$2:$A$2000,1,),"")&lt;&gt;""</f>
        <v>1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4095</v>
      </c>
      <c r="B144" t="s">
        <v>2646</v>
      </c>
      <c r="D144" t="b">
        <f>IFERROR(VLOOKUP(B144,PatData!$A$2:$A$2000,1,),"")&lt;&gt;""</f>
        <v>1</v>
      </c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4096</v>
      </c>
      <c r="B145" t="s">
        <v>2647</v>
      </c>
      <c r="D145" t="b">
        <f>IFERROR(VLOOKUP(B145,PatData!$A$2:$A$2000,1,),"")&lt;&gt;""</f>
        <v>1</v>
      </c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4097</v>
      </c>
      <c r="B146" t="s">
        <v>2648</v>
      </c>
      <c r="D146" t="b">
        <f>IFERROR(VLOOKUP(B146,PatData!$A$2:$A$2000,1,),"")&lt;&gt;""</f>
        <v>1</v>
      </c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4098</v>
      </c>
      <c r="B147" t="s">
        <v>2649</v>
      </c>
      <c r="D147" t="b">
        <f>IFERROR(VLOOKUP(B147,PatData!$A$2:$A$2000,1,),"")&lt;&gt;""</f>
        <v>1</v>
      </c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4099</v>
      </c>
      <c r="B148" t="s">
        <v>2650</v>
      </c>
      <c r="D148" t="b">
        <f>IFERROR(VLOOKUP(B148,PatData!$A$2:$A$2000,1,),"")&lt;&gt;""</f>
        <v>1</v>
      </c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4100</v>
      </c>
      <c r="B149" t="s">
        <v>2651</v>
      </c>
      <c r="D149" t="b">
        <f>IFERROR(VLOOKUP(B149,PatData!$A$2:$A$2000,1,),"")&lt;&gt;""</f>
        <v>1</v>
      </c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4101</v>
      </c>
      <c r="B150" t="s">
        <v>2652</v>
      </c>
      <c r="D150" t="b">
        <f>IFERROR(VLOOKUP(B150,PatData!$A$2:$A$2000,1,),"")&lt;&gt;""</f>
        <v>1</v>
      </c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4102</v>
      </c>
      <c r="B151" t="s">
        <v>2653</v>
      </c>
      <c r="D151" t="b">
        <f>IFERROR(VLOOKUP(B151,PatData!$A$2:$A$2000,1,),"")&lt;&gt;""</f>
        <v>1</v>
      </c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4103</v>
      </c>
      <c r="B152" t="s">
        <v>2654</v>
      </c>
      <c r="D152" t="b">
        <f>IFERROR(VLOOKUP(B152,PatData!$A$2:$A$2000,1,),"")&lt;&gt;""</f>
        <v>1</v>
      </c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4104</v>
      </c>
      <c r="B153" t="s">
        <v>2655</v>
      </c>
      <c r="D153" t="b">
        <f>IFERROR(VLOOKUP(B153,PatData!$A$2:$A$2000,1,),"")&lt;&gt;""</f>
        <v>1</v>
      </c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4105</v>
      </c>
      <c r="B154" t="s">
        <v>2656</v>
      </c>
      <c r="D154" t="b">
        <f>IFERROR(VLOOKUP(B154,PatData!$A$2:$A$2000,1,),"")&lt;&gt;""</f>
        <v>1</v>
      </c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4106</v>
      </c>
      <c r="B155" t="s">
        <v>2657</v>
      </c>
      <c r="D155" t="b">
        <f>IFERROR(VLOOKUP(B155,PatData!$A$2:$A$2000,1,),"")&lt;&gt;""</f>
        <v>1</v>
      </c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4107</v>
      </c>
      <c r="B156" t="s">
        <v>2658</v>
      </c>
      <c r="D156" t="b">
        <f>IFERROR(VLOOKUP(B156,PatData!$A$2:$A$2000,1,),"")&lt;&gt;""</f>
        <v>1</v>
      </c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4108</v>
      </c>
      <c r="B157" t="s">
        <v>2659</v>
      </c>
      <c r="D157" t="b">
        <f>IFERROR(VLOOKUP(B157,PatData!$A$2:$A$2000,1,),"")&lt;&gt;""</f>
        <v>1</v>
      </c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4109</v>
      </c>
      <c r="B158" t="s">
        <v>2660</v>
      </c>
      <c r="D158" t="b">
        <f>IFERROR(VLOOKUP(B158,PatData!$A$2:$A$2000,1,),"")&lt;&gt;""</f>
        <v>1</v>
      </c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4110</v>
      </c>
      <c r="B159" t="s">
        <v>2661</v>
      </c>
      <c r="D159" t="b">
        <f>IFERROR(VLOOKUP(B159,PatData!$A$2:$A$2000,1,),"")&lt;&gt;""</f>
        <v>1</v>
      </c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4111</v>
      </c>
      <c r="B160" t="s">
        <v>2662</v>
      </c>
      <c r="D160" t="b">
        <f>IFERROR(VLOOKUP(B160,PatData!$A$2:$A$2000,1,),"")&lt;&gt;""</f>
        <v>1</v>
      </c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4112</v>
      </c>
      <c r="B161" t="s">
        <v>2663</v>
      </c>
      <c r="D161" t="b">
        <f>IFERROR(VLOOKUP(B161,PatData!$A$2:$A$2000,1,),"")&lt;&gt;""</f>
        <v>1</v>
      </c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4113</v>
      </c>
      <c r="B162" t="s">
        <v>2664</v>
      </c>
      <c r="D162" t="b">
        <f>IFERROR(VLOOKUP(B162,PatData!$A$2:$A$2000,1,),"")&lt;&gt;""</f>
        <v>1</v>
      </c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4114</v>
      </c>
      <c r="B163" t="s">
        <v>2665</v>
      </c>
      <c r="D163" t="b">
        <f>IFERROR(VLOOKUP(B163,PatData!$A$2:$A$2000,1,),"")&lt;&gt;""</f>
        <v>1</v>
      </c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4115</v>
      </c>
      <c r="B164" t="s">
        <v>2666</v>
      </c>
      <c r="D164" t="b">
        <f>IFERROR(VLOOKUP(B164,PatData!$A$2:$A$2000,1,),"")&lt;&gt;""</f>
        <v>1</v>
      </c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4116</v>
      </c>
      <c r="B165" t="s">
        <v>2667</v>
      </c>
      <c r="D165" t="b">
        <f>IFERROR(VLOOKUP(B165,PatData!$A$2:$A$2000,1,),"")&lt;&gt;""</f>
        <v>1</v>
      </c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4117</v>
      </c>
      <c r="B166" t="s">
        <v>2668</v>
      </c>
      <c r="D166" t="b">
        <f>IFERROR(VLOOKUP(B166,PatData!$A$2:$A$2000,1,),"")&lt;&gt;""</f>
        <v>1</v>
      </c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4118</v>
      </c>
      <c r="B167" t="s">
        <v>2669</v>
      </c>
      <c r="D167" t="b">
        <f>IFERROR(VLOOKUP(B167,PatData!$A$2:$A$2000,1,),"")&lt;&gt;""</f>
        <v>1</v>
      </c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4119</v>
      </c>
      <c r="B168" t="s">
        <v>2670</v>
      </c>
      <c r="D168" t="b">
        <f>IFERROR(VLOOKUP(B168,PatData!$A$2:$A$2000,1,),"")&lt;&gt;""</f>
        <v>1</v>
      </c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4120</v>
      </c>
      <c r="B169" t="s">
        <v>2671</v>
      </c>
      <c r="D169" t="b">
        <f>IFERROR(VLOOKUP(B169,PatData!$A$2:$A$2000,1,),"")&lt;&gt;""</f>
        <v>1</v>
      </c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4121</v>
      </c>
      <c r="B170" t="s">
        <v>2672</v>
      </c>
      <c r="D170" t="b">
        <f>IFERROR(VLOOKUP(B170,PatData!$A$2:$A$2000,1,),"")&lt;&gt;""</f>
        <v>1</v>
      </c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4122</v>
      </c>
      <c r="B171" t="s">
        <v>2673</v>
      </c>
      <c r="D171" t="b">
        <f>IFERROR(VLOOKUP(B171,PatData!$A$2:$A$2000,1,),"")&lt;&gt;""</f>
        <v>1</v>
      </c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4123</v>
      </c>
      <c r="B172" t="s">
        <v>2674</v>
      </c>
      <c r="D172" t="b">
        <f>IFERROR(VLOOKUP(B172,PatData!$A$2:$A$2000,1,),"")&lt;&gt;""</f>
        <v>1</v>
      </c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4124</v>
      </c>
      <c r="B173" t="s">
        <v>2675</v>
      </c>
      <c r="D173" t="b">
        <f>IFERROR(VLOOKUP(B173,PatData!$A$2:$A$2000,1,),"")&lt;&gt;""</f>
        <v>1</v>
      </c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4125</v>
      </c>
      <c r="B174" t="s">
        <v>2676</v>
      </c>
      <c r="D174" t="b">
        <f>IFERROR(VLOOKUP(B174,PatData!$A$2:$A$2000,1,),"")&lt;&gt;""</f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4126</v>
      </c>
      <c r="B175" t="s">
        <v>2677</v>
      </c>
      <c r="D175" t="b">
        <f>IFERROR(VLOOKUP(B175,PatData!$A$2:$A$2000,1,),"")&lt;&gt;""</f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4127</v>
      </c>
      <c r="B176" t="s">
        <v>2678</v>
      </c>
      <c r="D176" t="b">
        <f>IFERROR(VLOOKUP(B176,PatData!$A$2:$A$2000,1,),"")&lt;&gt;""</f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4128</v>
      </c>
      <c r="B177" t="s">
        <v>2679</v>
      </c>
      <c r="D177" t="b">
        <f>IFERROR(VLOOKUP(B177,PatData!$A$2:$A$2000,1,),"")&lt;&gt;""</f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4129</v>
      </c>
      <c r="B178" t="s">
        <v>2680</v>
      </c>
      <c r="D178" t="b">
        <f>IFERROR(VLOOKUP(B178,PatData!$A$2:$A$2000,1,),"")&lt;&gt;""</f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4130</v>
      </c>
      <c r="B179" t="s">
        <v>2681</v>
      </c>
      <c r="D179" t="b">
        <f>IFERROR(VLOOKUP(B179,PatData!$A$2:$A$2000,1,),"")&lt;&gt;""</f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4131</v>
      </c>
      <c r="B180" t="s">
        <v>2682</v>
      </c>
      <c r="D180" t="b">
        <f>IFERROR(VLOOKUP(B180,PatData!$A$2:$A$2000,1,),"")&lt;&gt;""</f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4132</v>
      </c>
      <c r="B181" t="s">
        <v>2683</v>
      </c>
      <c r="D181" t="b">
        <f>IFERROR(VLOOKUP(B181,PatData!$A$2:$A$2000,1,),"")&lt;&gt;""</f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4133</v>
      </c>
      <c r="B182" t="s">
        <v>2684</v>
      </c>
      <c r="D182" t="b">
        <f>IFERROR(VLOOKUP(B182,PatData!$A$2:$A$2000,1,),"")&lt;&gt;""</f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4134</v>
      </c>
      <c r="B183" t="s">
        <v>2685</v>
      </c>
      <c r="D183" t="b">
        <f>IFERROR(VLOOKUP(B183,PatData!$A$2:$A$2000,1,),"")&lt;&gt;""</f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4135</v>
      </c>
      <c r="B184" t="s">
        <v>2686</v>
      </c>
      <c r="D184" t="b">
        <f>IFERROR(VLOOKUP(B184,PatData!$A$2:$A$2000,1,),"")&lt;&gt;""</f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4136</v>
      </c>
      <c r="B185" t="s">
        <v>2687</v>
      </c>
      <c r="D185" t="b">
        <f>IFERROR(VLOOKUP(B185,PatData!$A$2:$A$2000,1,),"")&lt;&gt;""</f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4137</v>
      </c>
      <c r="B186" t="s">
        <v>2688</v>
      </c>
      <c r="D186" t="b">
        <f>IFERROR(VLOOKUP(B186,PatData!$A$2:$A$2000,1,),"")&lt;&gt;""</f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4138</v>
      </c>
      <c r="B187" t="s">
        <v>2689</v>
      </c>
      <c r="D187" t="b">
        <f>IFERROR(VLOOKUP(B187,PatData!$A$2:$A$2000,1,),"")&lt;&gt;""</f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4139</v>
      </c>
      <c r="B188" t="s">
        <v>2690</v>
      </c>
      <c r="D188" t="b">
        <f>IFERROR(VLOOKUP(B188,PatData!$A$2:$A$2000,1,),"")&lt;&gt;""</f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4140</v>
      </c>
      <c r="B189" t="s">
        <v>2691</v>
      </c>
      <c r="D189" t="b">
        <f>IFERROR(VLOOKUP(B189,PatData!$A$2:$A$2000,1,),"")&lt;&gt;""</f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4141</v>
      </c>
      <c r="B190" t="s">
        <v>2692</v>
      </c>
      <c r="D190" t="b">
        <f>IFERROR(VLOOKUP(B190,PatData!$A$2:$A$2000,1,),"")&lt;&gt;""</f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4142</v>
      </c>
      <c r="B191" t="s">
        <v>2693</v>
      </c>
      <c r="D191" t="b">
        <f>IFERROR(VLOOKUP(B191,PatData!$A$2:$A$2000,1,),"")&lt;&gt;""</f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4143</v>
      </c>
      <c r="B192" t="s">
        <v>2694</v>
      </c>
      <c r="D192" t="b">
        <f>IFERROR(VLOOKUP(B192,PatData!$A$2:$A$2000,1,),"")&lt;&gt;""</f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4144</v>
      </c>
      <c r="B193" t="s">
        <v>2695</v>
      </c>
      <c r="D193" t="b">
        <f>IFERROR(VLOOKUP(B193,PatData!$A$2:$A$2000,1,),"")&lt;&gt;""</f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4145</v>
      </c>
      <c r="B194" t="s">
        <v>2696</v>
      </c>
      <c r="D194" t="b">
        <f>IFERROR(VLOOKUP(B194,PatData!$A$2:$A$2000,1,),"")&lt;&gt;""</f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4146</v>
      </c>
      <c r="B195" t="s">
        <v>2697</v>
      </c>
      <c r="D195" t="b">
        <f>IFERROR(VLOOKUP(B195,PatData!$A$2:$A$2000,1,),"")&lt;&gt;""</f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4147</v>
      </c>
      <c r="B196" t="s">
        <v>2698</v>
      </c>
      <c r="D196" t="b">
        <f>IFERROR(VLOOKUP(B196,PatData!$A$2:$A$2000,1,),"")&lt;&gt;""</f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4148</v>
      </c>
      <c r="B197" t="s">
        <v>2699</v>
      </c>
      <c r="D197" t="b">
        <f>IFERROR(VLOOKUP(B197,PatData!$A$2:$A$2000,1,),"")&lt;&gt;""</f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4149</v>
      </c>
      <c r="B198" t="s">
        <v>2700</v>
      </c>
      <c r="D198" t="b">
        <f>IFERROR(VLOOKUP(B198,PatData!$A$2:$A$2000,1,),"")&lt;&gt;""</f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4150</v>
      </c>
      <c r="B199" t="s">
        <v>2701</v>
      </c>
      <c r="D199" t="b">
        <f>IFERROR(VLOOKUP(B199,PatData!$A$2:$A$2000,1,),"")&lt;&gt;""</f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4151</v>
      </c>
      <c r="B200" t="s">
        <v>2702</v>
      </c>
      <c r="D200" t="b">
        <f>IFERROR(VLOOKUP(B200,PatData!$A$2:$A$2000,1,),"")&lt;&gt;""</f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4152</v>
      </c>
      <c r="B201" t="s">
        <v>2703</v>
      </c>
      <c r="D201" t="b">
        <f>IFERROR(VLOOKUP(B201,PatData!$A$2:$A$2000,1,),"")&lt;&gt;""</f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4153</v>
      </c>
      <c r="B202" t="s">
        <v>2704</v>
      </c>
      <c r="D202" t="b">
        <f>IFERROR(VLOOKUP(B202,PatData!$A$2:$A$2000,1,),"")&lt;&gt;""</f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4154</v>
      </c>
      <c r="B203" t="s">
        <v>2705</v>
      </c>
      <c r="D203" t="b">
        <f>IFERROR(VLOOKUP(B203,PatData!$A$2:$A$2000,1,),"")&lt;&gt;""</f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4155</v>
      </c>
      <c r="B204" t="s">
        <v>2706</v>
      </c>
      <c r="D204" t="b">
        <f>IFERROR(VLOOKUP(B204,PatData!$A$2:$A$2000,1,),"")&lt;&gt;""</f>
        <v>1</v>
      </c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4156</v>
      </c>
      <c r="B205" t="s">
        <v>2707</v>
      </c>
      <c r="D205" t="b">
        <f>IFERROR(VLOOKUP(B205,PatData!$A$2:$A$2000,1,),"")&lt;&gt;""</f>
        <v>1</v>
      </c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4157</v>
      </c>
      <c r="B206" t="s">
        <v>2708</v>
      </c>
      <c r="D206" t="b">
        <f>IFERROR(VLOOKUP(B206,PatData!$A$2:$A$2000,1,),"")&lt;&gt;""</f>
        <v>1</v>
      </c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4158</v>
      </c>
      <c r="B207" t="s">
        <v>2709</v>
      </c>
      <c r="D207" t="b">
        <f>IFERROR(VLOOKUP(B207,PatData!$A$2:$A$2000,1,),"")&lt;&gt;""</f>
        <v>1</v>
      </c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4159</v>
      </c>
      <c r="B208" t="s">
        <v>2710</v>
      </c>
      <c r="D208" t="b">
        <f>IFERROR(VLOOKUP(B208,PatData!$A$2:$A$2000,1,),"")&lt;&gt;""</f>
        <v>1</v>
      </c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4160</v>
      </c>
      <c r="B209" t="s">
        <v>2711</v>
      </c>
      <c r="D209" t="b">
        <f>IFERROR(VLOOKUP(B209,PatData!$A$2:$A$2000,1,),"")&lt;&gt;""</f>
        <v>1</v>
      </c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4161</v>
      </c>
      <c r="B210" t="s">
        <v>2712</v>
      </c>
      <c r="D210" t="b">
        <f>IFERROR(VLOOKUP(B210,PatData!$A$2:$A$2000,1,),"")&lt;&gt;""</f>
        <v>1</v>
      </c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4162</v>
      </c>
      <c r="B211" t="s">
        <v>2713</v>
      </c>
      <c r="D211" t="b">
        <f>IFERROR(VLOOKUP(B211,PatData!$A$2:$A$2000,1,),"")&lt;&gt;""</f>
        <v>1</v>
      </c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4163</v>
      </c>
      <c r="B212" t="s">
        <v>2714</v>
      </c>
      <c r="D212" t="b">
        <f>IFERROR(VLOOKUP(B212,PatData!$A$2:$A$2000,1,),"")&lt;&gt;""</f>
        <v>1</v>
      </c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4164</v>
      </c>
      <c r="B213" t="s">
        <v>2715</v>
      </c>
      <c r="D213" t="b">
        <f>IFERROR(VLOOKUP(B213,PatData!$A$2:$A$2000,1,),"")&lt;&gt;""</f>
        <v>1</v>
      </c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4165</v>
      </c>
      <c r="B214" t="s">
        <v>2716</v>
      </c>
      <c r="D214" t="b">
        <f>IFERROR(VLOOKUP(B214,PatData!$A$2:$A$2000,1,),"")&lt;&gt;""</f>
        <v>1</v>
      </c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4166</v>
      </c>
      <c r="B215" t="s">
        <v>2717</v>
      </c>
      <c r="D215" t="b">
        <f>IFERROR(VLOOKUP(B215,PatData!$A$2:$A$2000,1,),"")&lt;&gt;""</f>
        <v>1</v>
      </c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4167</v>
      </c>
      <c r="B216" t="s">
        <v>2718</v>
      </c>
      <c r="D216" t="b">
        <f>IFERROR(VLOOKUP(B216,PatData!$A$2:$A$2000,1,),"")&lt;&gt;""</f>
        <v>1</v>
      </c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4168</v>
      </c>
      <c r="B217" t="s">
        <v>2719</v>
      </c>
      <c r="D217" t="b">
        <f>IFERROR(VLOOKUP(B217,PatData!$A$2:$A$2000,1,),"")&lt;&gt;""</f>
        <v>1</v>
      </c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4169</v>
      </c>
      <c r="B218" t="s">
        <v>2720</v>
      </c>
      <c r="D218" t="b">
        <f>IFERROR(VLOOKUP(B218,PatData!$A$2:$A$2000,1,),"")&lt;&gt;""</f>
        <v>1</v>
      </c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4170</v>
      </c>
      <c r="B219" t="s">
        <v>2721</v>
      </c>
      <c r="D219" t="b">
        <f>IFERROR(VLOOKUP(B219,PatData!$A$2:$A$2000,1,),"")&lt;&gt;""</f>
        <v>1</v>
      </c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4171</v>
      </c>
      <c r="B220" t="s">
        <v>2722</v>
      </c>
      <c r="D220" t="b">
        <f>IFERROR(VLOOKUP(B220,PatData!$A$2:$A$2000,1,),"")&lt;&gt;""</f>
        <v>1</v>
      </c>
      <c r="E220">
        <v>0</v>
      </c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4172</v>
      </c>
      <c r="B221" t="s">
        <v>2723</v>
      </c>
      <c r="D221" t="b">
        <f>IFERROR(VLOOKUP(B221,PatData!$A$2:$A$2000,1,),"")&lt;&gt;""</f>
        <v>1</v>
      </c>
      <c r="E221">
        <v>0</v>
      </c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4173</v>
      </c>
      <c r="B222" t="s">
        <v>2724</v>
      </c>
      <c r="D222" t="b">
        <f>IFERROR(VLOOKUP(B222,PatData!$A$2:$A$2000,1,),"")&lt;&gt;""</f>
        <v>1</v>
      </c>
      <c r="E222">
        <v>0</v>
      </c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4174</v>
      </c>
      <c r="B223" t="s">
        <v>2725</v>
      </c>
      <c r="D223" t="b">
        <f>IFERROR(VLOOKUP(B223,PatData!$A$2:$A$2000,1,),"")&lt;&gt;""</f>
        <v>1</v>
      </c>
      <c r="E223">
        <v>0</v>
      </c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4175</v>
      </c>
      <c r="B224" t="s">
        <v>2726</v>
      </c>
      <c r="D224" t="b">
        <f>IFERROR(VLOOKUP(B224,PatData!$A$2:$A$2000,1,),"")&lt;&gt;""</f>
        <v>1</v>
      </c>
      <c r="E224">
        <v>0</v>
      </c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4176</v>
      </c>
      <c r="B225" t="s">
        <v>2727</v>
      </c>
      <c r="D225" t="b">
        <f>IFERROR(VLOOKUP(B225,PatData!$A$2:$A$2000,1,),"")&lt;&gt;""</f>
        <v>1</v>
      </c>
      <c r="E225">
        <v>0</v>
      </c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4177</v>
      </c>
      <c r="B226" t="s">
        <v>2728</v>
      </c>
      <c r="D226" t="b">
        <f>IFERROR(VLOOKUP(B226,PatData!$A$2:$A$2000,1,),"")&lt;&gt;""</f>
        <v>1</v>
      </c>
      <c r="E226">
        <v>0</v>
      </c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4178</v>
      </c>
      <c r="B227" t="s">
        <v>2729</v>
      </c>
      <c r="D227" t="b">
        <f>IFERROR(VLOOKUP(B227,PatData!$A$2:$A$2000,1,),"")&lt;&gt;""</f>
        <v>1</v>
      </c>
      <c r="E227">
        <v>0</v>
      </c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4179</v>
      </c>
      <c r="B228" t="s">
        <v>2730</v>
      </c>
      <c r="D228" t="b">
        <f>IFERROR(VLOOKUP(B228,PatData!$A$2:$A$2000,1,),"")&lt;&gt;""</f>
        <v>1</v>
      </c>
      <c r="E228">
        <v>0</v>
      </c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4180</v>
      </c>
      <c r="B229" t="s">
        <v>2731</v>
      </c>
      <c r="D229" t="b">
        <f>IFERROR(VLOOKUP(B229,PatData!$A$2:$A$2000,1,),"")&lt;&gt;""</f>
        <v>1</v>
      </c>
      <c r="E229">
        <v>0</v>
      </c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4181</v>
      </c>
      <c r="B230" t="s">
        <v>2732</v>
      </c>
      <c r="D230" t="b">
        <f>IFERROR(VLOOKUP(B230,PatData!$A$2:$A$2000,1,),"")&lt;&gt;""</f>
        <v>1</v>
      </c>
      <c r="E230">
        <v>0</v>
      </c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4182</v>
      </c>
      <c r="B231" t="s">
        <v>2733</v>
      </c>
      <c r="D231" t="b">
        <f>IFERROR(VLOOKUP(B231,PatData!$A$2:$A$2000,1,),"")&lt;&gt;""</f>
        <v>1</v>
      </c>
      <c r="E231">
        <v>0</v>
      </c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4183</v>
      </c>
      <c r="B232" t="s">
        <v>2734</v>
      </c>
      <c r="D232" t="b">
        <f>IFERROR(VLOOKUP(B232,PatData!$A$2:$A$2000,1,),"")&lt;&gt;""</f>
        <v>1</v>
      </c>
      <c r="E232">
        <v>0</v>
      </c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4184</v>
      </c>
      <c r="B233" t="s">
        <v>2735</v>
      </c>
      <c r="D233" t="b">
        <f>IFERROR(VLOOKUP(B233,PatData!$A$2:$A$2000,1,),"")&lt;&gt;""</f>
        <v>1</v>
      </c>
      <c r="E233">
        <v>0</v>
      </c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4185</v>
      </c>
      <c r="B234" t="s">
        <v>2736</v>
      </c>
      <c r="D234" t="b">
        <f>IFERROR(VLOOKUP(B234,PatData!$A$2:$A$2000,1,),"")&lt;&gt;""</f>
        <v>1</v>
      </c>
      <c r="E234">
        <v>0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4186</v>
      </c>
      <c r="B235" t="s">
        <v>2737</v>
      </c>
      <c r="D235" t="b">
        <f>IFERROR(VLOOKUP(B235,PatData!$A$2:$A$2000,1,),"")&lt;&gt;""</f>
        <v>1</v>
      </c>
      <c r="E235">
        <v>0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4187</v>
      </c>
      <c r="B236" t="s">
        <v>2738</v>
      </c>
      <c r="D236" t="b">
        <f>IFERROR(VLOOKUP(B236,PatData!$A$2:$A$2000,1,),"")&lt;&gt;""</f>
        <v>1</v>
      </c>
      <c r="E236">
        <v>0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4188</v>
      </c>
      <c r="B237" t="s">
        <v>2739</v>
      </c>
      <c r="D237" t="b">
        <f>IFERROR(VLOOKUP(B237,PatData!$A$2:$A$2000,1,),"")&lt;&gt;""</f>
        <v>1</v>
      </c>
      <c r="E237">
        <v>0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4189</v>
      </c>
      <c r="B238" t="s">
        <v>2740</v>
      </c>
      <c r="D238" t="b">
        <f>IFERROR(VLOOKUP(B238,PatData!$A$2:$A$2000,1,),"")&lt;&gt;""</f>
        <v>1</v>
      </c>
      <c r="E238">
        <v>0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4190</v>
      </c>
      <c r="B239" t="s">
        <v>2741</v>
      </c>
      <c r="D239" t="b">
        <f>IFERROR(VLOOKUP(B239,PatData!$A$2:$A$2000,1,),"")&lt;&gt;""</f>
        <v>1</v>
      </c>
      <c r="E239">
        <v>0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4191</v>
      </c>
      <c r="B240" t="s">
        <v>2742</v>
      </c>
      <c r="D240" t="b">
        <f>IFERROR(VLOOKUP(B240,PatData!$A$2:$A$2000,1,),"")&lt;&gt;""</f>
        <v>1</v>
      </c>
      <c r="E240">
        <v>0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4192</v>
      </c>
      <c r="B241" t="s">
        <v>2743</v>
      </c>
      <c r="D241" t="b">
        <f>IFERROR(VLOOKUP(B241,PatData!$A$2:$A$2000,1,),"")&lt;&gt;""</f>
        <v>1</v>
      </c>
      <c r="E241">
        <v>0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4193</v>
      </c>
      <c r="B242" t="s">
        <v>2744</v>
      </c>
      <c r="D242" t="b">
        <f>IFERROR(VLOOKUP(B242,PatData!$A$2:$A$2000,1,),"")&lt;&gt;""</f>
        <v>1</v>
      </c>
      <c r="E242">
        <v>0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4194</v>
      </c>
      <c r="B243" t="s">
        <v>2745</v>
      </c>
      <c r="D243" t="b">
        <f>IFERROR(VLOOKUP(B243,PatData!$A$2:$A$2000,1,),"")&lt;&gt;""</f>
        <v>1</v>
      </c>
      <c r="E243">
        <v>0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4195</v>
      </c>
      <c r="B244" t="s">
        <v>2746</v>
      </c>
      <c r="D244" t="b">
        <f>IFERROR(VLOOKUP(B244,PatData!$A$2:$A$2000,1,),"")&lt;&gt;""</f>
        <v>1</v>
      </c>
      <c r="E244">
        <v>0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4196</v>
      </c>
      <c r="B245" t="s">
        <v>2747</v>
      </c>
      <c r="D245" t="b">
        <f>IFERROR(VLOOKUP(B245,PatData!$A$2:$A$2000,1,),"")&lt;&gt;""</f>
        <v>1</v>
      </c>
      <c r="E245">
        <v>0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4197</v>
      </c>
      <c r="B246" t="s">
        <v>2748</v>
      </c>
      <c r="D246" t="b">
        <f>IFERROR(VLOOKUP(B246,PatData!$A$2:$A$2000,1,),"")&lt;&gt;""</f>
        <v>1</v>
      </c>
      <c r="E246">
        <v>0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4198</v>
      </c>
      <c r="B247" t="s">
        <v>2749</v>
      </c>
      <c r="D247" t="b">
        <f>IFERROR(VLOOKUP(B247,PatData!$A$2:$A$2000,1,),"")&lt;&gt;""</f>
        <v>1</v>
      </c>
      <c r="E247">
        <v>0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4199</v>
      </c>
      <c r="B248" t="s">
        <v>2750</v>
      </c>
      <c r="D248" t="b">
        <f>IFERROR(VLOOKUP(B248,PatData!$A$2:$A$2000,1,),"")&lt;&gt;""</f>
        <v>1</v>
      </c>
      <c r="E248">
        <v>0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4200</v>
      </c>
      <c r="B249" t="s">
        <v>2751</v>
      </c>
      <c r="D249" t="b">
        <f>IFERROR(VLOOKUP(B249,PatData!$A$2:$A$2000,1,),"")&lt;&gt;""</f>
        <v>1</v>
      </c>
      <c r="E249">
        <v>0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4231</v>
      </c>
      <c r="B250" t="s">
        <v>2752</v>
      </c>
      <c r="D250" t="b">
        <f>IFERROR(VLOOKUP(B250,PatData!$A$2:$A$2000,1,),"")&lt;&gt;""</f>
        <v>1</v>
      </c>
      <c r="E250">
        <v>1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4232</v>
      </c>
      <c r="B251" t="s">
        <v>2753</v>
      </c>
      <c r="D251" t="b">
        <f>IFERROR(VLOOKUP(B251,PatData!$A$2:$A$2000,1,),"")&lt;&gt;""</f>
        <v>1</v>
      </c>
      <c r="E251">
        <v>1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4233</v>
      </c>
      <c r="B252" t="s">
        <v>2754</v>
      </c>
      <c r="D252" t="b">
        <f>IFERROR(VLOOKUP(B252,PatData!$A$2:$A$2000,1,),"")&lt;&gt;""</f>
        <v>1</v>
      </c>
      <c r="E252">
        <v>1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4234</v>
      </c>
      <c r="B253" t="s">
        <v>2755</v>
      </c>
      <c r="D253" t="b">
        <f>IFERROR(VLOOKUP(B253,PatData!$A$2:$A$2000,1,),"")&lt;&gt;""</f>
        <v>1</v>
      </c>
      <c r="E253">
        <v>1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4235</v>
      </c>
      <c r="B254" t="s">
        <v>2756</v>
      </c>
      <c r="D254" t="b">
        <f>IFERROR(VLOOKUP(B254,PatData!$A$2:$A$2000,1,),"")&lt;&gt;""</f>
        <v>1</v>
      </c>
      <c r="E254">
        <v>1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4236</v>
      </c>
      <c r="B255" t="s">
        <v>2757</v>
      </c>
      <c r="D255" t="b">
        <f>IFERROR(VLOOKUP(B255,PatData!$A$2:$A$2000,1,),"")&lt;&gt;""</f>
        <v>1</v>
      </c>
      <c r="E255">
        <v>1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4237</v>
      </c>
      <c r="B256" t="s">
        <v>2758</v>
      </c>
      <c r="D256" t="b">
        <f>IFERROR(VLOOKUP(B256,PatData!$A$2:$A$2000,1,),"")&lt;&gt;""</f>
        <v>1</v>
      </c>
      <c r="E256">
        <v>1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4238</v>
      </c>
      <c r="B257" t="s">
        <v>2759</v>
      </c>
      <c r="D257" t="b">
        <f>IFERROR(VLOOKUP(B257,PatData!$A$2:$A$2000,1,),"")&lt;&gt;""</f>
        <v>1</v>
      </c>
      <c r="E257">
        <v>1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4239</v>
      </c>
      <c r="B258" t="s">
        <v>2760</v>
      </c>
      <c r="D258" t="b">
        <f>IFERROR(VLOOKUP(B258,PatData!$A$2:$A$2000,1,),"")&lt;&gt;""</f>
        <v>1</v>
      </c>
      <c r="E258">
        <v>1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4240</v>
      </c>
      <c r="B259" t="s">
        <v>2761</v>
      </c>
      <c r="D259" t="b">
        <f>IFERROR(VLOOKUP(B259,PatData!$A$2:$A$2000,1,),"")&lt;&gt;""</f>
        <v>1</v>
      </c>
      <c r="E259">
        <v>1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4241</v>
      </c>
      <c r="B260" t="s">
        <v>2762</v>
      </c>
      <c r="D260" t="b">
        <f>IFERROR(VLOOKUP(B260,PatData!$A$2:$A$2000,1,),"")&lt;&gt;""</f>
        <v>1</v>
      </c>
      <c r="E260">
        <v>1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4242</v>
      </c>
      <c r="B261" t="s">
        <v>2763</v>
      </c>
      <c r="D261" t="b">
        <f>IFERROR(VLOOKUP(B261,PatData!$A$2:$A$2000,1,),"")&lt;&gt;""</f>
        <v>1</v>
      </c>
      <c r="E261">
        <v>1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4243</v>
      </c>
      <c r="B262" t="s">
        <v>2764</v>
      </c>
      <c r="D262" t="b">
        <f>IFERROR(VLOOKUP(B262,PatData!$A$2:$A$2000,1,),"")&lt;&gt;""</f>
        <v>1</v>
      </c>
      <c r="E262">
        <v>1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4244</v>
      </c>
      <c r="B263" t="s">
        <v>2765</v>
      </c>
      <c r="D263" t="b">
        <f>IFERROR(VLOOKUP(B263,PatData!$A$2:$A$2000,1,),"")&lt;&gt;""</f>
        <v>1</v>
      </c>
      <c r="E263">
        <v>1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4245</v>
      </c>
      <c r="B264" t="s">
        <v>2766</v>
      </c>
      <c r="D264" t="b">
        <f>IFERROR(VLOOKUP(B264,PatData!$A$2:$A$2000,1,),"")&lt;&gt;""</f>
        <v>1</v>
      </c>
      <c r="E264">
        <v>1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4246</v>
      </c>
      <c r="B265" t="s">
        <v>2767</v>
      </c>
      <c r="D265" t="b">
        <f>IFERROR(VLOOKUP(B265,PatData!$A$2:$A$2000,1,),"")&lt;&gt;""</f>
        <v>1</v>
      </c>
      <c r="E265">
        <v>1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4247</v>
      </c>
      <c r="B266" t="s">
        <v>2768</v>
      </c>
      <c r="D266" t="b">
        <f>IFERROR(VLOOKUP(B266,PatData!$A$2:$A$2000,1,),"")&lt;&gt;""</f>
        <v>1</v>
      </c>
      <c r="E266">
        <v>1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4248</v>
      </c>
      <c r="B267" t="s">
        <v>2769</v>
      </c>
      <c r="D267" t="b">
        <f>IFERROR(VLOOKUP(B267,PatData!$A$2:$A$2000,1,),"")&lt;&gt;""</f>
        <v>1</v>
      </c>
      <c r="E267">
        <v>1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4249</v>
      </c>
      <c r="B268" t="s">
        <v>2770</v>
      </c>
      <c r="D268" t="b">
        <f>IFERROR(VLOOKUP(B268,PatData!$A$2:$A$2000,1,),"")&lt;&gt;""</f>
        <v>1</v>
      </c>
      <c r="E268">
        <v>1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4250</v>
      </c>
      <c r="B269" t="s">
        <v>2771</v>
      </c>
      <c r="D269" t="b">
        <f>IFERROR(VLOOKUP(B269,PatData!$A$2:$A$2000,1,),"")&lt;&gt;""</f>
        <v>1</v>
      </c>
      <c r="E269">
        <v>1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4251</v>
      </c>
      <c r="B270" t="s">
        <v>2772</v>
      </c>
      <c r="D270" t="b">
        <f>IFERROR(VLOOKUP(B270,PatData!$A$2:$A$2000,1,),"")&lt;&gt;""</f>
        <v>1</v>
      </c>
      <c r="E270">
        <v>1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4252</v>
      </c>
      <c r="B271" t="s">
        <v>2773</v>
      </c>
      <c r="D271" t="b">
        <f>IFERROR(VLOOKUP(B271,PatData!$A$2:$A$2000,1,),"")&lt;&gt;""</f>
        <v>1</v>
      </c>
      <c r="E271">
        <v>1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4253</v>
      </c>
      <c r="B272" t="s">
        <v>2774</v>
      </c>
      <c r="D272" t="b">
        <f>IFERROR(VLOOKUP(B272,PatData!$A$2:$A$2000,1,),"")&lt;&gt;""</f>
        <v>1</v>
      </c>
      <c r="E272">
        <v>1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4254</v>
      </c>
      <c r="B273" t="s">
        <v>2775</v>
      </c>
      <c r="D273" t="b">
        <f>IFERROR(VLOOKUP(B273,PatData!$A$2:$A$2000,1,),"")&lt;&gt;""</f>
        <v>1</v>
      </c>
      <c r="E273">
        <v>1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4255</v>
      </c>
      <c r="B274" t="s">
        <v>2776</v>
      </c>
      <c r="D274" t="b">
        <f>IFERROR(VLOOKUP(B274,PatData!$A$2:$A$2000,1,),"")&lt;&gt;""</f>
        <v>1</v>
      </c>
      <c r="E274">
        <v>1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4256</v>
      </c>
      <c r="B275" t="s">
        <v>2777</v>
      </c>
      <c r="D275" t="b">
        <f>IFERROR(VLOOKUP(B275,PatData!$A$2:$A$2000,1,),"")&lt;&gt;""</f>
        <v>1</v>
      </c>
      <c r="E275">
        <v>1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4257</v>
      </c>
      <c r="B276" t="s">
        <v>2778</v>
      </c>
      <c r="D276" t="b">
        <f>IFERROR(VLOOKUP(B276,PatData!$A$2:$A$2000,1,),"")&lt;&gt;""</f>
        <v>1</v>
      </c>
      <c r="E276">
        <v>1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4258</v>
      </c>
      <c r="B277" t="s">
        <v>2779</v>
      </c>
      <c r="D277" t="b">
        <f>IFERROR(VLOOKUP(B277,PatData!$A$2:$A$2000,1,),"")&lt;&gt;""</f>
        <v>1</v>
      </c>
      <c r="E277">
        <v>1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4259</v>
      </c>
      <c r="B278" t="s">
        <v>2780</v>
      </c>
      <c r="D278" t="b">
        <f>IFERROR(VLOOKUP(B278,PatData!$A$2:$A$2000,1,),"")&lt;&gt;""</f>
        <v>1</v>
      </c>
      <c r="E278">
        <v>1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4260</v>
      </c>
      <c r="B279" t="s">
        <v>2781</v>
      </c>
      <c r="D279" t="b">
        <f>IFERROR(VLOOKUP(B279,PatData!$A$2:$A$2000,1,),"")&lt;&gt;""</f>
        <v>1</v>
      </c>
      <c r="E279">
        <v>1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4261</v>
      </c>
      <c r="B280" t="s">
        <v>2782</v>
      </c>
      <c r="D280" t="b">
        <f>IFERROR(VLOOKUP(B280,PatData!$A$2:$A$2000,1,),"")&lt;&gt;""</f>
        <v>1</v>
      </c>
      <c r="E280">
        <v>0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4262</v>
      </c>
      <c r="B281" t="s">
        <v>2783</v>
      </c>
      <c r="D281" t="b">
        <f>IFERROR(VLOOKUP(B281,PatData!$A$2:$A$2000,1,),"")&lt;&gt;""</f>
        <v>1</v>
      </c>
      <c r="E281">
        <v>0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4263</v>
      </c>
      <c r="B282" t="s">
        <v>2784</v>
      </c>
      <c r="D282" t="b">
        <f>IFERROR(VLOOKUP(B282,PatData!$A$2:$A$2000,1,),"")&lt;&gt;""</f>
        <v>1</v>
      </c>
      <c r="E282">
        <v>0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4264</v>
      </c>
      <c r="B283" t="s">
        <v>2785</v>
      </c>
      <c r="D283" t="b">
        <f>IFERROR(VLOOKUP(B283,PatData!$A$2:$A$2000,1,),"")&lt;&gt;""</f>
        <v>1</v>
      </c>
      <c r="E283">
        <v>0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4265</v>
      </c>
      <c r="B284" t="s">
        <v>2786</v>
      </c>
      <c r="D284" t="b">
        <f>IFERROR(VLOOKUP(B284,PatData!$A$2:$A$2000,1,),"")&lt;&gt;""</f>
        <v>1</v>
      </c>
      <c r="E284">
        <v>0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4266</v>
      </c>
      <c r="B285" t="s">
        <v>2787</v>
      </c>
      <c r="D285" t="b">
        <f>IFERROR(VLOOKUP(B285,PatData!$A$2:$A$2000,1,),"")&lt;&gt;""</f>
        <v>1</v>
      </c>
      <c r="E285">
        <v>0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4267</v>
      </c>
      <c r="B286" t="s">
        <v>2788</v>
      </c>
      <c r="D286" t="b">
        <f>IFERROR(VLOOKUP(B286,PatData!$A$2:$A$2000,1,),"")&lt;&gt;""</f>
        <v>1</v>
      </c>
      <c r="E286">
        <v>0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4268</v>
      </c>
      <c r="B287" t="s">
        <v>2789</v>
      </c>
      <c r="D287" t="b">
        <f>IFERROR(VLOOKUP(B287,PatData!$A$2:$A$2000,1,),"")&lt;&gt;""</f>
        <v>1</v>
      </c>
      <c r="E287">
        <v>0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4269</v>
      </c>
      <c r="B288" t="s">
        <v>2790</v>
      </c>
      <c r="D288" t="b">
        <f>IFERROR(VLOOKUP(B288,PatData!$A$2:$A$2000,1,),"")&lt;&gt;""</f>
        <v>1</v>
      </c>
      <c r="E288">
        <v>0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4270</v>
      </c>
      <c r="B289" t="s">
        <v>2791</v>
      </c>
      <c r="D289" t="b">
        <f>IFERROR(VLOOKUP(B289,PatData!$A$2:$A$2000,1,),"")&lt;&gt;""</f>
        <v>1</v>
      </c>
      <c r="E289">
        <v>0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4271</v>
      </c>
      <c r="B290" t="s">
        <v>2792</v>
      </c>
      <c r="D290" t="b">
        <f>IFERROR(VLOOKUP(B290,PatData!$A$2:$A$2000,1,),"")&lt;&gt;""</f>
        <v>1</v>
      </c>
      <c r="E290">
        <v>0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4272</v>
      </c>
      <c r="B291" t="s">
        <v>2793</v>
      </c>
      <c r="D291" t="b">
        <f>IFERROR(VLOOKUP(B291,PatData!$A$2:$A$2000,1,),"")&lt;&gt;""</f>
        <v>1</v>
      </c>
      <c r="E291">
        <v>0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4273</v>
      </c>
      <c r="B292" t="s">
        <v>2794</v>
      </c>
      <c r="D292" t="b">
        <f>IFERROR(VLOOKUP(B292,PatData!$A$2:$A$2000,1,),"")&lt;&gt;""</f>
        <v>1</v>
      </c>
      <c r="E292">
        <v>0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4274</v>
      </c>
      <c r="B293" t="s">
        <v>2795</v>
      </c>
      <c r="D293" t="b">
        <f>IFERROR(VLOOKUP(B293,PatData!$A$2:$A$2000,1,),"")&lt;&gt;""</f>
        <v>1</v>
      </c>
      <c r="E293">
        <v>0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4275</v>
      </c>
      <c r="B294" t="s">
        <v>2796</v>
      </c>
      <c r="D294" t="b">
        <f>IFERROR(VLOOKUP(B294,PatData!$A$2:$A$2000,1,),"")&lt;&gt;""</f>
        <v>1</v>
      </c>
      <c r="E294">
        <v>0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4276</v>
      </c>
      <c r="B295" t="s">
        <v>2797</v>
      </c>
      <c r="D295" t="b">
        <f>IFERROR(VLOOKUP(B295,PatData!$A$2:$A$2000,1,),"")&lt;&gt;""</f>
        <v>1</v>
      </c>
      <c r="E295">
        <v>0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4277</v>
      </c>
      <c r="B296" t="s">
        <v>2798</v>
      </c>
      <c r="D296" t="b">
        <f>IFERROR(VLOOKUP(B296,PatData!$A$2:$A$2000,1,),"")&lt;&gt;""</f>
        <v>1</v>
      </c>
      <c r="E296">
        <v>0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4278</v>
      </c>
      <c r="B297" t="s">
        <v>2799</v>
      </c>
      <c r="D297" t="b">
        <f>IFERROR(VLOOKUP(B297,PatData!$A$2:$A$2000,1,),"")&lt;&gt;""</f>
        <v>1</v>
      </c>
      <c r="E297">
        <v>0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4279</v>
      </c>
      <c r="B298" t="s">
        <v>2800</v>
      </c>
      <c r="D298" t="b">
        <f>IFERROR(VLOOKUP(B298,PatData!$A$2:$A$2000,1,),"")&lt;&gt;""</f>
        <v>1</v>
      </c>
      <c r="E298">
        <v>0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4280</v>
      </c>
      <c r="B299" t="s">
        <v>2801</v>
      </c>
      <c r="D299" t="b">
        <f>IFERROR(VLOOKUP(B299,PatData!$A$2:$A$2000,1,),"")&lt;&gt;""</f>
        <v>1</v>
      </c>
      <c r="E299">
        <v>0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4281</v>
      </c>
      <c r="B300" t="s">
        <v>2802</v>
      </c>
      <c r="D300" t="b">
        <f>IFERROR(VLOOKUP(B300,PatData!$A$2:$A$2000,1,),"")&lt;&gt;""</f>
        <v>1</v>
      </c>
      <c r="E300">
        <v>0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4282</v>
      </c>
      <c r="B301" t="s">
        <v>2803</v>
      </c>
      <c r="D301" t="b">
        <f>IFERROR(VLOOKUP(B301,PatData!$A$2:$A$2000,1,),"")&lt;&gt;""</f>
        <v>1</v>
      </c>
      <c r="E301">
        <v>0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4283</v>
      </c>
      <c r="B302" t="s">
        <v>2804</v>
      </c>
      <c r="D302" t="b">
        <f>IFERROR(VLOOKUP(B302,PatData!$A$2:$A$2000,1,),"")&lt;&gt;""</f>
        <v>1</v>
      </c>
      <c r="E302">
        <v>0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4284</v>
      </c>
      <c r="B303" t="s">
        <v>2805</v>
      </c>
      <c r="D303" t="b">
        <f>IFERROR(VLOOKUP(B303,PatData!$A$2:$A$2000,1,),"")&lt;&gt;""</f>
        <v>1</v>
      </c>
      <c r="E303">
        <v>0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4285</v>
      </c>
      <c r="B304" t="s">
        <v>2806</v>
      </c>
      <c r="D304" t="b">
        <f>IFERROR(VLOOKUP(B304,PatData!$A$2:$A$2000,1,),"")&lt;&gt;""</f>
        <v>1</v>
      </c>
      <c r="E304">
        <v>0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4286</v>
      </c>
      <c r="B305" t="s">
        <v>2807</v>
      </c>
      <c r="D305" t="b">
        <f>IFERROR(VLOOKUP(B305,PatData!$A$2:$A$2000,1,),"")&lt;&gt;""</f>
        <v>1</v>
      </c>
      <c r="E305">
        <v>0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4287</v>
      </c>
      <c r="B306" t="s">
        <v>2808</v>
      </c>
      <c r="D306" t="b">
        <f>IFERROR(VLOOKUP(B306,PatData!$A$2:$A$2000,1,),"")&lt;&gt;""</f>
        <v>1</v>
      </c>
      <c r="E306">
        <v>0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4288</v>
      </c>
      <c r="B307" t="s">
        <v>2809</v>
      </c>
      <c r="D307" t="b">
        <f>IFERROR(VLOOKUP(B307,PatData!$A$2:$A$2000,1,),"")&lt;&gt;""</f>
        <v>1</v>
      </c>
      <c r="E307">
        <v>0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4289</v>
      </c>
      <c r="B308" t="s">
        <v>2810</v>
      </c>
      <c r="D308" t="b">
        <f>IFERROR(VLOOKUP(B308,PatData!$A$2:$A$2000,1,),"")&lt;&gt;""</f>
        <v>1</v>
      </c>
      <c r="E308">
        <v>0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4290</v>
      </c>
      <c r="B309" t="s">
        <v>2811</v>
      </c>
      <c r="D309" t="b">
        <f>IFERROR(VLOOKUP(B309,PatData!$A$2:$A$2000,1,),"")&lt;&gt;""</f>
        <v>1</v>
      </c>
      <c r="E309">
        <v>0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4946</v>
      </c>
      <c r="B310" t="s">
        <v>2812</v>
      </c>
      <c r="D310" t="b">
        <f>IFERROR(VLOOKUP(B310,PatData!$A$2:$A$2000,1,),"")&lt;&gt;""</f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4947</v>
      </c>
      <c r="B311" t="s">
        <v>2813</v>
      </c>
      <c r="D311" t="b">
        <f>IFERROR(VLOOKUP(B311,PatData!$A$2:$A$2000,1,),"")&lt;&gt;""</f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4948</v>
      </c>
      <c r="B312" t="s">
        <v>2814</v>
      </c>
      <c r="D312" t="b">
        <f>IFERROR(VLOOKUP(B312,PatData!$A$2:$A$2000,1,),"")&lt;&gt;""</f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4949</v>
      </c>
      <c r="B313" t="s">
        <v>2815</v>
      </c>
      <c r="D313" t="b">
        <f>IFERROR(VLOOKUP(B313,PatData!$A$2:$A$2000,1,),"")&lt;&gt;""</f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4950</v>
      </c>
      <c r="B314" t="s">
        <v>2816</v>
      </c>
      <c r="D314" t="b">
        <f>IFERROR(VLOOKUP(B314,PatData!$A$2:$A$2000,1,),"")&lt;&gt;""</f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4951</v>
      </c>
      <c r="B315" t="s">
        <v>2817</v>
      </c>
      <c r="D315" t="b">
        <f>IFERROR(VLOOKUP(B315,PatData!$A$2:$A$2000,1,),"")&lt;&gt;""</f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4952</v>
      </c>
      <c r="B316" t="s">
        <v>2818</v>
      </c>
      <c r="D316" t="b">
        <f>IFERROR(VLOOKUP(B316,PatData!$A$2:$A$2000,1,),"")&lt;&gt;""</f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4953</v>
      </c>
      <c r="B317" t="s">
        <v>2819</v>
      </c>
      <c r="D317" t="b">
        <f>IFERROR(VLOOKUP(B317,PatData!$A$2:$A$2000,1,),"")&lt;&gt;""</f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4954</v>
      </c>
      <c r="B318" t="s">
        <v>2820</v>
      </c>
      <c r="D318" t="b">
        <f>IFERROR(VLOOKUP(B318,PatData!$A$2:$A$2000,1,),"")&lt;&gt;""</f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4955</v>
      </c>
      <c r="B319" t="s">
        <v>2821</v>
      </c>
      <c r="D319" t="b">
        <f>IFERROR(VLOOKUP(B319,PatData!$A$2:$A$2000,1,),"")&lt;&gt;""</f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4956</v>
      </c>
      <c r="B320" t="s">
        <v>2822</v>
      </c>
      <c r="D320" t="b">
        <f>IFERROR(VLOOKUP(B320,PatData!$A$2:$A$2000,1,),"")&lt;&gt;""</f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4957</v>
      </c>
      <c r="B321" t="s">
        <v>2823</v>
      </c>
      <c r="D321" t="b">
        <f>IFERROR(VLOOKUP(B321,PatData!$A$2:$A$2000,1,),"")&lt;&gt;""</f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4958</v>
      </c>
      <c r="B322" t="s">
        <v>2824</v>
      </c>
      <c r="D322" t="b">
        <f>IFERROR(VLOOKUP(B322,PatData!$A$2:$A$2000,1,),"")&lt;&gt;""</f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4959</v>
      </c>
      <c r="B323" t="s">
        <v>2825</v>
      </c>
      <c r="D323" t="b">
        <f>IFERROR(VLOOKUP(B323,PatData!$A$2:$A$2000,1,),"")&lt;&gt;""</f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4960</v>
      </c>
      <c r="B324" t="s">
        <v>2826</v>
      </c>
      <c r="D324" t="b">
        <f>IFERROR(VLOOKUP(B324,PatData!$A$2:$A$2000,1,),"")&lt;&gt;""</f>
        <v>1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4961</v>
      </c>
      <c r="B325" t="s">
        <v>2827</v>
      </c>
      <c r="D325" t="b">
        <f>IFERROR(VLOOKUP(B325,PatData!$A$2:$A$2000,1,),"")&lt;&gt;""</f>
        <v>1</v>
      </c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4962</v>
      </c>
      <c r="B326" t="s">
        <v>2828</v>
      </c>
      <c r="D326" t="b">
        <f>IFERROR(VLOOKUP(B326,PatData!$A$2:$A$2000,1,),"")&lt;&gt;""</f>
        <v>1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4963</v>
      </c>
      <c r="B327" t="s">
        <v>2829</v>
      </c>
      <c r="D327" t="b">
        <f>IFERROR(VLOOKUP(B327,PatData!$A$2:$A$2000,1,),"")&lt;&gt;""</f>
        <v>1</v>
      </c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4964</v>
      </c>
      <c r="B328" t="s">
        <v>2830</v>
      </c>
      <c r="D328" t="b">
        <f>IFERROR(VLOOKUP(B328,PatData!$A$2:$A$2000,1,),"")&lt;&gt;""</f>
        <v>1</v>
      </c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4965</v>
      </c>
      <c r="B329" t="s">
        <v>2831</v>
      </c>
      <c r="D329" t="b">
        <f>IFERROR(VLOOKUP(B329,PatData!$A$2:$A$2000,1,),"")&lt;&gt;""</f>
        <v>1</v>
      </c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4966</v>
      </c>
      <c r="B330" t="s">
        <v>2832</v>
      </c>
      <c r="D330" t="b">
        <f>IFERROR(VLOOKUP(B330,PatData!$A$2:$A$2000,1,),"")&lt;&gt;""</f>
        <v>1</v>
      </c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4967</v>
      </c>
      <c r="B331" t="s">
        <v>2833</v>
      </c>
      <c r="D331" t="b">
        <f>IFERROR(VLOOKUP(B331,PatData!$A$2:$A$2000,1,),"")&lt;&gt;""</f>
        <v>1</v>
      </c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4968</v>
      </c>
      <c r="B332" t="s">
        <v>2834</v>
      </c>
      <c r="D332" t="b">
        <f>IFERROR(VLOOKUP(B332,PatData!$A$2:$A$2000,1,),"")&lt;&gt;""</f>
        <v>1</v>
      </c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4969</v>
      </c>
      <c r="B333" t="s">
        <v>2835</v>
      </c>
      <c r="D333" t="b">
        <f>IFERROR(VLOOKUP(B333,PatData!$A$2:$A$2000,1,),"")&lt;&gt;""</f>
        <v>1</v>
      </c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4970</v>
      </c>
      <c r="B334" t="s">
        <v>2836</v>
      </c>
      <c r="D334" t="b">
        <f>IFERROR(VLOOKUP(B334,PatData!$A$2:$A$2000,1,),"")&lt;&gt;""</f>
        <v>1</v>
      </c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4971</v>
      </c>
      <c r="B335" t="s">
        <v>2837</v>
      </c>
      <c r="D335" t="b">
        <f>IFERROR(VLOOKUP(B335,PatData!$A$2:$A$2000,1,),"")&lt;&gt;""</f>
        <v>1</v>
      </c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4972</v>
      </c>
      <c r="B336" t="s">
        <v>2838</v>
      </c>
      <c r="D336" t="b">
        <f>IFERROR(VLOOKUP(B336,PatData!$A$2:$A$2000,1,),"")&lt;&gt;""</f>
        <v>1</v>
      </c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4973</v>
      </c>
      <c r="B337" t="s">
        <v>2839</v>
      </c>
      <c r="D337" t="b">
        <f>IFERROR(VLOOKUP(B337,PatData!$A$2:$A$2000,1,),"")&lt;&gt;""</f>
        <v>1</v>
      </c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4974</v>
      </c>
      <c r="B338" t="s">
        <v>2840</v>
      </c>
      <c r="D338" t="b">
        <f>IFERROR(VLOOKUP(B338,PatData!$A$2:$A$2000,1,),"")&lt;&gt;""</f>
        <v>1</v>
      </c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4975</v>
      </c>
      <c r="B339" t="s">
        <v>2841</v>
      </c>
      <c r="D339" t="b">
        <f>IFERROR(VLOOKUP(B339,PatData!$A$2:$A$2000,1,),"")&lt;&gt;""</f>
        <v>1</v>
      </c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3961</v>
      </c>
      <c r="B340" t="s">
        <v>4976</v>
      </c>
      <c r="D340" t="b">
        <f>IFERROR(VLOOKUP(B340,PatData!$A$2:$A$2000,1,),"")&lt;&gt;""</f>
        <v>1</v>
      </c>
      <c r="E340" t="b">
        <v>0</v>
      </c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3962</v>
      </c>
      <c r="B341" t="s">
        <v>4977</v>
      </c>
      <c r="D341" t="b">
        <f>IFERROR(VLOOKUP(B341,PatData!$A$2:$A$2000,1,),"")&lt;&gt;""</f>
        <v>1</v>
      </c>
      <c r="E341" t="b">
        <v>0</v>
      </c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3963</v>
      </c>
      <c r="B342" t="s">
        <v>4978</v>
      </c>
      <c r="D342" t="b">
        <f>IFERROR(VLOOKUP(B342,PatData!$A$2:$A$2000,1,),"")&lt;&gt;""</f>
        <v>1</v>
      </c>
      <c r="E342" t="b">
        <v>0</v>
      </c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3964</v>
      </c>
      <c r="B343" t="s">
        <v>4979</v>
      </c>
      <c r="D343" t="b">
        <f>IFERROR(VLOOKUP(B343,PatData!$A$2:$A$2000,1,),"")&lt;&gt;""</f>
        <v>1</v>
      </c>
      <c r="E343" t="b">
        <v>0</v>
      </c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3965</v>
      </c>
      <c r="B344" t="s">
        <v>4980</v>
      </c>
      <c r="D344" t="b">
        <f>IFERROR(VLOOKUP(B344,PatData!$A$2:$A$2000,1,),"")&lt;&gt;""</f>
        <v>1</v>
      </c>
      <c r="E344" t="b">
        <v>0</v>
      </c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3966</v>
      </c>
      <c r="B345" t="s">
        <v>4981</v>
      </c>
      <c r="D345" t="b">
        <f>IFERROR(VLOOKUP(B345,PatData!$A$2:$A$2000,1,),"")&lt;&gt;""</f>
        <v>1</v>
      </c>
      <c r="E345" t="b">
        <v>0</v>
      </c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3967</v>
      </c>
      <c r="B346" t="s">
        <v>4982</v>
      </c>
      <c r="D346" t="b">
        <f>IFERROR(VLOOKUP(B346,PatData!$A$2:$A$2000,1,),"")&lt;&gt;""</f>
        <v>1</v>
      </c>
      <c r="E346" t="b">
        <v>0</v>
      </c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3968</v>
      </c>
      <c r="B347" t="s">
        <v>4983</v>
      </c>
      <c r="D347" t="b">
        <f>IFERROR(VLOOKUP(B347,PatData!$A$2:$A$2000,1,),"")&lt;&gt;""</f>
        <v>1</v>
      </c>
      <c r="E347" t="b">
        <v>0</v>
      </c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3969</v>
      </c>
      <c r="B348" t="s">
        <v>4984</v>
      </c>
      <c r="D348" t="b">
        <f>IFERROR(VLOOKUP(B348,PatData!$A$2:$A$2000,1,),"")&lt;&gt;""</f>
        <v>1</v>
      </c>
      <c r="E348" t="b">
        <v>0</v>
      </c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3970</v>
      </c>
      <c r="B349" t="s">
        <v>4985</v>
      </c>
      <c r="D349" t="b">
        <f>IFERROR(VLOOKUP(B349,PatData!$A$2:$A$2000,1,),"")&lt;&gt;""</f>
        <v>1</v>
      </c>
      <c r="E349" t="b">
        <v>0</v>
      </c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3971</v>
      </c>
      <c r="B350" t="s">
        <v>4986</v>
      </c>
      <c r="D350" t="b">
        <f>IFERROR(VLOOKUP(B350,PatData!$A$2:$A$2000,1,),"")&lt;&gt;""</f>
        <v>1</v>
      </c>
      <c r="E350" t="b">
        <v>0</v>
      </c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3972</v>
      </c>
      <c r="B351" t="s">
        <v>4987</v>
      </c>
      <c r="D351" t="b">
        <f>IFERROR(VLOOKUP(B351,PatData!$A$2:$A$2000,1,),"")&lt;&gt;""</f>
        <v>1</v>
      </c>
      <c r="E351" t="b">
        <v>0</v>
      </c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3973</v>
      </c>
      <c r="B352" t="s">
        <v>4988</v>
      </c>
      <c r="D352" t="b">
        <f>IFERROR(VLOOKUP(B352,PatData!$A$2:$A$2000,1,),"")&lt;&gt;""</f>
        <v>1</v>
      </c>
      <c r="E352" t="b">
        <v>0</v>
      </c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3974</v>
      </c>
      <c r="B353" t="s">
        <v>4989</v>
      </c>
      <c r="D353" t="b">
        <f>IFERROR(VLOOKUP(B353,PatData!$A$2:$A$2000,1,),"")&lt;&gt;""</f>
        <v>1</v>
      </c>
      <c r="E353" t="b">
        <v>0</v>
      </c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3975</v>
      </c>
      <c r="B354" t="s">
        <v>4990</v>
      </c>
      <c r="D354" t="b">
        <f>IFERROR(VLOOKUP(B354,PatData!$A$2:$A$2000,1,),"")&lt;&gt;""</f>
        <v>1</v>
      </c>
      <c r="E354" t="b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3976</v>
      </c>
      <c r="B355" t="s">
        <v>4991</v>
      </c>
      <c r="D355" t="b">
        <f>IFERROR(VLOOKUP(B355,PatData!$A$2:$A$2000,1,),"")&lt;&gt;""</f>
        <v>1</v>
      </c>
      <c r="E355" t="b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3977</v>
      </c>
      <c r="B356" t="s">
        <v>4992</v>
      </c>
      <c r="D356" t="b">
        <f>IFERROR(VLOOKUP(B356,PatData!$A$2:$A$2000,1,),"")&lt;&gt;""</f>
        <v>1</v>
      </c>
      <c r="E356" t="b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3978</v>
      </c>
      <c r="B357" t="s">
        <v>4993</v>
      </c>
      <c r="D357" t="b">
        <f>IFERROR(VLOOKUP(B357,PatData!$A$2:$A$2000,1,),"")&lt;&gt;""</f>
        <v>1</v>
      </c>
      <c r="E357" t="b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3979</v>
      </c>
      <c r="B358" t="s">
        <v>4994</v>
      </c>
      <c r="D358" t="b">
        <f>IFERROR(VLOOKUP(B358,PatData!$A$2:$A$2000,1,),"")&lt;&gt;""</f>
        <v>1</v>
      </c>
      <c r="E358" t="b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3980</v>
      </c>
      <c r="B359" t="s">
        <v>4995</v>
      </c>
      <c r="D359" t="b">
        <f>IFERROR(VLOOKUP(B359,PatData!$A$2:$A$2000,1,),"")&lt;&gt;""</f>
        <v>1</v>
      </c>
      <c r="E359" t="b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3981</v>
      </c>
      <c r="B360" t="s">
        <v>4996</v>
      </c>
      <c r="D360" t="b">
        <f>IFERROR(VLOOKUP(B360,PatData!$A$2:$A$2000,1,),"")&lt;&gt;""</f>
        <v>1</v>
      </c>
      <c r="E360" t="b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3982</v>
      </c>
      <c r="B361" t="s">
        <v>4997</v>
      </c>
      <c r="D361" t="b">
        <f>IFERROR(VLOOKUP(B361,PatData!$A$2:$A$2000,1,),"")&lt;&gt;""</f>
        <v>1</v>
      </c>
      <c r="E361" t="b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3983</v>
      </c>
      <c r="B362" t="s">
        <v>4998</v>
      </c>
      <c r="D362" t="b">
        <f>IFERROR(VLOOKUP(B362,PatData!$A$2:$A$2000,1,),"")&lt;&gt;""</f>
        <v>1</v>
      </c>
      <c r="E362" t="b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3984</v>
      </c>
      <c r="B363" t="s">
        <v>4999</v>
      </c>
      <c r="D363" t="b">
        <f>IFERROR(VLOOKUP(B363,PatData!$A$2:$A$2000,1,),"")&lt;&gt;""</f>
        <v>1</v>
      </c>
      <c r="E363" t="b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3985</v>
      </c>
      <c r="B364" t="s">
        <v>5000</v>
      </c>
      <c r="D364" t="b">
        <f>IFERROR(VLOOKUP(B364,PatData!$A$2:$A$2000,1,),"")&lt;&gt;""</f>
        <v>1</v>
      </c>
      <c r="E364" t="b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3986</v>
      </c>
      <c r="B365" t="s">
        <v>5001</v>
      </c>
      <c r="D365" t="b">
        <f>IFERROR(VLOOKUP(B365,PatData!$A$2:$A$2000,1,),"")&lt;&gt;""</f>
        <v>1</v>
      </c>
      <c r="E365" t="b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3987</v>
      </c>
      <c r="B366" t="s">
        <v>5002</v>
      </c>
      <c r="D366" t="b">
        <f>IFERROR(VLOOKUP(B366,PatData!$A$2:$A$2000,1,),"")&lt;&gt;""</f>
        <v>1</v>
      </c>
      <c r="E366" t="b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3988</v>
      </c>
      <c r="B367" t="s">
        <v>5003</v>
      </c>
      <c r="D367" t="b">
        <f>IFERROR(VLOOKUP(B367,PatData!$A$2:$A$2000,1,),"")&lt;&gt;""</f>
        <v>1</v>
      </c>
      <c r="E367" t="b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3989</v>
      </c>
      <c r="B368" t="s">
        <v>5004</v>
      </c>
      <c r="D368" t="b">
        <f>IFERROR(VLOOKUP(B368,PatData!$A$2:$A$2000,1,),"")&lt;&gt;""</f>
        <v>1</v>
      </c>
      <c r="E368" t="b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3990</v>
      </c>
      <c r="B369" t="s">
        <v>5005</v>
      </c>
      <c r="D369" t="b">
        <f>IFERROR(VLOOKUP(B369,PatData!$A$2:$A$2000,1,),"")&lt;&gt;""</f>
        <v>1</v>
      </c>
      <c r="E369" t="b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4321</v>
      </c>
      <c r="B370" t="s">
        <v>5006</v>
      </c>
      <c r="D370" t="b">
        <f>IFERROR(VLOOKUP(B370,PatData!$A$2:$A$2000,1,),"")&lt;&gt;""</f>
        <v>1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4322</v>
      </c>
      <c r="B371" t="s">
        <v>5007</v>
      </c>
      <c r="D371" t="b">
        <f>IFERROR(VLOOKUP(B371,PatData!$A$2:$A$2000,1,),"")&lt;&gt;""</f>
        <v>1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4323</v>
      </c>
      <c r="B372" t="s">
        <v>5008</v>
      </c>
      <c r="D372" t="b">
        <f>IFERROR(VLOOKUP(B372,PatData!$A$2:$A$2000,1,),"")&lt;&gt;""</f>
        <v>1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4324</v>
      </c>
      <c r="B373" t="s">
        <v>5009</v>
      </c>
      <c r="D373" t="b">
        <f>IFERROR(VLOOKUP(B373,PatData!$A$2:$A$2000,1,),"")&lt;&gt;""</f>
        <v>1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4325</v>
      </c>
      <c r="B374" t="s">
        <v>5010</v>
      </c>
      <c r="D374" t="b">
        <f>IFERROR(VLOOKUP(B374,PatData!$A$2:$A$2000,1,),"")&lt;&gt;""</f>
        <v>1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4326</v>
      </c>
      <c r="B375" t="s">
        <v>5011</v>
      </c>
      <c r="D375" t="b">
        <f>IFERROR(VLOOKUP(B375,PatData!$A$2:$A$2000,1,),"")&lt;&gt;""</f>
        <v>1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4327</v>
      </c>
      <c r="B376" t="s">
        <v>5012</v>
      </c>
      <c r="D376" t="b">
        <f>IFERROR(VLOOKUP(B376,PatData!$A$2:$A$2000,1,),"")&lt;&gt;""</f>
        <v>1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4328</v>
      </c>
      <c r="B377" t="s">
        <v>5013</v>
      </c>
      <c r="D377" t="b">
        <f>IFERROR(VLOOKUP(B377,PatData!$A$2:$A$2000,1,),"")&lt;&gt;""</f>
        <v>1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4329</v>
      </c>
      <c r="B378" t="s">
        <v>5014</v>
      </c>
      <c r="D378" t="b">
        <f>IFERROR(VLOOKUP(B378,PatData!$A$2:$A$2000,1,),"")&lt;&gt;""</f>
        <v>1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4330</v>
      </c>
      <c r="B379" t="s">
        <v>5015</v>
      </c>
      <c r="D379" t="b">
        <f>IFERROR(VLOOKUP(B379,PatData!$A$2:$A$2000,1,),"")&lt;&gt;""</f>
        <v>1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4331</v>
      </c>
      <c r="B380" t="s">
        <v>5016</v>
      </c>
      <c r="D380" t="b">
        <f>IFERROR(VLOOKUP(B380,PatData!$A$2:$A$2000,1,),"")&lt;&gt;""</f>
        <v>1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4332</v>
      </c>
      <c r="B381" t="s">
        <v>5017</v>
      </c>
      <c r="D381" t="b">
        <f>IFERROR(VLOOKUP(B381,PatData!$A$2:$A$2000,1,),"")&lt;&gt;""</f>
        <v>1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4333</v>
      </c>
      <c r="B382" t="s">
        <v>5018</v>
      </c>
      <c r="D382" t="b">
        <f>IFERROR(VLOOKUP(B382,PatData!$A$2:$A$2000,1,),"")&lt;&gt;""</f>
        <v>1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4334</v>
      </c>
      <c r="B383" t="s">
        <v>5019</v>
      </c>
      <c r="D383" t="b">
        <f>IFERROR(VLOOKUP(B383,PatData!$A$2:$A$2000,1,),"")&lt;&gt;""</f>
        <v>1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4335</v>
      </c>
      <c r="B384" t="s">
        <v>5020</v>
      </c>
      <c r="D384" t="b">
        <f>IFERROR(VLOOKUP(B384,PatData!$A$2:$A$2000,1,),"")&lt;&gt;""</f>
        <v>1</v>
      </c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4336</v>
      </c>
      <c r="B385" t="s">
        <v>5021</v>
      </c>
      <c r="D385" t="b">
        <f>IFERROR(VLOOKUP(B385,PatData!$A$2:$A$2000,1,),"")&lt;&gt;""</f>
        <v>1</v>
      </c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4337</v>
      </c>
      <c r="B386" t="s">
        <v>5022</v>
      </c>
      <c r="D386" t="b">
        <f>IFERROR(VLOOKUP(B386,PatData!$A$2:$A$2000,1,),"")&lt;&gt;""</f>
        <v>1</v>
      </c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4338</v>
      </c>
      <c r="B387" t="s">
        <v>5023</v>
      </c>
      <c r="D387" t="b">
        <f>IFERROR(VLOOKUP(B387,PatData!$A$2:$A$2000,1,),"")&lt;&gt;""</f>
        <v>1</v>
      </c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4339</v>
      </c>
      <c r="B388" t="s">
        <v>5024</v>
      </c>
      <c r="D388" t="b">
        <f>IFERROR(VLOOKUP(B388,PatData!$A$2:$A$2000,1,),"")&lt;&gt;""</f>
        <v>1</v>
      </c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4340</v>
      </c>
      <c r="B389" t="s">
        <v>5025</v>
      </c>
      <c r="D389" t="b">
        <f>IFERROR(VLOOKUP(B389,PatData!$A$2:$A$2000,1,),"")&lt;&gt;""</f>
        <v>1</v>
      </c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4341</v>
      </c>
      <c r="B390" t="s">
        <v>5026</v>
      </c>
      <c r="D390" t="b">
        <f>IFERROR(VLOOKUP(B390,PatData!$A$2:$A$2000,1,),"")&lt;&gt;""</f>
        <v>1</v>
      </c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4342</v>
      </c>
      <c r="B391" t="s">
        <v>5027</v>
      </c>
      <c r="D391" t="b">
        <f>IFERROR(VLOOKUP(B391,PatData!$A$2:$A$2000,1,),"")&lt;&gt;""</f>
        <v>1</v>
      </c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4343</v>
      </c>
      <c r="B392" t="s">
        <v>5028</v>
      </c>
      <c r="D392" t="b">
        <f>IFERROR(VLOOKUP(B392,PatData!$A$2:$A$2000,1,),"")&lt;&gt;""</f>
        <v>1</v>
      </c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4344</v>
      </c>
      <c r="B393" t="s">
        <v>5029</v>
      </c>
      <c r="D393" t="b">
        <f>IFERROR(VLOOKUP(B393,PatData!$A$2:$A$2000,1,),"")&lt;&gt;""</f>
        <v>1</v>
      </c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4345</v>
      </c>
      <c r="B394" t="s">
        <v>5030</v>
      </c>
      <c r="D394" t="b">
        <f>IFERROR(VLOOKUP(B394,PatData!$A$2:$A$2000,1,),"")&lt;&gt;""</f>
        <v>1</v>
      </c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4346</v>
      </c>
      <c r="B395" t="s">
        <v>5031</v>
      </c>
      <c r="D395" t="b">
        <f>IFERROR(VLOOKUP(B395,PatData!$A$2:$A$2000,1,),"")&lt;&gt;""</f>
        <v>1</v>
      </c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4347</v>
      </c>
      <c r="B396" t="s">
        <v>5032</v>
      </c>
      <c r="D396" t="b">
        <f>IFERROR(VLOOKUP(B396,PatData!$A$2:$A$2000,1,),"")&lt;&gt;""</f>
        <v>1</v>
      </c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4348</v>
      </c>
      <c r="B397" t="s">
        <v>5033</v>
      </c>
      <c r="D397" t="b">
        <f>IFERROR(VLOOKUP(B397,PatData!$A$2:$A$2000,1,),"")&lt;&gt;""</f>
        <v>1</v>
      </c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4349</v>
      </c>
      <c r="B398" t="s">
        <v>5034</v>
      </c>
      <c r="D398" t="b">
        <f>IFERROR(VLOOKUP(B398,PatData!$A$2:$A$2000,1,),"")&lt;&gt;""</f>
        <v>1</v>
      </c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4350</v>
      </c>
      <c r="B399" t="s">
        <v>5035</v>
      </c>
      <c r="D399" t="b">
        <f>IFERROR(VLOOKUP(B399,PatData!$A$2:$A$2000,1,),"")&lt;&gt;""</f>
        <v>1</v>
      </c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4291</v>
      </c>
      <c r="B400" t="s">
        <v>2842</v>
      </c>
      <c r="D400" t="b">
        <f>IFERROR(VLOOKUP(B400,PatData!$A$2:$A$2000,1,),"")&lt;&gt;""</f>
        <v>1</v>
      </c>
      <c r="E400">
        <v>0</v>
      </c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4292</v>
      </c>
      <c r="B401" t="s">
        <v>2843</v>
      </c>
      <c r="D401" t="b">
        <f>IFERROR(VLOOKUP(B401,PatData!$A$2:$A$2000,1,),"")&lt;&gt;""</f>
        <v>1</v>
      </c>
      <c r="E401">
        <v>0</v>
      </c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4293</v>
      </c>
      <c r="B402" t="s">
        <v>2844</v>
      </c>
      <c r="D402" t="b">
        <f>IFERROR(VLOOKUP(B402,PatData!$A$2:$A$2000,1,),"")&lt;&gt;""</f>
        <v>1</v>
      </c>
      <c r="E402">
        <v>0</v>
      </c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4294</v>
      </c>
      <c r="B403" t="s">
        <v>2845</v>
      </c>
      <c r="D403" t="b">
        <f>IFERROR(VLOOKUP(B403,PatData!$A$2:$A$2000,1,),"")&lt;&gt;""</f>
        <v>1</v>
      </c>
      <c r="E403">
        <v>0</v>
      </c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4295</v>
      </c>
      <c r="B404" t="s">
        <v>2846</v>
      </c>
      <c r="D404" t="b">
        <f>IFERROR(VLOOKUP(B404,PatData!$A$2:$A$2000,1,),"")&lt;&gt;""</f>
        <v>1</v>
      </c>
      <c r="E404">
        <v>0</v>
      </c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4296</v>
      </c>
      <c r="B405" t="s">
        <v>2847</v>
      </c>
      <c r="D405" t="b">
        <f>IFERROR(VLOOKUP(B405,PatData!$A$2:$A$2000,1,),"")&lt;&gt;""</f>
        <v>1</v>
      </c>
      <c r="E405">
        <v>0</v>
      </c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4297</v>
      </c>
      <c r="B406" t="s">
        <v>2848</v>
      </c>
      <c r="D406" t="b">
        <f>IFERROR(VLOOKUP(B406,PatData!$A$2:$A$2000,1,),"")&lt;&gt;""</f>
        <v>1</v>
      </c>
      <c r="E406">
        <v>0</v>
      </c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4298</v>
      </c>
      <c r="B407" t="s">
        <v>2849</v>
      </c>
      <c r="D407" t="b">
        <f>IFERROR(VLOOKUP(B407,PatData!$A$2:$A$2000,1,),"")&lt;&gt;""</f>
        <v>1</v>
      </c>
      <c r="E407">
        <v>0</v>
      </c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4299</v>
      </c>
      <c r="B408" t="s">
        <v>2850</v>
      </c>
      <c r="D408" t="b">
        <f>IFERROR(VLOOKUP(B408,PatData!$A$2:$A$2000,1,),"")&lt;&gt;""</f>
        <v>1</v>
      </c>
      <c r="E408">
        <v>0</v>
      </c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4300</v>
      </c>
      <c r="B409" t="s">
        <v>2851</v>
      </c>
      <c r="D409" t="b">
        <f>IFERROR(VLOOKUP(B409,PatData!$A$2:$A$2000,1,),"")&lt;&gt;""</f>
        <v>1</v>
      </c>
      <c r="E409">
        <v>0</v>
      </c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4301</v>
      </c>
      <c r="B410" t="s">
        <v>2852</v>
      </c>
      <c r="D410" t="b">
        <f>IFERROR(VLOOKUP(B410,PatData!$A$2:$A$2000,1,),"")&lt;&gt;""</f>
        <v>1</v>
      </c>
      <c r="E410">
        <v>0</v>
      </c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4302</v>
      </c>
      <c r="B411" t="s">
        <v>2853</v>
      </c>
      <c r="D411" t="b">
        <f>IFERROR(VLOOKUP(B411,PatData!$A$2:$A$2000,1,),"")&lt;&gt;""</f>
        <v>1</v>
      </c>
      <c r="E411">
        <v>0</v>
      </c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4303</v>
      </c>
      <c r="B412" t="s">
        <v>2854</v>
      </c>
      <c r="D412" t="b">
        <f>IFERROR(VLOOKUP(B412,PatData!$A$2:$A$2000,1,),"")&lt;&gt;""</f>
        <v>1</v>
      </c>
      <c r="E412">
        <v>0</v>
      </c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4304</v>
      </c>
      <c r="B413" t="s">
        <v>2855</v>
      </c>
      <c r="D413" t="b">
        <f>IFERROR(VLOOKUP(B413,PatData!$A$2:$A$2000,1,),"")&lt;&gt;""</f>
        <v>1</v>
      </c>
      <c r="E413">
        <v>0</v>
      </c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4305</v>
      </c>
      <c r="B414" t="s">
        <v>2856</v>
      </c>
      <c r="D414" t="b">
        <f>IFERROR(VLOOKUP(B414,PatData!$A$2:$A$2000,1,),"")&lt;&gt;""</f>
        <v>1</v>
      </c>
      <c r="E414">
        <v>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4306</v>
      </c>
      <c r="B415" t="s">
        <v>2857</v>
      </c>
      <c r="D415" t="b">
        <f>IFERROR(VLOOKUP(B415,PatData!$A$2:$A$2000,1,),"")&lt;&gt;""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4307</v>
      </c>
      <c r="B416" t="s">
        <v>2858</v>
      </c>
      <c r="D416" t="b">
        <f>IFERROR(VLOOKUP(B416,PatData!$A$2:$A$2000,1,),"")&lt;&gt;""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4308</v>
      </c>
      <c r="B417" t="s">
        <v>2859</v>
      </c>
      <c r="D417" t="b">
        <f>IFERROR(VLOOKUP(B417,PatData!$A$2:$A$2000,1,),"")&lt;&gt;""</f>
        <v>1</v>
      </c>
      <c r="E417">
        <v>0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4309</v>
      </c>
      <c r="B418" t="s">
        <v>2860</v>
      </c>
      <c r="D418" t="b">
        <f>IFERROR(VLOOKUP(B418,PatData!$A$2:$A$2000,1,),"")&lt;&gt;""</f>
        <v>1</v>
      </c>
      <c r="E418">
        <v>0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4310</v>
      </c>
      <c r="B419" t="s">
        <v>2861</v>
      </c>
      <c r="D419" t="b">
        <f>IFERROR(VLOOKUP(B419,PatData!$A$2:$A$2000,1,),"")&lt;&gt;""</f>
        <v>1</v>
      </c>
      <c r="E419">
        <v>0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4311</v>
      </c>
      <c r="B420" t="s">
        <v>2862</v>
      </c>
      <c r="D420" t="b">
        <f>IFERROR(VLOOKUP(B420,PatData!$A$2:$A$2000,1,),"")&lt;&gt;""</f>
        <v>1</v>
      </c>
      <c r="E420">
        <v>0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4312</v>
      </c>
      <c r="B421" t="s">
        <v>2863</v>
      </c>
      <c r="D421" t="b">
        <f>IFERROR(VLOOKUP(B421,PatData!$A$2:$A$2000,1,),"")&lt;&gt;""</f>
        <v>1</v>
      </c>
      <c r="E421">
        <v>0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4313</v>
      </c>
      <c r="B422" t="s">
        <v>2864</v>
      </c>
      <c r="D422" t="b">
        <f>IFERROR(VLOOKUP(B422,PatData!$A$2:$A$2000,1,),"")&lt;&gt;""</f>
        <v>1</v>
      </c>
      <c r="E422">
        <v>0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4314</v>
      </c>
      <c r="B423" t="s">
        <v>2865</v>
      </c>
      <c r="D423" t="b">
        <f>IFERROR(VLOOKUP(B423,PatData!$A$2:$A$2000,1,),"")&lt;&gt;""</f>
        <v>1</v>
      </c>
      <c r="E423">
        <v>0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4315</v>
      </c>
      <c r="B424" t="s">
        <v>2866</v>
      </c>
      <c r="D424" t="b">
        <f>IFERROR(VLOOKUP(B424,PatData!$A$2:$A$2000,1,),"")&lt;&gt;""</f>
        <v>1</v>
      </c>
      <c r="E424">
        <v>0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4316</v>
      </c>
      <c r="B425" t="s">
        <v>2867</v>
      </c>
      <c r="D425" t="b">
        <f>IFERROR(VLOOKUP(B425,PatData!$A$2:$A$2000,1,),"")&lt;&gt;""</f>
        <v>1</v>
      </c>
      <c r="E425">
        <v>0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4317</v>
      </c>
      <c r="B426" t="s">
        <v>2868</v>
      </c>
      <c r="D426" t="b">
        <f>IFERROR(VLOOKUP(B426,PatData!$A$2:$A$2000,1,),"")&lt;&gt;""</f>
        <v>1</v>
      </c>
      <c r="E426">
        <v>0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4318</v>
      </c>
      <c r="B427" t="s">
        <v>2869</v>
      </c>
      <c r="D427" t="b">
        <f>IFERROR(VLOOKUP(B427,PatData!$A$2:$A$2000,1,),"")&lt;&gt;""</f>
        <v>1</v>
      </c>
      <c r="E427">
        <v>0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4319</v>
      </c>
      <c r="B428" t="s">
        <v>2870</v>
      </c>
      <c r="D428" t="b">
        <f>IFERROR(VLOOKUP(B428,PatData!$A$2:$A$2000,1,),"")&lt;&gt;""</f>
        <v>1</v>
      </c>
      <c r="E428">
        <v>0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4320</v>
      </c>
      <c r="B429" t="s">
        <v>2871</v>
      </c>
      <c r="D429" t="b">
        <f>IFERROR(VLOOKUP(B429,PatData!$A$2:$A$2000,1,),"")&lt;&gt;""</f>
        <v>1</v>
      </c>
      <c r="E429">
        <v>0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4051</v>
      </c>
      <c r="B430" t="s">
        <v>2872</v>
      </c>
      <c r="D430" t="b">
        <f>IFERROR(VLOOKUP(B430,PatData!$A$2:$A$2000,1,),"")&lt;&gt;""</f>
        <v>1</v>
      </c>
      <c r="E430">
        <v>0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4052</v>
      </c>
      <c r="B431" t="s">
        <v>2873</v>
      </c>
      <c r="D431" t="b">
        <f>IFERROR(VLOOKUP(B431,PatData!$A$2:$A$2000,1,),"")&lt;&gt;""</f>
        <v>1</v>
      </c>
      <c r="E431">
        <v>0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4053</v>
      </c>
      <c r="B432" t="s">
        <v>2874</v>
      </c>
      <c r="D432" t="b">
        <f>IFERROR(VLOOKUP(B432,PatData!$A$2:$A$2000,1,),"")&lt;&gt;""</f>
        <v>1</v>
      </c>
      <c r="E432">
        <v>0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4054</v>
      </c>
      <c r="B433" t="s">
        <v>2875</v>
      </c>
      <c r="D433" t="b">
        <f>IFERROR(VLOOKUP(B433,PatData!$A$2:$A$2000,1,),"")&lt;&gt;""</f>
        <v>1</v>
      </c>
      <c r="E433">
        <v>0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4055</v>
      </c>
      <c r="B434" t="s">
        <v>2876</v>
      </c>
      <c r="D434" t="b">
        <f>IFERROR(VLOOKUP(B434,PatData!$A$2:$A$2000,1,),"")&lt;&gt;""</f>
        <v>1</v>
      </c>
      <c r="E434">
        <v>0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4056</v>
      </c>
      <c r="B435" t="s">
        <v>2877</v>
      </c>
      <c r="D435" t="b">
        <f>IFERROR(VLOOKUP(B435,PatData!$A$2:$A$2000,1,),"")&lt;&gt;""</f>
        <v>1</v>
      </c>
      <c r="E435">
        <v>0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4057</v>
      </c>
      <c r="B436" t="s">
        <v>2878</v>
      </c>
      <c r="D436" t="b">
        <f>IFERROR(VLOOKUP(B436,PatData!$A$2:$A$2000,1,),"")&lt;&gt;""</f>
        <v>1</v>
      </c>
      <c r="E436">
        <v>0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4058</v>
      </c>
      <c r="B437" t="s">
        <v>2879</v>
      </c>
      <c r="D437" t="b">
        <f>IFERROR(VLOOKUP(B437,PatData!$A$2:$A$2000,1,),"")&lt;&gt;""</f>
        <v>1</v>
      </c>
      <c r="E437">
        <v>0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4059</v>
      </c>
      <c r="B438" t="s">
        <v>2880</v>
      </c>
      <c r="D438" t="b">
        <f>IFERROR(VLOOKUP(B438,PatData!$A$2:$A$2000,1,),"")&lt;&gt;""</f>
        <v>1</v>
      </c>
      <c r="E438">
        <v>0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4060</v>
      </c>
      <c r="B439" t="s">
        <v>2881</v>
      </c>
      <c r="D439" t="b">
        <f>IFERROR(VLOOKUP(B439,PatData!$A$2:$A$2000,1,),"")&lt;&gt;""</f>
        <v>1</v>
      </c>
      <c r="E439">
        <v>0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4061</v>
      </c>
      <c r="B440" t="s">
        <v>2882</v>
      </c>
      <c r="D440" t="b">
        <f>IFERROR(VLOOKUP(B440,PatData!$A$2:$A$2000,1,),"")&lt;&gt;""</f>
        <v>1</v>
      </c>
      <c r="E440">
        <v>0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4062</v>
      </c>
      <c r="B441" t="s">
        <v>2883</v>
      </c>
      <c r="D441" t="b">
        <f>IFERROR(VLOOKUP(B441,PatData!$A$2:$A$2000,1,),"")&lt;&gt;""</f>
        <v>1</v>
      </c>
      <c r="E441">
        <v>0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4063</v>
      </c>
      <c r="B442" t="s">
        <v>2884</v>
      </c>
      <c r="D442" t="b">
        <f>IFERROR(VLOOKUP(B442,PatData!$A$2:$A$2000,1,),"")&lt;&gt;""</f>
        <v>1</v>
      </c>
      <c r="E442">
        <v>0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4064</v>
      </c>
      <c r="B443" t="s">
        <v>2885</v>
      </c>
      <c r="D443" t="b">
        <f>IFERROR(VLOOKUP(B443,PatData!$A$2:$A$2000,1,),"")&lt;&gt;""</f>
        <v>1</v>
      </c>
      <c r="E443">
        <v>0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4065</v>
      </c>
      <c r="B444" t="s">
        <v>2886</v>
      </c>
      <c r="D444" t="b">
        <f>IFERROR(VLOOKUP(B444,PatData!$A$2:$A$2000,1,),"")&lt;&gt;""</f>
        <v>1</v>
      </c>
      <c r="E444">
        <v>0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4066</v>
      </c>
      <c r="B445" t="s">
        <v>2887</v>
      </c>
      <c r="D445" t="b">
        <f>IFERROR(VLOOKUP(B445,PatData!$A$2:$A$2000,1,),"")&lt;&gt;""</f>
        <v>1</v>
      </c>
      <c r="E445">
        <v>0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4067</v>
      </c>
      <c r="B446" t="s">
        <v>2888</v>
      </c>
      <c r="D446" t="b">
        <f>IFERROR(VLOOKUP(B446,PatData!$A$2:$A$2000,1,),"")&lt;&gt;""</f>
        <v>1</v>
      </c>
      <c r="E446">
        <v>0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4068</v>
      </c>
      <c r="B447" t="s">
        <v>2889</v>
      </c>
      <c r="D447" t="b">
        <f>IFERROR(VLOOKUP(B447,PatData!$A$2:$A$2000,1,),"")&lt;&gt;""</f>
        <v>1</v>
      </c>
      <c r="E447">
        <v>0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4069</v>
      </c>
      <c r="B448" t="s">
        <v>2890</v>
      </c>
      <c r="D448" t="b">
        <f>IFERROR(VLOOKUP(B448,PatData!$A$2:$A$2000,1,),"")&lt;&gt;""</f>
        <v>1</v>
      </c>
      <c r="E448">
        <v>0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4070</v>
      </c>
      <c r="B449" t="s">
        <v>2891</v>
      </c>
      <c r="D449" t="b">
        <f>IFERROR(VLOOKUP(B449,PatData!$A$2:$A$2000,1,),"")&lt;&gt;""</f>
        <v>1</v>
      </c>
      <c r="E449">
        <v>0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4071</v>
      </c>
      <c r="B450" t="s">
        <v>2892</v>
      </c>
      <c r="D450" t="b">
        <f>IFERROR(VLOOKUP(B450,PatData!$A$2:$A$2000,1,),"")&lt;&gt;""</f>
        <v>1</v>
      </c>
      <c r="E450">
        <v>0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4072</v>
      </c>
      <c r="B451" t="s">
        <v>2893</v>
      </c>
      <c r="D451" t="b">
        <f>IFERROR(VLOOKUP(B451,PatData!$A$2:$A$2000,1,),"")&lt;&gt;""</f>
        <v>1</v>
      </c>
      <c r="E451">
        <v>0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4073</v>
      </c>
      <c r="B452" t="s">
        <v>2894</v>
      </c>
      <c r="D452" t="b">
        <f>IFERROR(VLOOKUP(B452,PatData!$A$2:$A$2000,1,),"")&lt;&gt;""</f>
        <v>1</v>
      </c>
      <c r="E452">
        <v>0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4074</v>
      </c>
      <c r="B453" t="s">
        <v>2895</v>
      </c>
      <c r="D453" t="b">
        <f>IFERROR(VLOOKUP(B453,PatData!$A$2:$A$2000,1,),"")&lt;&gt;""</f>
        <v>1</v>
      </c>
      <c r="E453">
        <v>0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4075</v>
      </c>
      <c r="B454" t="s">
        <v>2896</v>
      </c>
      <c r="D454" t="b">
        <f>IFERROR(VLOOKUP(B454,PatData!$A$2:$A$2000,1,),"")&lt;&gt;""</f>
        <v>1</v>
      </c>
      <c r="E454">
        <v>0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4076</v>
      </c>
      <c r="B455" t="s">
        <v>2897</v>
      </c>
      <c r="D455" t="b">
        <f>IFERROR(VLOOKUP(B455,PatData!$A$2:$A$2000,1,),"")&lt;&gt;""</f>
        <v>1</v>
      </c>
      <c r="E455">
        <v>0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4077</v>
      </c>
      <c r="B456" t="s">
        <v>2898</v>
      </c>
      <c r="D456" t="b">
        <f>IFERROR(VLOOKUP(B456,PatData!$A$2:$A$2000,1,),"")&lt;&gt;""</f>
        <v>1</v>
      </c>
      <c r="E456">
        <v>0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4078</v>
      </c>
      <c r="B457" t="s">
        <v>2899</v>
      </c>
      <c r="D457" t="b">
        <f>IFERROR(VLOOKUP(B457,PatData!$A$2:$A$2000,1,),"")&lt;&gt;""</f>
        <v>1</v>
      </c>
      <c r="E457">
        <v>0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4079</v>
      </c>
      <c r="B458" t="s">
        <v>2900</v>
      </c>
      <c r="D458" t="b">
        <f>IFERROR(VLOOKUP(B458,PatData!$A$2:$A$2000,1,),"")&lt;&gt;""</f>
        <v>1</v>
      </c>
      <c r="E458">
        <v>0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4080</v>
      </c>
      <c r="B459" t="s">
        <v>2901</v>
      </c>
      <c r="D459" t="b">
        <f>IFERROR(VLOOKUP(B459,PatData!$A$2:$A$2000,1,),"")&lt;&gt;""</f>
        <v>1</v>
      </c>
      <c r="E459">
        <v>0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5036</v>
      </c>
      <c r="B460" t="s">
        <v>2902</v>
      </c>
      <c r="D460" t="b">
        <f>IFERROR(VLOOKUP(B460,PatData!$A$2:$A$2000,1,),"")&lt;&gt;""</f>
        <v>1</v>
      </c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5037</v>
      </c>
      <c r="B461" t="s">
        <v>2903</v>
      </c>
      <c r="D461" t="b">
        <f>IFERROR(VLOOKUP(B461,PatData!$A$2:$A$2000,1,),"")&lt;&gt;""</f>
        <v>1</v>
      </c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5038</v>
      </c>
      <c r="B462" t="s">
        <v>2904</v>
      </c>
      <c r="D462" t="b">
        <f>IFERROR(VLOOKUP(B462,PatData!$A$2:$A$2000,1,),"")&lt;&gt;""</f>
        <v>1</v>
      </c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5039</v>
      </c>
      <c r="B463" t="s">
        <v>2905</v>
      </c>
      <c r="D463" t="b">
        <f>IFERROR(VLOOKUP(B463,PatData!$A$2:$A$2000,1,),"")&lt;&gt;""</f>
        <v>1</v>
      </c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5040</v>
      </c>
      <c r="B464" t="s">
        <v>2906</v>
      </c>
      <c r="D464" t="b">
        <f>IFERROR(VLOOKUP(B464,PatData!$A$2:$A$2000,1,),"")&lt;&gt;""</f>
        <v>1</v>
      </c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5041</v>
      </c>
      <c r="B465" t="s">
        <v>2907</v>
      </c>
      <c r="D465" t="b">
        <f>IFERROR(VLOOKUP(B465,PatData!$A$2:$A$2000,1,),"")&lt;&gt;""</f>
        <v>1</v>
      </c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5042</v>
      </c>
      <c r="B466" t="s">
        <v>2908</v>
      </c>
      <c r="D466" t="b">
        <f>IFERROR(VLOOKUP(B466,PatData!$A$2:$A$2000,1,),"")&lt;&gt;""</f>
        <v>1</v>
      </c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5043</v>
      </c>
      <c r="B467" t="s">
        <v>2909</v>
      </c>
      <c r="D467" t="b">
        <f>IFERROR(VLOOKUP(B467,PatData!$A$2:$A$2000,1,),"")&lt;&gt;""</f>
        <v>1</v>
      </c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5044</v>
      </c>
      <c r="B468" t="s">
        <v>2910</v>
      </c>
      <c r="D468" t="b">
        <f>IFERROR(VLOOKUP(B468,PatData!$A$2:$A$2000,1,),"")&lt;&gt;""</f>
        <v>1</v>
      </c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5045</v>
      </c>
      <c r="B469" t="s">
        <v>2911</v>
      </c>
      <c r="D469" t="b">
        <f>IFERROR(VLOOKUP(B469,PatData!$A$2:$A$2000,1,),"")&lt;&gt;""</f>
        <v>1</v>
      </c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5046</v>
      </c>
      <c r="B470" t="s">
        <v>2912</v>
      </c>
      <c r="D470" t="b">
        <f>IFERROR(VLOOKUP(B470,PatData!$A$2:$A$2000,1,),"")&lt;&gt;""</f>
        <v>1</v>
      </c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5047</v>
      </c>
      <c r="B471" t="s">
        <v>2913</v>
      </c>
      <c r="D471" t="b">
        <f>IFERROR(VLOOKUP(B471,PatData!$A$2:$A$2000,1,),"")&lt;&gt;""</f>
        <v>1</v>
      </c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5048</v>
      </c>
      <c r="B472" t="s">
        <v>2914</v>
      </c>
      <c r="D472" t="b">
        <f>IFERROR(VLOOKUP(B472,PatData!$A$2:$A$2000,1,),"")&lt;&gt;""</f>
        <v>1</v>
      </c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5049</v>
      </c>
      <c r="B473" t="s">
        <v>2915</v>
      </c>
      <c r="D473" t="b">
        <f>IFERROR(VLOOKUP(B473,PatData!$A$2:$A$2000,1,),"")&lt;&gt;""</f>
        <v>1</v>
      </c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5050</v>
      </c>
      <c r="B474" t="s">
        <v>2916</v>
      </c>
      <c r="D474" t="b">
        <f>IFERROR(VLOOKUP(B474,PatData!$A$2:$A$2000,1,),"")&lt;&gt;""</f>
        <v>1</v>
      </c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5051</v>
      </c>
      <c r="B475" t="s">
        <v>2917</v>
      </c>
      <c r="D475" t="b">
        <f>IFERROR(VLOOKUP(B475,PatData!$A$2:$A$2000,1,),"")&lt;&gt;""</f>
        <v>1</v>
      </c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5052</v>
      </c>
      <c r="B476" t="s">
        <v>2918</v>
      </c>
      <c r="D476" t="b">
        <f>IFERROR(VLOOKUP(B476,PatData!$A$2:$A$2000,1,),"")&lt;&gt;""</f>
        <v>1</v>
      </c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5053</v>
      </c>
      <c r="B477" t="s">
        <v>2919</v>
      </c>
      <c r="D477" t="b">
        <f>IFERROR(VLOOKUP(B477,PatData!$A$2:$A$2000,1,),"")&lt;&gt;""</f>
        <v>1</v>
      </c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5054</v>
      </c>
      <c r="B478" t="s">
        <v>2920</v>
      </c>
      <c r="D478" t="b">
        <f>IFERROR(VLOOKUP(B478,PatData!$A$2:$A$2000,1,),"")&lt;&gt;""</f>
        <v>1</v>
      </c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5055</v>
      </c>
      <c r="B479" t="s">
        <v>2921</v>
      </c>
      <c r="D479" t="b">
        <f>IFERROR(VLOOKUP(B479,PatData!$A$2:$A$2000,1,),"")&lt;&gt;""</f>
        <v>1</v>
      </c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5056</v>
      </c>
      <c r="B480" t="s">
        <v>2922</v>
      </c>
      <c r="D480" t="b">
        <f>IFERROR(VLOOKUP(B480,PatData!$A$2:$A$2000,1,),"")&lt;&gt;""</f>
        <v>1</v>
      </c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5057</v>
      </c>
      <c r="B481" t="s">
        <v>2923</v>
      </c>
      <c r="D481" t="b">
        <f>IFERROR(VLOOKUP(B481,PatData!$A$2:$A$2000,1,),"")&lt;&gt;""</f>
        <v>1</v>
      </c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5058</v>
      </c>
      <c r="B482" t="s">
        <v>2924</v>
      </c>
      <c r="D482" t="b">
        <f>IFERROR(VLOOKUP(B482,PatData!$A$2:$A$2000,1,),"")&lt;&gt;""</f>
        <v>1</v>
      </c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5059</v>
      </c>
      <c r="B483" t="s">
        <v>2925</v>
      </c>
      <c r="D483" t="b">
        <f>IFERROR(VLOOKUP(B483,PatData!$A$2:$A$2000,1,),"")&lt;&gt;""</f>
        <v>1</v>
      </c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5060</v>
      </c>
      <c r="B484" t="s">
        <v>2926</v>
      </c>
      <c r="D484" t="b">
        <f>IFERROR(VLOOKUP(B484,PatData!$A$2:$A$2000,1,),"")&lt;&gt;""</f>
        <v>1</v>
      </c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5061</v>
      </c>
      <c r="B485" t="s">
        <v>2927</v>
      </c>
      <c r="D485" t="b">
        <f>IFERROR(VLOOKUP(B485,PatData!$A$2:$A$2000,1,),"")&lt;&gt;""</f>
        <v>1</v>
      </c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5062</v>
      </c>
      <c r="B486" t="s">
        <v>2928</v>
      </c>
      <c r="D486" t="b">
        <f>IFERROR(VLOOKUP(B486,PatData!$A$2:$A$2000,1,),"")&lt;&gt;""</f>
        <v>1</v>
      </c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5063</v>
      </c>
      <c r="B487" t="s">
        <v>2929</v>
      </c>
      <c r="D487" t="b">
        <f>IFERROR(VLOOKUP(B487,PatData!$A$2:$A$2000,1,),"")&lt;&gt;""</f>
        <v>1</v>
      </c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5064</v>
      </c>
      <c r="B488" t="s">
        <v>2930</v>
      </c>
      <c r="D488" t="b">
        <f>IFERROR(VLOOKUP(B488,PatData!$A$2:$A$2000,1,),"")&lt;&gt;""</f>
        <v>1</v>
      </c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5065</v>
      </c>
      <c r="B489" t="s">
        <v>2931</v>
      </c>
      <c r="D489" t="b">
        <f>IFERROR(VLOOKUP(B489,PatData!$A$2:$A$2000,1,),"")&lt;&gt;""</f>
        <v>1</v>
      </c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4381</v>
      </c>
      <c r="B490" t="s">
        <v>2932</v>
      </c>
      <c r="D490" t="b">
        <f>IFERROR(VLOOKUP(B490,PatData!$A$2:$A$2000,1,),"")&lt;&gt;""</f>
        <v>1</v>
      </c>
      <c r="E490">
        <v>1</v>
      </c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4382</v>
      </c>
      <c r="B491" t="s">
        <v>2933</v>
      </c>
      <c r="D491" t="b">
        <f>IFERROR(VLOOKUP(B491,PatData!$A$2:$A$2000,1,),"")&lt;&gt;""</f>
        <v>1</v>
      </c>
      <c r="E491">
        <v>1</v>
      </c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4383</v>
      </c>
      <c r="B492" t="s">
        <v>2934</v>
      </c>
      <c r="D492" t="b">
        <f>IFERROR(VLOOKUP(B492,PatData!$A$2:$A$2000,1,),"")&lt;&gt;""</f>
        <v>1</v>
      </c>
      <c r="E492">
        <v>1</v>
      </c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4384</v>
      </c>
      <c r="B493" t="s">
        <v>2935</v>
      </c>
      <c r="D493" t="b">
        <f>IFERROR(VLOOKUP(B493,PatData!$A$2:$A$2000,1,),"")&lt;&gt;""</f>
        <v>1</v>
      </c>
      <c r="E493">
        <v>1</v>
      </c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4385</v>
      </c>
      <c r="B494" t="s">
        <v>2936</v>
      </c>
      <c r="D494" t="b">
        <f>IFERROR(VLOOKUP(B494,PatData!$A$2:$A$2000,1,),"")&lt;&gt;""</f>
        <v>1</v>
      </c>
      <c r="E494">
        <v>1</v>
      </c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4386</v>
      </c>
      <c r="B495" t="s">
        <v>2937</v>
      </c>
      <c r="D495" t="b">
        <f>IFERROR(VLOOKUP(B495,PatData!$A$2:$A$2000,1,),"")&lt;&gt;""</f>
        <v>1</v>
      </c>
      <c r="E495">
        <v>1</v>
      </c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4387</v>
      </c>
      <c r="B496" t="s">
        <v>2938</v>
      </c>
      <c r="D496" t="b">
        <f>IFERROR(VLOOKUP(B496,PatData!$A$2:$A$2000,1,),"")&lt;&gt;""</f>
        <v>1</v>
      </c>
      <c r="E496">
        <v>1</v>
      </c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4388</v>
      </c>
      <c r="B497" t="s">
        <v>2939</v>
      </c>
      <c r="D497" t="b">
        <f>IFERROR(VLOOKUP(B497,PatData!$A$2:$A$2000,1,),"")&lt;&gt;""</f>
        <v>1</v>
      </c>
      <c r="E497">
        <v>1</v>
      </c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4389</v>
      </c>
      <c r="B498" t="s">
        <v>2940</v>
      </c>
      <c r="D498" t="b">
        <f>IFERROR(VLOOKUP(B498,PatData!$A$2:$A$2000,1,),"")&lt;&gt;""</f>
        <v>1</v>
      </c>
      <c r="E498">
        <v>1</v>
      </c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4390</v>
      </c>
      <c r="B499" t="s">
        <v>2941</v>
      </c>
      <c r="D499" t="b">
        <f>IFERROR(VLOOKUP(B499,PatData!$A$2:$A$2000,1,),"")&lt;&gt;""</f>
        <v>1</v>
      </c>
      <c r="E499">
        <v>1</v>
      </c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4391</v>
      </c>
      <c r="B500" t="s">
        <v>2942</v>
      </c>
      <c r="D500" t="b">
        <f>IFERROR(VLOOKUP(B500,PatData!$A$2:$A$2000,1,),"")&lt;&gt;""</f>
        <v>1</v>
      </c>
      <c r="E500">
        <v>1</v>
      </c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4392</v>
      </c>
      <c r="B501" t="s">
        <v>2943</v>
      </c>
      <c r="D501" t="b">
        <f>IFERROR(VLOOKUP(B501,PatData!$A$2:$A$2000,1,),"")&lt;&gt;""</f>
        <v>1</v>
      </c>
      <c r="E501">
        <v>1</v>
      </c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4393</v>
      </c>
      <c r="B502" t="s">
        <v>2944</v>
      </c>
      <c r="D502" t="b">
        <f>IFERROR(VLOOKUP(B502,PatData!$A$2:$A$2000,1,),"")&lt;&gt;""</f>
        <v>1</v>
      </c>
      <c r="E502">
        <v>1</v>
      </c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4394</v>
      </c>
      <c r="B503" t="s">
        <v>2945</v>
      </c>
      <c r="D503" t="b">
        <f>IFERROR(VLOOKUP(B503,PatData!$A$2:$A$2000,1,),"")&lt;&gt;""</f>
        <v>1</v>
      </c>
      <c r="E503">
        <v>1</v>
      </c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4395</v>
      </c>
      <c r="B504" t="s">
        <v>2946</v>
      </c>
      <c r="D504" t="b">
        <f>IFERROR(VLOOKUP(B504,PatData!$A$2:$A$2000,1,),"")&lt;&gt;""</f>
        <v>1</v>
      </c>
      <c r="E504"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4396</v>
      </c>
      <c r="B505" t="s">
        <v>2947</v>
      </c>
      <c r="D505" t="b">
        <f>IFERROR(VLOOKUP(B505,PatData!$A$2:$A$2000,1,),"")&lt;&gt;""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4397</v>
      </c>
      <c r="B506" t="s">
        <v>2948</v>
      </c>
      <c r="D506" t="b">
        <f>IFERROR(VLOOKUP(B506,PatData!$A$2:$A$2000,1,),"")&lt;&gt;""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4398</v>
      </c>
      <c r="B507" t="s">
        <v>2949</v>
      </c>
      <c r="D507" t="b">
        <f>IFERROR(VLOOKUP(B507,PatData!$A$2:$A$2000,1,),"")&lt;&gt;""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4399</v>
      </c>
      <c r="B508" t="s">
        <v>2950</v>
      </c>
      <c r="D508" t="b">
        <f>IFERROR(VLOOKUP(B508,PatData!$A$2:$A$2000,1,),"")&lt;&gt;""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4400</v>
      </c>
      <c r="B509" t="s">
        <v>2951</v>
      </c>
      <c r="D509" t="b">
        <f>IFERROR(VLOOKUP(B509,PatData!$A$2:$A$2000,1,),"")&lt;&gt;""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4401</v>
      </c>
      <c r="B510" t="s">
        <v>2952</v>
      </c>
      <c r="D510" t="b">
        <f>IFERROR(VLOOKUP(B510,PatData!$A$2:$A$2000,1,),"")&lt;&gt;""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4402</v>
      </c>
      <c r="B511" t="s">
        <v>2953</v>
      </c>
      <c r="D511" t="b">
        <f>IFERROR(VLOOKUP(B511,PatData!$A$2:$A$2000,1,),"")&lt;&gt;""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4403</v>
      </c>
      <c r="B512" t="s">
        <v>2954</v>
      </c>
      <c r="D512" t="b">
        <f>IFERROR(VLOOKUP(B512,PatData!$A$2:$A$2000,1,),"")&lt;&gt;""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4404</v>
      </c>
      <c r="B513" t="s">
        <v>2955</v>
      </c>
      <c r="D513" t="b">
        <f>IFERROR(VLOOKUP(B513,PatData!$A$2:$A$2000,1,),"")&lt;&gt;""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4405</v>
      </c>
      <c r="B514" t="s">
        <v>2956</v>
      </c>
      <c r="D514" t="b">
        <f>IFERROR(VLOOKUP(B514,PatData!$A$2:$A$2000,1,),"")&lt;&gt;""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4406</v>
      </c>
      <c r="B515" t="s">
        <v>2957</v>
      </c>
      <c r="D515" t="b">
        <f>IFERROR(VLOOKUP(B515,PatData!$A$2:$A$2000,1,),"")&lt;&gt;""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4407</v>
      </c>
      <c r="B516" t="s">
        <v>2958</v>
      </c>
      <c r="D516" t="b">
        <f>IFERROR(VLOOKUP(B516,PatData!$A$2:$A$2000,1,),"")&lt;&gt;""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4408</v>
      </c>
      <c r="B517" t="s">
        <v>2959</v>
      </c>
      <c r="D517" t="b">
        <f>IFERROR(VLOOKUP(B517,PatData!$A$2:$A$2000,1,),"")&lt;&gt;""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4409</v>
      </c>
      <c r="B518" t="s">
        <v>2960</v>
      </c>
      <c r="D518" t="b">
        <f>IFERROR(VLOOKUP(B518,PatData!$A$2:$A$2000,1,),"")&lt;&gt;""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4410</v>
      </c>
      <c r="B519" t="s">
        <v>2961</v>
      </c>
      <c r="D519" t="b">
        <f>IFERROR(VLOOKUP(B519,PatData!$A$2:$A$2000,1,),"")&lt;&gt;""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4411</v>
      </c>
      <c r="B520" t="s">
        <v>2962</v>
      </c>
      <c r="D520" t="b">
        <f>IFERROR(VLOOKUP(B520,PatData!$A$2:$A$2000,1,),"")&lt;&gt;""</f>
        <v>1</v>
      </c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4412</v>
      </c>
      <c r="B521" t="s">
        <v>2963</v>
      </c>
      <c r="D521" t="b">
        <f>IFERROR(VLOOKUP(B521,PatData!$A$2:$A$2000,1,),"")&lt;&gt;""</f>
        <v>1</v>
      </c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4413</v>
      </c>
      <c r="B522" t="s">
        <v>2964</v>
      </c>
      <c r="D522" t="b">
        <f>IFERROR(VLOOKUP(B522,PatData!$A$2:$A$2000,1,),"")&lt;&gt;""</f>
        <v>1</v>
      </c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4414</v>
      </c>
      <c r="B523" t="s">
        <v>2965</v>
      </c>
      <c r="D523" t="b">
        <f>IFERROR(VLOOKUP(B523,PatData!$A$2:$A$2000,1,),"")&lt;&gt;""</f>
        <v>1</v>
      </c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4415</v>
      </c>
      <c r="B524" t="s">
        <v>2966</v>
      </c>
      <c r="D524" t="b">
        <f>IFERROR(VLOOKUP(B524,PatData!$A$2:$A$2000,1,),"")&lt;&gt;""</f>
        <v>1</v>
      </c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4416</v>
      </c>
      <c r="B525" t="s">
        <v>2967</v>
      </c>
      <c r="D525" t="b">
        <f>IFERROR(VLOOKUP(B525,PatData!$A$2:$A$2000,1,),"")&lt;&gt;""</f>
        <v>1</v>
      </c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4417</v>
      </c>
      <c r="B526" t="s">
        <v>2968</v>
      </c>
      <c r="D526" t="b">
        <f>IFERROR(VLOOKUP(B526,PatData!$A$2:$A$2000,1,),"")&lt;&gt;""</f>
        <v>1</v>
      </c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4418</v>
      </c>
      <c r="B527" t="s">
        <v>2969</v>
      </c>
      <c r="D527" t="b">
        <f>IFERROR(VLOOKUP(B527,PatData!$A$2:$A$2000,1,),"")&lt;&gt;""</f>
        <v>1</v>
      </c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4419</v>
      </c>
      <c r="B528" t="s">
        <v>2970</v>
      </c>
      <c r="D528" t="b">
        <f>IFERROR(VLOOKUP(B528,PatData!$A$2:$A$2000,1,),"")&lt;&gt;""</f>
        <v>1</v>
      </c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4420</v>
      </c>
      <c r="B529" t="s">
        <v>2971</v>
      </c>
      <c r="D529" t="b">
        <f>IFERROR(VLOOKUP(B529,PatData!$A$2:$A$2000,1,),"")&lt;&gt;""</f>
        <v>1</v>
      </c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4421</v>
      </c>
      <c r="B530" t="s">
        <v>2972</v>
      </c>
      <c r="D530" t="b">
        <f>IFERROR(VLOOKUP(B530,PatData!$A$2:$A$2000,1,),"")&lt;&gt;""</f>
        <v>1</v>
      </c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4422</v>
      </c>
      <c r="B531" t="s">
        <v>2973</v>
      </c>
      <c r="D531" t="b">
        <f>IFERROR(VLOOKUP(B531,PatData!$A$2:$A$2000,1,),"")&lt;&gt;""</f>
        <v>1</v>
      </c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4423</v>
      </c>
      <c r="B532" t="s">
        <v>2974</v>
      </c>
      <c r="D532" t="b">
        <f>IFERROR(VLOOKUP(B532,PatData!$A$2:$A$2000,1,),"")&lt;&gt;""</f>
        <v>1</v>
      </c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4424</v>
      </c>
      <c r="B533" t="s">
        <v>2975</v>
      </c>
      <c r="D533" t="b">
        <f>IFERROR(VLOOKUP(B533,PatData!$A$2:$A$2000,1,),"")&lt;&gt;""</f>
        <v>1</v>
      </c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4425</v>
      </c>
      <c r="B534" t="s">
        <v>2976</v>
      </c>
      <c r="D534" t="b">
        <f>IFERROR(VLOOKUP(B534,PatData!$A$2:$A$2000,1,),"")&lt;&gt;""</f>
        <v>1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4426</v>
      </c>
      <c r="B535" t="s">
        <v>2977</v>
      </c>
      <c r="D535" t="b">
        <f>IFERROR(VLOOKUP(B535,PatData!$A$2:$A$2000,1,),"")&lt;&gt;""</f>
        <v>1</v>
      </c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4427</v>
      </c>
      <c r="B536" t="s">
        <v>2978</v>
      </c>
      <c r="D536" t="b">
        <f>IFERROR(VLOOKUP(B536,PatData!$A$2:$A$2000,1,),"")&lt;&gt;""</f>
        <v>1</v>
      </c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4428</v>
      </c>
      <c r="B537" t="s">
        <v>2979</v>
      </c>
      <c r="D537" t="b">
        <f>IFERROR(VLOOKUP(B537,PatData!$A$2:$A$2000,1,),"")&lt;&gt;""</f>
        <v>1</v>
      </c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4429</v>
      </c>
      <c r="B538" t="s">
        <v>2980</v>
      </c>
      <c r="D538" t="b">
        <f>IFERROR(VLOOKUP(B538,PatData!$A$2:$A$2000,1,),"")&lt;&gt;""</f>
        <v>1</v>
      </c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4430</v>
      </c>
      <c r="B539" t="s">
        <v>2981</v>
      </c>
      <c r="D539" t="b">
        <f>IFERROR(VLOOKUP(B539,PatData!$A$2:$A$2000,1,),"")&lt;&gt;""</f>
        <v>1</v>
      </c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4431</v>
      </c>
      <c r="B540" t="s">
        <v>2982</v>
      </c>
      <c r="D540" t="b">
        <f>IFERROR(VLOOKUP(B540,PatData!$A$2:$A$2000,1,),"")&lt;&gt;""</f>
        <v>1</v>
      </c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4432</v>
      </c>
      <c r="B541" t="s">
        <v>2983</v>
      </c>
      <c r="D541" t="b">
        <f>IFERROR(VLOOKUP(B541,PatData!$A$2:$A$2000,1,),"")&lt;&gt;""</f>
        <v>1</v>
      </c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4433</v>
      </c>
      <c r="B542" t="s">
        <v>2984</v>
      </c>
      <c r="D542" t="b">
        <f>IFERROR(VLOOKUP(B542,PatData!$A$2:$A$2000,1,),"")&lt;&gt;""</f>
        <v>1</v>
      </c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4434</v>
      </c>
      <c r="B543" t="s">
        <v>2985</v>
      </c>
      <c r="D543" t="b">
        <f>IFERROR(VLOOKUP(B543,PatData!$A$2:$A$2000,1,),"")&lt;&gt;""</f>
        <v>1</v>
      </c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4435</v>
      </c>
      <c r="B544" t="s">
        <v>2986</v>
      </c>
      <c r="D544" t="b">
        <f>IFERROR(VLOOKUP(B544,PatData!$A$2:$A$2000,1,),"")&lt;&gt;""</f>
        <v>1</v>
      </c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4436</v>
      </c>
      <c r="B545" t="s">
        <v>2987</v>
      </c>
      <c r="D545" t="b">
        <f>IFERROR(VLOOKUP(B545,PatData!$A$2:$A$2000,1,),"")&lt;&gt;""</f>
        <v>1</v>
      </c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4437</v>
      </c>
      <c r="B546" t="s">
        <v>2988</v>
      </c>
      <c r="D546" t="b">
        <f>IFERROR(VLOOKUP(B546,PatData!$A$2:$A$2000,1,),"")&lt;&gt;""</f>
        <v>1</v>
      </c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4438</v>
      </c>
      <c r="B547" t="s">
        <v>2989</v>
      </c>
      <c r="D547" t="b">
        <f>IFERROR(VLOOKUP(B547,PatData!$A$2:$A$2000,1,),"")&lt;&gt;""</f>
        <v>1</v>
      </c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4439</v>
      </c>
      <c r="B548" t="s">
        <v>2990</v>
      </c>
      <c r="D548" t="b">
        <f>IFERROR(VLOOKUP(B548,PatData!$A$2:$A$2000,1,),"")&lt;&gt;""</f>
        <v>1</v>
      </c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4440</v>
      </c>
      <c r="B549" t="s">
        <v>2991</v>
      </c>
      <c r="D549" t="b">
        <f>IFERROR(VLOOKUP(B549,PatData!$A$2:$A$2000,1,),"")&lt;&gt;""</f>
        <v>1</v>
      </c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4201</v>
      </c>
      <c r="B550" t="s">
        <v>5074</v>
      </c>
      <c r="D550" t="b">
        <f>IFERROR(VLOOKUP(B550,PatData!$A$2:$A$2000,1,),"")&lt;&gt;""</f>
        <v>1</v>
      </c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4202</v>
      </c>
      <c r="B551" t="s">
        <v>5075</v>
      </c>
      <c r="D551" t="b">
        <f>IFERROR(VLOOKUP(B551,PatData!$A$2:$A$2000,1,),"")&lt;&gt;""</f>
        <v>1</v>
      </c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4203</v>
      </c>
      <c r="B552" t="s">
        <v>5076</v>
      </c>
      <c r="D552" t="b">
        <f>IFERROR(VLOOKUP(B552,PatData!$A$2:$A$2000,1,),"")&lt;&gt;""</f>
        <v>1</v>
      </c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4204</v>
      </c>
      <c r="B553" t="s">
        <v>5077</v>
      </c>
      <c r="D553" t="b">
        <f>IFERROR(VLOOKUP(B553,PatData!$A$2:$A$2000,1,),"")&lt;&gt;""</f>
        <v>1</v>
      </c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4205</v>
      </c>
      <c r="B554" t="s">
        <v>5078</v>
      </c>
      <c r="D554" t="b">
        <f>IFERROR(VLOOKUP(B554,PatData!$A$2:$A$2000,1,),"")&lt;&gt;""</f>
        <v>1</v>
      </c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4206</v>
      </c>
      <c r="B555" t="s">
        <v>5079</v>
      </c>
      <c r="D555" t="b">
        <f>IFERROR(VLOOKUP(B555,PatData!$A$2:$A$2000,1,),"")&lt;&gt;""</f>
        <v>1</v>
      </c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4207</v>
      </c>
      <c r="B556" t="s">
        <v>5080</v>
      </c>
      <c r="D556" t="b">
        <f>IFERROR(VLOOKUP(B556,PatData!$A$2:$A$2000,1,),"")&lt;&gt;""</f>
        <v>1</v>
      </c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4208</v>
      </c>
      <c r="B557" t="s">
        <v>5081</v>
      </c>
      <c r="D557" t="b">
        <f>IFERROR(VLOOKUP(B557,PatData!$A$2:$A$2000,1,),"")&lt;&gt;""</f>
        <v>1</v>
      </c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4209</v>
      </c>
      <c r="B558" t="s">
        <v>5082</v>
      </c>
      <c r="D558" t="b">
        <f>IFERROR(VLOOKUP(B558,PatData!$A$2:$A$2000,1,),"")&lt;&gt;""</f>
        <v>1</v>
      </c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4210</v>
      </c>
      <c r="B559" t="s">
        <v>5083</v>
      </c>
      <c r="D559" t="b">
        <f>IFERROR(VLOOKUP(B559,PatData!$A$2:$A$2000,1,),"")&lt;&gt;""</f>
        <v>1</v>
      </c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4211</v>
      </c>
      <c r="B560" t="s">
        <v>5084</v>
      </c>
      <c r="D560" t="b">
        <f>IFERROR(VLOOKUP(B560,PatData!$A$2:$A$2000,1,),"")&lt;&gt;""</f>
        <v>1</v>
      </c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4212</v>
      </c>
      <c r="B561" t="s">
        <v>5085</v>
      </c>
      <c r="D561" t="b">
        <f>IFERROR(VLOOKUP(B561,PatData!$A$2:$A$2000,1,),"")&lt;&gt;""</f>
        <v>1</v>
      </c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4213</v>
      </c>
      <c r="B562" t="s">
        <v>5086</v>
      </c>
      <c r="D562" t="b">
        <f>IFERROR(VLOOKUP(B562,PatData!$A$2:$A$2000,1,),"")&lt;&gt;""</f>
        <v>1</v>
      </c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4214</v>
      </c>
      <c r="B563" t="s">
        <v>5087</v>
      </c>
      <c r="D563" t="b">
        <f>IFERROR(VLOOKUP(B563,PatData!$A$2:$A$2000,1,),"")&lt;&gt;""</f>
        <v>1</v>
      </c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4215</v>
      </c>
      <c r="B564" t="s">
        <v>5088</v>
      </c>
      <c r="D564" t="b">
        <f>IFERROR(VLOOKUP(B564,PatData!$A$2:$A$2000,1,),"")&lt;&gt;""</f>
        <v>1</v>
      </c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4216</v>
      </c>
      <c r="B565" t="s">
        <v>5089</v>
      </c>
      <c r="D565" t="b">
        <f>IFERROR(VLOOKUP(B565,PatData!$A$2:$A$2000,1,),"")&lt;&gt;""</f>
        <v>1</v>
      </c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4217</v>
      </c>
      <c r="B566" t="s">
        <v>5090</v>
      </c>
      <c r="D566" t="b">
        <f>IFERROR(VLOOKUP(B566,PatData!$A$2:$A$2000,1,),"")&lt;&gt;""</f>
        <v>1</v>
      </c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4218</v>
      </c>
      <c r="B567" t="s">
        <v>5091</v>
      </c>
      <c r="D567" t="b">
        <f>IFERROR(VLOOKUP(B567,PatData!$A$2:$A$2000,1,),"")&lt;&gt;""</f>
        <v>1</v>
      </c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4219</v>
      </c>
      <c r="B568" t="s">
        <v>5092</v>
      </c>
      <c r="D568" t="b">
        <f>IFERROR(VLOOKUP(B568,PatData!$A$2:$A$2000,1,),"")&lt;&gt;""</f>
        <v>1</v>
      </c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4220</v>
      </c>
      <c r="B569" t="s">
        <v>5093</v>
      </c>
      <c r="D569" t="b">
        <f>IFERROR(VLOOKUP(B569,PatData!$A$2:$A$2000,1,),"")&lt;&gt;""</f>
        <v>1</v>
      </c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4221</v>
      </c>
      <c r="B570" t="s">
        <v>5094</v>
      </c>
      <c r="D570" t="b">
        <f>IFERROR(VLOOKUP(B570,PatData!$A$2:$A$2000,1,),"")&lt;&gt;""</f>
        <v>1</v>
      </c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4222</v>
      </c>
      <c r="B571" t="s">
        <v>5095</v>
      </c>
      <c r="D571" t="b">
        <f>IFERROR(VLOOKUP(B571,PatData!$A$2:$A$2000,1,),"")&lt;&gt;""</f>
        <v>1</v>
      </c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4223</v>
      </c>
      <c r="B572" t="s">
        <v>5096</v>
      </c>
      <c r="D572" t="b">
        <f>IFERROR(VLOOKUP(B572,PatData!$A$2:$A$2000,1,),"")&lt;&gt;""</f>
        <v>1</v>
      </c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4224</v>
      </c>
      <c r="B573" t="s">
        <v>5097</v>
      </c>
      <c r="D573" t="b">
        <f>IFERROR(VLOOKUP(B573,PatData!$A$2:$A$2000,1,),"")&lt;&gt;""</f>
        <v>1</v>
      </c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4225</v>
      </c>
      <c r="B574" t="s">
        <v>5098</v>
      </c>
      <c r="D574" t="b">
        <f>IFERROR(VLOOKUP(B574,PatData!$A$2:$A$2000,1,),"")&lt;&gt;""</f>
        <v>1</v>
      </c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4226</v>
      </c>
      <c r="B575" t="s">
        <v>5099</v>
      </c>
      <c r="D575" t="b">
        <f>IFERROR(VLOOKUP(B575,PatData!$A$2:$A$2000,1,),"")&lt;&gt;""</f>
        <v>1</v>
      </c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4227</v>
      </c>
      <c r="B576" t="s">
        <v>5100</v>
      </c>
      <c r="D576" t="b">
        <f>IFERROR(VLOOKUP(B576,PatData!$A$2:$A$2000,1,),"")&lt;&gt;""</f>
        <v>1</v>
      </c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4228</v>
      </c>
      <c r="B577" t="s">
        <v>5101</v>
      </c>
      <c r="D577" t="b">
        <f>IFERROR(VLOOKUP(B577,PatData!$A$2:$A$2000,1,),"")&lt;&gt;""</f>
        <v>1</v>
      </c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4229</v>
      </c>
      <c r="B578" t="s">
        <v>5102</v>
      </c>
      <c r="D578" t="b">
        <f>IFERROR(VLOOKUP(B578,PatData!$A$2:$A$2000,1,),"")&lt;&gt;""</f>
        <v>1</v>
      </c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4230</v>
      </c>
      <c r="B579" t="s">
        <v>5103</v>
      </c>
      <c r="D579" t="b">
        <f>IFERROR(VLOOKUP(B579,PatData!$A$2:$A$2000,1,),"")&lt;&gt;""</f>
        <v>1</v>
      </c>
      <c r="F579" t="b">
        <v>0</v>
      </c>
      <c r="G579" t="b">
        <v>1</v>
      </c>
      <c r="H579" t="b">
        <v>0</v>
      </c>
      <c r="I579" t="b">
        <v>0</v>
      </c>
    </row>
    <row r="580" spans="1:9" s="320" customFormat="1" x14ac:dyDescent="0.2">
      <c r="A580" s="320" t="s">
        <v>5323</v>
      </c>
      <c r="B580" s="320" t="s">
        <v>3021</v>
      </c>
      <c r="C580" s="320" t="str">
        <f>B580</f>
        <v>_Neo_1700_ArtLijn</v>
      </c>
    </row>
    <row r="581" spans="1:9" s="320" customFormat="1" x14ac:dyDescent="0.2">
      <c r="A581" s="320" t="s">
        <v>5324</v>
      </c>
      <c r="B581" s="320" t="s">
        <v>3023</v>
      </c>
      <c r="C581" s="320" t="str">
        <f t="shared" ref="C581:C644" si="0">B581</f>
        <v>_Neo_1700_Arts</v>
      </c>
    </row>
    <row r="582" spans="1:9" s="320" customFormat="1" x14ac:dyDescent="0.2">
      <c r="A582" s="320" t="s">
        <v>5325</v>
      </c>
      <c r="B582" s="320" t="s">
        <v>3026</v>
      </c>
      <c r="C582" s="320" t="str">
        <f t="shared" si="0"/>
        <v>_Neo_1700_DagKeuze</v>
      </c>
    </row>
    <row r="583" spans="1:9" s="320" customFormat="1" x14ac:dyDescent="0.2">
      <c r="A583" s="320" t="s">
        <v>5326</v>
      </c>
      <c r="B583" s="320" t="s">
        <v>3028</v>
      </c>
      <c r="C583" s="320" t="str">
        <f t="shared" si="0"/>
        <v>_Neo_1700_Fototherapie</v>
      </c>
    </row>
    <row r="584" spans="1:9" s="320" customFormat="1" x14ac:dyDescent="0.2">
      <c r="A584" s="320" t="s">
        <v>5327</v>
      </c>
      <c r="B584" s="320" t="s">
        <v>3031</v>
      </c>
      <c r="C584" s="320" t="str">
        <f t="shared" si="0"/>
        <v>_Neo_1700_Frequentie_1</v>
      </c>
    </row>
    <row r="585" spans="1:9" s="320" customFormat="1" x14ac:dyDescent="0.2">
      <c r="A585" s="320" t="s">
        <v>5328</v>
      </c>
      <c r="B585" s="320" t="s">
        <v>3032</v>
      </c>
      <c r="C585" s="320" t="str">
        <f t="shared" si="0"/>
        <v>_Neo_1700_Frequentie_2</v>
      </c>
    </row>
    <row r="586" spans="1:9" s="320" customFormat="1" x14ac:dyDescent="0.2">
      <c r="A586" s="320" t="s">
        <v>5329</v>
      </c>
      <c r="B586" s="320" t="s">
        <v>3034</v>
      </c>
      <c r="C586" s="320" t="str">
        <f t="shared" si="0"/>
        <v>_Neo_1700_GlucSterkte</v>
      </c>
    </row>
    <row r="587" spans="1:9" s="320" customFormat="1" x14ac:dyDescent="0.2">
      <c r="A587" s="320" t="s">
        <v>5330</v>
      </c>
      <c r="B587" s="320" t="s">
        <v>3037</v>
      </c>
      <c r="C587" s="320" t="str">
        <f t="shared" si="0"/>
        <v>_Neo_1700_Hoeveelheid_1</v>
      </c>
    </row>
    <row r="588" spans="1:9" s="320" customFormat="1" x14ac:dyDescent="0.2">
      <c r="A588" s="320" t="s">
        <v>5331</v>
      </c>
      <c r="B588" s="320" t="s">
        <v>3038</v>
      </c>
      <c r="C588" s="320" t="str">
        <f t="shared" si="0"/>
        <v>_Neo_1700_Hoeveelheid_2</v>
      </c>
    </row>
    <row r="589" spans="1:9" s="320" customFormat="1" x14ac:dyDescent="0.2">
      <c r="A589" s="320" t="s">
        <v>5332</v>
      </c>
      <c r="B589" s="320" t="s">
        <v>3040</v>
      </c>
      <c r="C589" s="320" t="str">
        <f t="shared" si="0"/>
        <v>_Neo_1700_IntakePerKg</v>
      </c>
    </row>
    <row r="590" spans="1:9" s="320" customFormat="1" x14ac:dyDescent="0.2">
      <c r="A590" s="320" t="s">
        <v>5333</v>
      </c>
      <c r="B590" s="320" t="s">
        <v>3042</v>
      </c>
      <c r="C590" s="320" t="str">
        <f t="shared" si="0"/>
        <v>_Neo_1700_IntraLipid</v>
      </c>
    </row>
    <row r="591" spans="1:9" s="320" customFormat="1" x14ac:dyDescent="0.2">
      <c r="A591" s="320" t="s">
        <v>5334</v>
      </c>
      <c r="B591" s="320" t="s">
        <v>3155</v>
      </c>
      <c r="C591" s="320" t="str">
        <f t="shared" si="0"/>
        <v>_Neo_1700_IntralipidSmof</v>
      </c>
    </row>
    <row r="592" spans="1:9" s="320" customFormat="1" x14ac:dyDescent="0.2">
      <c r="A592" s="320" t="s">
        <v>5335</v>
      </c>
      <c r="B592" s="320" t="s">
        <v>3044</v>
      </c>
      <c r="C592" s="320" t="str">
        <f t="shared" si="0"/>
        <v>_Neo_1700_KCl</v>
      </c>
    </row>
    <row r="593" spans="1:3" s="320" customFormat="1" x14ac:dyDescent="0.2">
      <c r="A593" s="320" t="s">
        <v>5336</v>
      </c>
      <c r="B593" s="320" t="s">
        <v>3054</v>
      </c>
      <c r="C593" s="320" t="str">
        <f t="shared" si="0"/>
        <v>_Neo_1700_Medicament_1</v>
      </c>
    </row>
    <row r="594" spans="1:3" s="320" customFormat="1" x14ac:dyDescent="0.2">
      <c r="A594" s="320" t="s">
        <v>5337</v>
      </c>
      <c r="B594" s="320" t="s">
        <v>3055</v>
      </c>
      <c r="C594" s="320" t="str">
        <f t="shared" si="0"/>
        <v>_Neo_1700_Medicament_2</v>
      </c>
    </row>
    <row r="595" spans="1:3" s="320" customFormat="1" x14ac:dyDescent="0.2">
      <c r="A595" s="320" t="s">
        <v>5338</v>
      </c>
      <c r="B595" s="320" t="s">
        <v>3056</v>
      </c>
      <c r="C595" s="320" t="str">
        <f t="shared" si="0"/>
        <v>_Neo_1700_Medicament_3</v>
      </c>
    </row>
    <row r="596" spans="1:3" s="320" customFormat="1" x14ac:dyDescent="0.2">
      <c r="A596" s="320" t="s">
        <v>5339</v>
      </c>
      <c r="B596" s="320" t="s">
        <v>3057</v>
      </c>
      <c r="C596" s="320" t="str">
        <f t="shared" si="0"/>
        <v>_Neo_1700_Medicament_4</v>
      </c>
    </row>
    <row r="597" spans="1:3" s="320" customFormat="1" x14ac:dyDescent="0.2">
      <c r="A597" s="320" t="s">
        <v>5340</v>
      </c>
      <c r="B597" s="320" t="s">
        <v>3058</v>
      </c>
      <c r="C597" s="320" t="str">
        <f t="shared" si="0"/>
        <v>_Neo_1700_Medicament_5</v>
      </c>
    </row>
    <row r="598" spans="1:3" s="320" customFormat="1" x14ac:dyDescent="0.2">
      <c r="A598" s="320" t="s">
        <v>5341</v>
      </c>
      <c r="B598" s="320" t="s">
        <v>3059</v>
      </c>
      <c r="C598" s="320" t="str">
        <f t="shared" si="0"/>
        <v>_Neo_1700_Medicament_6</v>
      </c>
    </row>
    <row r="599" spans="1:3" s="320" customFormat="1" x14ac:dyDescent="0.2">
      <c r="A599" s="320" t="s">
        <v>5342</v>
      </c>
      <c r="B599" s="320" t="s">
        <v>3060</v>
      </c>
      <c r="C599" s="320" t="str">
        <f t="shared" si="0"/>
        <v>_Neo_1700_Medicament_7</v>
      </c>
    </row>
    <row r="600" spans="1:3" s="320" customFormat="1" x14ac:dyDescent="0.2">
      <c r="A600" s="320" t="s">
        <v>5343</v>
      </c>
      <c r="B600" s="320" t="s">
        <v>3061</v>
      </c>
      <c r="C600" s="320" t="str">
        <f t="shared" si="0"/>
        <v>_Neo_1700_Medicament_8</v>
      </c>
    </row>
    <row r="601" spans="1:3" s="320" customFormat="1" x14ac:dyDescent="0.2">
      <c r="A601" s="320" t="s">
        <v>5344</v>
      </c>
      <c r="B601" s="320" t="s">
        <v>3062</v>
      </c>
      <c r="C601" s="320" t="str">
        <f t="shared" si="0"/>
        <v>_Neo_1700_Medicament_9</v>
      </c>
    </row>
    <row r="602" spans="1:3" s="320" customFormat="1" x14ac:dyDescent="0.2">
      <c r="A602" s="320" t="s">
        <v>5345</v>
      </c>
      <c r="B602" s="320" t="s">
        <v>3072</v>
      </c>
      <c r="C602" s="320" t="str">
        <f t="shared" si="0"/>
        <v>_Neo_1700_MedSterkte_1</v>
      </c>
    </row>
    <row r="603" spans="1:3" s="320" customFormat="1" x14ac:dyDescent="0.2">
      <c r="A603" s="320" t="s">
        <v>5346</v>
      </c>
      <c r="B603" s="320" t="s">
        <v>3073</v>
      </c>
      <c r="C603" s="320" t="str">
        <f t="shared" si="0"/>
        <v>_Neo_1700_MedSterkte_2</v>
      </c>
    </row>
    <row r="604" spans="1:3" s="320" customFormat="1" x14ac:dyDescent="0.2">
      <c r="A604" s="320" t="s">
        <v>5347</v>
      </c>
      <c r="B604" s="320" t="s">
        <v>3074</v>
      </c>
      <c r="C604" s="320" t="str">
        <f t="shared" si="0"/>
        <v>_Neo_1700_MedSterkte_3</v>
      </c>
    </row>
    <row r="605" spans="1:3" s="320" customFormat="1" x14ac:dyDescent="0.2">
      <c r="A605" s="320" t="s">
        <v>5348</v>
      </c>
      <c r="B605" s="320" t="s">
        <v>3075</v>
      </c>
      <c r="C605" s="320" t="str">
        <f t="shared" si="0"/>
        <v>_Neo_1700_MedSterkte_4</v>
      </c>
    </row>
    <row r="606" spans="1:3" s="320" customFormat="1" x14ac:dyDescent="0.2">
      <c r="A606" s="320" t="s">
        <v>5349</v>
      </c>
      <c r="B606" s="320" t="s">
        <v>3076</v>
      </c>
      <c r="C606" s="320" t="str">
        <f t="shared" si="0"/>
        <v>_Neo_1700_MedSterkte_5</v>
      </c>
    </row>
    <row r="607" spans="1:3" s="320" customFormat="1" x14ac:dyDescent="0.2">
      <c r="A607" s="320" t="s">
        <v>5350</v>
      </c>
      <c r="B607" s="320" t="s">
        <v>3077</v>
      </c>
      <c r="C607" s="320" t="str">
        <f t="shared" si="0"/>
        <v>_Neo_1700_MedSterkte_6</v>
      </c>
    </row>
    <row r="608" spans="1:3" s="320" customFormat="1" x14ac:dyDescent="0.2">
      <c r="A608" s="320" t="s">
        <v>5351</v>
      </c>
      <c r="B608" s="320" t="s">
        <v>3078</v>
      </c>
      <c r="C608" s="320" t="str">
        <f t="shared" si="0"/>
        <v>_Neo_1700_MedSterkte_7</v>
      </c>
    </row>
    <row r="609" spans="1:3" s="320" customFormat="1" x14ac:dyDescent="0.2">
      <c r="A609" s="320" t="s">
        <v>5352</v>
      </c>
      <c r="B609" s="320" t="s">
        <v>3079</v>
      </c>
      <c r="C609" s="320" t="str">
        <f t="shared" si="0"/>
        <v>_Neo_1700_MedSterkte_8</v>
      </c>
    </row>
    <row r="610" spans="1:3" s="320" customFormat="1" x14ac:dyDescent="0.2">
      <c r="A610" s="320" t="s">
        <v>5353</v>
      </c>
      <c r="B610" s="320" t="s">
        <v>3080</v>
      </c>
      <c r="C610" s="320" t="str">
        <f t="shared" si="0"/>
        <v>_Neo_1700_MedSterkte_9</v>
      </c>
    </row>
    <row r="611" spans="1:3" s="320" customFormat="1" x14ac:dyDescent="0.2">
      <c r="A611" s="320" t="s">
        <v>5354</v>
      </c>
      <c r="B611" s="320" t="s">
        <v>3083</v>
      </c>
      <c r="C611" s="320" t="str">
        <f t="shared" si="0"/>
        <v>_Neo_1700_MedTekst_1</v>
      </c>
    </row>
    <row r="612" spans="1:3" s="320" customFormat="1" x14ac:dyDescent="0.2">
      <c r="A612" s="320" t="s">
        <v>5355</v>
      </c>
      <c r="B612" s="320" t="s">
        <v>3084</v>
      </c>
      <c r="C612" s="320" t="str">
        <f t="shared" si="0"/>
        <v>_Neo_1700_MedTekst_2</v>
      </c>
    </row>
    <row r="613" spans="1:3" s="320" customFormat="1" x14ac:dyDescent="0.2">
      <c r="A613" s="320" t="s">
        <v>5356</v>
      </c>
      <c r="B613" s="320" t="s">
        <v>3086</v>
      </c>
      <c r="C613" s="320" t="str">
        <f t="shared" si="0"/>
        <v>_Neo_1700_MgCl2</v>
      </c>
    </row>
    <row r="614" spans="1:3" s="320" customFormat="1" x14ac:dyDescent="0.2">
      <c r="A614" s="320" t="s">
        <v>5357</v>
      </c>
      <c r="B614" s="320" t="s">
        <v>3089</v>
      </c>
      <c r="C614" s="320" t="str">
        <f t="shared" si="0"/>
        <v>_Neo_1700_NICUMix</v>
      </c>
    </row>
    <row r="615" spans="1:3" s="320" customFormat="1" x14ac:dyDescent="0.2">
      <c r="A615" s="320" t="s">
        <v>5358</v>
      </c>
      <c r="B615" s="320" t="s">
        <v>3099</v>
      </c>
      <c r="C615" s="320" t="str">
        <f t="shared" si="0"/>
        <v>_Neo_1700_OplHoev_1</v>
      </c>
    </row>
    <row r="616" spans="1:3" s="320" customFormat="1" x14ac:dyDescent="0.2">
      <c r="A616" s="320" t="s">
        <v>5359</v>
      </c>
      <c r="B616" s="320" t="s">
        <v>3100</v>
      </c>
      <c r="C616" s="320" t="str">
        <f t="shared" si="0"/>
        <v>_Neo_1700_OplHoev_2</v>
      </c>
    </row>
    <row r="617" spans="1:3" s="320" customFormat="1" x14ac:dyDescent="0.2">
      <c r="A617" s="320" t="s">
        <v>5360</v>
      </c>
      <c r="B617" s="320" t="s">
        <v>3101</v>
      </c>
      <c r="C617" s="320" t="str">
        <f t="shared" si="0"/>
        <v>_Neo_1700_OplHoev_3</v>
      </c>
    </row>
    <row r="618" spans="1:3" s="320" customFormat="1" x14ac:dyDescent="0.2">
      <c r="A618" s="320" t="s">
        <v>5361</v>
      </c>
      <c r="B618" s="320" t="s">
        <v>3102</v>
      </c>
      <c r="C618" s="320" t="str">
        <f t="shared" si="0"/>
        <v>_Neo_1700_OplHoev_4</v>
      </c>
    </row>
    <row r="619" spans="1:3" s="320" customFormat="1" x14ac:dyDescent="0.2">
      <c r="A619" s="320" t="s">
        <v>5362</v>
      </c>
      <c r="B619" s="320" t="s">
        <v>3103</v>
      </c>
      <c r="C619" s="320" t="str">
        <f t="shared" si="0"/>
        <v>_Neo_1700_OplHoev_5</v>
      </c>
    </row>
    <row r="620" spans="1:3" s="320" customFormat="1" x14ac:dyDescent="0.2">
      <c r="A620" s="320" t="s">
        <v>5363</v>
      </c>
      <c r="B620" s="320" t="s">
        <v>3104</v>
      </c>
      <c r="C620" s="320" t="str">
        <f t="shared" si="0"/>
        <v>_Neo_1700_OplHoev_6</v>
      </c>
    </row>
    <row r="621" spans="1:3" s="320" customFormat="1" x14ac:dyDescent="0.2">
      <c r="A621" s="320" t="s">
        <v>5364</v>
      </c>
      <c r="B621" s="320" t="s">
        <v>3105</v>
      </c>
      <c r="C621" s="320" t="str">
        <f t="shared" si="0"/>
        <v>_Neo_1700_OplHoev_7</v>
      </c>
    </row>
    <row r="622" spans="1:3" s="320" customFormat="1" x14ac:dyDescent="0.2">
      <c r="A622" s="320" t="s">
        <v>5365</v>
      </c>
      <c r="B622" s="320" t="s">
        <v>3106</v>
      </c>
      <c r="C622" s="320" t="str">
        <f t="shared" si="0"/>
        <v>_Neo_1700_OplHoev_8</v>
      </c>
    </row>
    <row r="623" spans="1:3" s="320" customFormat="1" x14ac:dyDescent="0.2">
      <c r="A623" s="320" t="s">
        <v>5366</v>
      </c>
      <c r="B623" s="320" t="s">
        <v>3107</v>
      </c>
      <c r="C623" s="320" t="str">
        <f t="shared" si="0"/>
        <v>_Neo_1700_OplHoev_9</v>
      </c>
    </row>
    <row r="624" spans="1:3" s="320" customFormat="1" x14ac:dyDescent="0.2">
      <c r="A624" s="320" t="s">
        <v>5367</v>
      </c>
      <c r="B624" s="320" t="s">
        <v>3123</v>
      </c>
      <c r="C624" s="320" t="str">
        <f t="shared" si="0"/>
        <v>_Neo_1700_Oplossing_01</v>
      </c>
    </row>
    <row r="625" spans="1:3" s="320" customFormat="1" x14ac:dyDescent="0.2">
      <c r="A625" s="320" t="s">
        <v>5368</v>
      </c>
      <c r="B625" s="320" t="s">
        <v>3124</v>
      </c>
      <c r="C625" s="320" t="str">
        <f t="shared" si="0"/>
        <v>_Neo_1700_Oplossing_02</v>
      </c>
    </row>
    <row r="626" spans="1:3" s="320" customFormat="1" x14ac:dyDescent="0.2">
      <c r="A626" s="320" t="s">
        <v>5369</v>
      </c>
      <c r="B626" s="320" t="s">
        <v>3125</v>
      </c>
      <c r="C626" s="320" t="str">
        <f t="shared" si="0"/>
        <v>_Neo_1700_Oplossing_03</v>
      </c>
    </row>
    <row r="627" spans="1:3" s="320" customFormat="1" x14ac:dyDescent="0.2">
      <c r="A627" s="320" t="s">
        <v>5370</v>
      </c>
      <c r="B627" s="320" t="s">
        <v>3126</v>
      </c>
      <c r="C627" s="320" t="str">
        <f t="shared" si="0"/>
        <v>_Neo_1700_Oplossing_04</v>
      </c>
    </row>
    <row r="628" spans="1:3" s="320" customFormat="1" x14ac:dyDescent="0.2">
      <c r="A628" s="320" t="s">
        <v>5371</v>
      </c>
      <c r="B628" s="320" t="s">
        <v>3127</v>
      </c>
      <c r="C628" s="320" t="str">
        <f t="shared" si="0"/>
        <v>_Neo_1700_Oplossing_05</v>
      </c>
    </row>
    <row r="629" spans="1:3" s="320" customFormat="1" x14ac:dyDescent="0.2">
      <c r="A629" s="320" t="s">
        <v>5372</v>
      </c>
      <c r="B629" s="320" t="s">
        <v>3128</v>
      </c>
      <c r="C629" s="320" t="str">
        <f t="shared" si="0"/>
        <v>_Neo_1700_Oplossing_06</v>
      </c>
    </row>
    <row r="630" spans="1:3" s="320" customFormat="1" x14ac:dyDescent="0.2">
      <c r="A630" s="320" t="s">
        <v>5373</v>
      </c>
      <c r="B630" s="320" t="s">
        <v>3129</v>
      </c>
      <c r="C630" s="320" t="str">
        <f t="shared" si="0"/>
        <v>_Neo_1700_Oplossing_07</v>
      </c>
    </row>
    <row r="631" spans="1:3" s="320" customFormat="1" x14ac:dyDescent="0.2">
      <c r="A631" s="320" t="s">
        <v>5374</v>
      </c>
      <c r="B631" s="320" t="s">
        <v>3130</v>
      </c>
      <c r="C631" s="320" t="str">
        <f t="shared" si="0"/>
        <v>_Neo_1700_Oplossing_08</v>
      </c>
    </row>
    <row r="632" spans="1:3" s="320" customFormat="1" x14ac:dyDescent="0.2">
      <c r="A632" s="320" t="s">
        <v>5375</v>
      </c>
      <c r="B632" s="320" t="s">
        <v>3131</v>
      </c>
      <c r="C632" s="320" t="str">
        <f t="shared" si="0"/>
        <v>_Neo_1700_Oplossing_09</v>
      </c>
    </row>
    <row r="633" spans="1:3" s="320" customFormat="1" x14ac:dyDescent="0.2">
      <c r="A633" s="320" t="s">
        <v>5376</v>
      </c>
      <c r="B633" s="320" t="s">
        <v>3120</v>
      </c>
      <c r="C633" s="320" t="str">
        <f t="shared" si="0"/>
        <v>_Neo_1700_Oplossing_10</v>
      </c>
    </row>
    <row r="634" spans="1:3" s="320" customFormat="1" x14ac:dyDescent="0.2">
      <c r="A634" s="320" t="s">
        <v>5377</v>
      </c>
      <c r="B634" s="320" t="s">
        <v>3121</v>
      </c>
      <c r="C634" s="320" t="str">
        <f t="shared" si="0"/>
        <v>_Neo_1700_Oplossing_11</v>
      </c>
    </row>
    <row r="635" spans="1:3" s="320" customFormat="1" x14ac:dyDescent="0.2">
      <c r="A635" s="320" t="s">
        <v>5378</v>
      </c>
      <c r="B635" s="320" t="s">
        <v>3122</v>
      </c>
      <c r="C635" s="320" t="str">
        <f t="shared" si="0"/>
        <v>_Neo_1700_Oplossing_12</v>
      </c>
    </row>
    <row r="636" spans="1:3" s="320" customFormat="1" x14ac:dyDescent="0.2">
      <c r="A636" s="320" t="s">
        <v>5379</v>
      </c>
      <c r="B636" s="320" t="s">
        <v>3133</v>
      </c>
      <c r="C636" s="320" t="str">
        <f t="shared" si="0"/>
        <v>_Neo_1700_Parenteraal</v>
      </c>
    </row>
    <row r="637" spans="1:3" s="320" customFormat="1" x14ac:dyDescent="0.2">
      <c r="A637" s="320" t="s">
        <v>5380</v>
      </c>
      <c r="B637" s="320" t="s">
        <v>3143</v>
      </c>
      <c r="C637" s="320" t="str">
        <f t="shared" si="0"/>
        <v>_Neo_1700_PercentageKeuze_0</v>
      </c>
    </row>
    <row r="638" spans="1:3" s="320" customFormat="1" x14ac:dyDescent="0.2">
      <c r="A638" s="320" t="s">
        <v>5381</v>
      </c>
      <c r="B638" s="320" t="s">
        <v>3144</v>
      </c>
      <c r="C638" s="320" t="str">
        <f t="shared" si="0"/>
        <v>_Neo_1700_PercentageKeuze_1</v>
      </c>
    </row>
    <row r="639" spans="1:3" s="320" customFormat="1" x14ac:dyDescent="0.2">
      <c r="A639" s="320" t="s">
        <v>5382</v>
      </c>
      <c r="B639" s="320" t="s">
        <v>3145</v>
      </c>
      <c r="C639" s="320" t="str">
        <f t="shared" si="0"/>
        <v>_Neo_1700_PercentageKeuze_2</v>
      </c>
    </row>
    <row r="640" spans="1:3" s="320" customFormat="1" x14ac:dyDescent="0.2">
      <c r="A640" s="320" t="s">
        <v>5383</v>
      </c>
      <c r="B640" s="320" t="s">
        <v>3146</v>
      </c>
      <c r="C640" s="320" t="str">
        <f t="shared" si="0"/>
        <v>_Neo_1700_PercentageKeuze_3</v>
      </c>
    </row>
    <row r="641" spans="1:3" s="320" customFormat="1" x14ac:dyDescent="0.2">
      <c r="A641" s="320" t="s">
        <v>5384</v>
      </c>
      <c r="B641" s="320" t="s">
        <v>3147</v>
      </c>
      <c r="C641" s="320" t="str">
        <f t="shared" si="0"/>
        <v>_Neo_1700_PercentageKeuze_4</v>
      </c>
    </row>
    <row r="642" spans="1:3" s="320" customFormat="1" x14ac:dyDescent="0.2">
      <c r="A642" s="320" t="s">
        <v>5385</v>
      </c>
      <c r="B642" s="320" t="s">
        <v>3148</v>
      </c>
      <c r="C642" s="320" t="str">
        <f t="shared" si="0"/>
        <v>_Neo_1700_PercentageKeuze_5</v>
      </c>
    </row>
    <row r="643" spans="1:3" s="320" customFormat="1" x14ac:dyDescent="0.2">
      <c r="A643" s="320" t="s">
        <v>5386</v>
      </c>
      <c r="B643" s="320" t="s">
        <v>3149</v>
      </c>
      <c r="C643" s="320" t="str">
        <f t="shared" si="0"/>
        <v>_Neo_1700_PercentageKeuze_6</v>
      </c>
    </row>
    <row r="644" spans="1:3" s="320" customFormat="1" x14ac:dyDescent="0.2">
      <c r="A644" s="320" t="s">
        <v>5387</v>
      </c>
      <c r="B644" s="320" t="s">
        <v>3150</v>
      </c>
      <c r="C644" s="320" t="str">
        <f t="shared" si="0"/>
        <v>_Neo_1700_PercentageKeuze_7</v>
      </c>
    </row>
    <row r="645" spans="1:3" s="320" customFormat="1" x14ac:dyDescent="0.2">
      <c r="A645" s="320" t="s">
        <v>5388</v>
      </c>
      <c r="B645" s="320" t="s">
        <v>3151</v>
      </c>
      <c r="C645" s="320" t="str">
        <f t="shared" ref="C645:C696" si="1">B645</f>
        <v>_Neo_1700_PercentageKeuze_8</v>
      </c>
    </row>
    <row r="646" spans="1:3" s="320" customFormat="1" x14ac:dyDescent="0.2">
      <c r="A646" s="320" t="s">
        <v>5389</v>
      </c>
      <c r="B646" s="320" t="s">
        <v>3153</v>
      </c>
      <c r="C646" s="320" t="str">
        <f t="shared" si="1"/>
        <v>_Neo_1700_Primene</v>
      </c>
    </row>
    <row r="647" spans="1:3" s="320" customFormat="1" x14ac:dyDescent="0.2">
      <c r="A647" s="320" t="s">
        <v>5390</v>
      </c>
      <c r="B647" s="320" t="s">
        <v>3157</v>
      </c>
      <c r="C647" s="320" t="str">
        <f t="shared" si="1"/>
        <v>_Neo_1700_SoluVit</v>
      </c>
    </row>
    <row r="648" spans="1:3" s="320" customFormat="1" x14ac:dyDescent="0.2">
      <c r="A648" s="320" t="s">
        <v>5391</v>
      </c>
      <c r="B648" s="320" t="s">
        <v>3159</v>
      </c>
      <c r="C648" s="320" t="str">
        <f t="shared" si="1"/>
        <v>_Neo_1700_SSTB</v>
      </c>
    </row>
    <row r="649" spans="1:3" s="320" customFormat="1" x14ac:dyDescent="0.2">
      <c r="A649" s="320" t="s">
        <v>5392</v>
      </c>
      <c r="B649" s="320" t="s">
        <v>3175</v>
      </c>
      <c r="C649" s="320" t="str">
        <f t="shared" si="1"/>
        <v>_Neo_1700_Stand_01</v>
      </c>
    </row>
    <row r="650" spans="1:3" s="320" customFormat="1" x14ac:dyDescent="0.2">
      <c r="A650" s="320" t="s">
        <v>5393</v>
      </c>
      <c r="B650" s="320" t="s">
        <v>3176</v>
      </c>
      <c r="C650" s="320" t="str">
        <f t="shared" si="1"/>
        <v>_Neo_1700_Stand_02</v>
      </c>
    </row>
    <row r="651" spans="1:3" s="320" customFormat="1" x14ac:dyDescent="0.2">
      <c r="A651" s="320" t="s">
        <v>5394</v>
      </c>
      <c r="B651" s="320" t="s">
        <v>3177</v>
      </c>
      <c r="C651" s="320" t="str">
        <f t="shared" si="1"/>
        <v>_Neo_1700_Stand_03</v>
      </c>
    </row>
    <row r="652" spans="1:3" s="320" customFormat="1" x14ac:dyDescent="0.2">
      <c r="A652" s="320" t="s">
        <v>5395</v>
      </c>
      <c r="B652" s="320" t="s">
        <v>3178</v>
      </c>
      <c r="C652" s="320" t="str">
        <f t="shared" si="1"/>
        <v>_Neo_1700_Stand_04</v>
      </c>
    </row>
    <row r="653" spans="1:3" s="320" customFormat="1" x14ac:dyDescent="0.2">
      <c r="A653" s="320" t="s">
        <v>5396</v>
      </c>
      <c r="B653" s="320" t="s">
        <v>3179</v>
      </c>
      <c r="C653" s="320" t="str">
        <f t="shared" si="1"/>
        <v>_Neo_1700_Stand_05</v>
      </c>
    </row>
    <row r="654" spans="1:3" s="320" customFormat="1" x14ac:dyDescent="0.2">
      <c r="A654" s="320" t="s">
        <v>5397</v>
      </c>
      <c r="B654" s="320" t="s">
        <v>3180</v>
      </c>
      <c r="C654" s="320" t="str">
        <f t="shared" si="1"/>
        <v>_Neo_1700_Stand_06</v>
      </c>
    </row>
    <row r="655" spans="1:3" s="320" customFormat="1" x14ac:dyDescent="0.2">
      <c r="A655" s="320" t="s">
        <v>5398</v>
      </c>
      <c r="B655" s="320" t="s">
        <v>3181</v>
      </c>
      <c r="C655" s="320" t="str">
        <f t="shared" si="1"/>
        <v>_Neo_1700_Stand_07</v>
      </c>
    </row>
    <row r="656" spans="1:3" s="320" customFormat="1" x14ac:dyDescent="0.2">
      <c r="A656" s="320" t="s">
        <v>5399</v>
      </c>
      <c r="B656" s="320" t="s">
        <v>3182</v>
      </c>
      <c r="C656" s="320" t="str">
        <f t="shared" si="1"/>
        <v>_Neo_1700_Stand_08</v>
      </c>
    </row>
    <row r="657" spans="1:3" s="320" customFormat="1" x14ac:dyDescent="0.2">
      <c r="A657" s="320" t="s">
        <v>5400</v>
      </c>
      <c r="B657" s="320" t="s">
        <v>3183</v>
      </c>
      <c r="C657" s="320" t="str">
        <f t="shared" si="1"/>
        <v>_Neo_1700_Stand_09</v>
      </c>
    </row>
    <row r="658" spans="1:3" s="320" customFormat="1" x14ac:dyDescent="0.2">
      <c r="A658" s="320" t="s">
        <v>5401</v>
      </c>
      <c r="B658" s="320" t="s">
        <v>3172</v>
      </c>
      <c r="C658" s="320" t="str">
        <f t="shared" si="1"/>
        <v>_Neo_1700_Stand_10</v>
      </c>
    </row>
    <row r="659" spans="1:3" s="320" customFormat="1" x14ac:dyDescent="0.2">
      <c r="A659" s="320" t="s">
        <v>5402</v>
      </c>
      <c r="B659" s="320" t="s">
        <v>3173</v>
      </c>
      <c r="C659" s="320" t="str">
        <f t="shared" si="1"/>
        <v>_Neo_1700_Stand_11</v>
      </c>
    </row>
    <row r="660" spans="1:3" s="320" customFormat="1" x14ac:dyDescent="0.2">
      <c r="A660" s="320" t="s">
        <v>5403</v>
      </c>
      <c r="B660" s="320" t="s">
        <v>3174</v>
      </c>
      <c r="C660" s="320" t="str">
        <f t="shared" si="1"/>
        <v>_Neo_1700_Stand_12</v>
      </c>
    </row>
    <row r="661" spans="1:3" s="320" customFormat="1" x14ac:dyDescent="0.2">
      <c r="A661" s="320" t="s">
        <v>5404</v>
      </c>
      <c r="B661" s="320" t="s">
        <v>5312</v>
      </c>
      <c r="C661" s="320" t="str">
        <f t="shared" si="1"/>
        <v>_Neo_1700_Sterkte_1</v>
      </c>
    </row>
    <row r="662" spans="1:3" s="320" customFormat="1" x14ac:dyDescent="0.2">
      <c r="A662" s="320" t="s">
        <v>5405</v>
      </c>
      <c r="B662" s="320" t="s">
        <v>5313</v>
      </c>
      <c r="C662" s="320" t="str">
        <f t="shared" si="1"/>
        <v>_Neo_1700_Sterkte_2</v>
      </c>
    </row>
    <row r="663" spans="1:3" s="320" customFormat="1" x14ac:dyDescent="0.2">
      <c r="A663" s="320" t="s">
        <v>5406</v>
      </c>
      <c r="B663" s="320" t="s">
        <v>5314</v>
      </c>
      <c r="C663" s="320" t="str">
        <f t="shared" si="1"/>
        <v>_Neo_1700_Sterkte_3</v>
      </c>
    </row>
    <row r="664" spans="1:3" s="320" customFormat="1" x14ac:dyDescent="0.2">
      <c r="A664" s="320" t="s">
        <v>5407</v>
      </c>
      <c r="B664" s="320" t="s">
        <v>5315</v>
      </c>
      <c r="C664" s="320" t="str">
        <f t="shared" si="1"/>
        <v>_Neo_1700_Sterkte_4</v>
      </c>
    </row>
    <row r="665" spans="1:3" s="320" customFormat="1" x14ac:dyDescent="0.2">
      <c r="A665" s="320" t="s">
        <v>5408</v>
      </c>
      <c r="B665" s="320" t="s">
        <v>5316</v>
      </c>
      <c r="C665" s="320" t="str">
        <f t="shared" si="1"/>
        <v>_Neo_1700_Sterkte_5</v>
      </c>
    </row>
    <row r="666" spans="1:3" s="320" customFormat="1" x14ac:dyDescent="0.2">
      <c r="A666" s="320" t="s">
        <v>5409</v>
      </c>
      <c r="B666" s="320" t="s">
        <v>5317</v>
      </c>
      <c r="C666" s="320" t="str">
        <f t="shared" si="1"/>
        <v>_Neo_1700_Sterkte_6</v>
      </c>
    </row>
    <row r="667" spans="1:3" s="320" customFormat="1" x14ac:dyDescent="0.2">
      <c r="A667" s="320" t="s">
        <v>5410</v>
      </c>
      <c r="B667" s="320" t="s">
        <v>5318</v>
      </c>
      <c r="C667" s="320" t="str">
        <f t="shared" si="1"/>
        <v>_Neo_1700_Sterkte_7</v>
      </c>
    </row>
    <row r="668" spans="1:3" s="320" customFormat="1" x14ac:dyDescent="0.2">
      <c r="A668" s="320" t="s">
        <v>5411</v>
      </c>
      <c r="B668" s="320" t="s">
        <v>5319</v>
      </c>
      <c r="C668" s="320" t="str">
        <f t="shared" si="1"/>
        <v>_Neo_1700_Sterkte_8</v>
      </c>
    </row>
    <row r="669" spans="1:3" s="320" customFormat="1" x14ac:dyDescent="0.2">
      <c r="A669" s="320" t="s">
        <v>5412</v>
      </c>
      <c r="B669" s="320" t="s">
        <v>5320</v>
      </c>
      <c r="C669" s="320" t="str">
        <f t="shared" si="1"/>
        <v>_Neo_1700_Sterkte_9</v>
      </c>
    </row>
    <row r="670" spans="1:3" s="320" customFormat="1" x14ac:dyDescent="0.2">
      <c r="A670" s="320" t="s">
        <v>5413</v>
      </c>
      <c r="B670" s="320" t="s">
        <v>3194</v>
      </c>
      <c r="C670" s="320" t="str">
        <f t="shared" si="1"/>
        <v>_Neo_1700_Supervisor</v>
      </c>
    </row>
    <row r="671" spans="1:3" s="320" customFormat="1" x14ac:dyDescent="0.2">
      <c r="A671" s="320" t="s">
        <v>5414</v>
      </c>
      <c r="B671" s="320" t="s">
        <v>3204</v>
      </c>
      <c r="C671" s="320" t="str">
        <f t="shared" si="1"/>
        <v>_Neo_1700_Toevoeging_0</v>
      </c>
    </row>
    <row r="672" spans="1:3" s="320" customFormat="1" x14ac:dyDescent="0.2">
      <c r="A672" s="320" t="s">
        <v>5415</v>
      </c>
      <c r="B672" s="320" t="s">
        <v>3205</v>
      </c>
      <c r="C672" s="320" t="str">
        <f t="shared" si="1"/>
        <v>_Neo_1700_Toevoeging_1</v>
      </c>
    </row>
    <row r="673" spans="1:3" s="320" customFormat="1" x14ac:dyDescent="0.2">
      <c r="A673" s="320" t="s">
        <v>5416</v>
      </c>
      <c r="B673" s="320" t="s">
        <v>3206</v>
      </c>
      <c r="C673" s="320" t="str">
        <f t="shared" si="1"/>
        <v>_Neo_1700_Toevoeging_2</v>
      </c>
    </row>
    <row r="674" spans="1:3" s="320" customFormat="1" x14ac:dyDescent="0.2">
      <c r="A674" s="320" t="s">
        <v>5417</v>
      </c>
      <c r="B674" s="320" t="s">
        <v>3207</v>
      </c>
      <c r="C674" s="320" t="str">
        <f t="shared" si="1"/>
        <v>_Neo_1700_Toevoeging_3</v>
      </c>
    </row>
    <row r="675" spans="1:3" s="320" customFormat="1" x14ac:dyDescent="0.2">
      <c r="A675" s="320" t="s">
        <v>5418</v>
      </c>
      <c r="B675" s="320" t="s">
        <v>3208</v>
      </c>
      <c r="C675" s="320" t="str">
        <f t="shared" si="1"/>
        <v>_Neo_1700_Toevoeging_4</v>
      </c>
    </row>
    <row r="676" spans="1:3" s="320" customFormat="1" x14ac:dyDescent="0.2">
      <c r="A676" s="320" t="s">
        <v>5419</v>
      </c>
      <c r="B676" s="320" t="s">
        <v>3209</v>
      </c>
      <c r="C676" s="320" t="str">
        <f t="shared" si="1"/>
        <v>_Neo_1700_Toevoeging_5</v>
      </c>
    </row>
    <row r="677" spans="1:3" s="320" customFormat="1" x14ac:dyDescent="0.2">
      <c r="A677" s="320" t="s">
        <v>5420</v>
      </c>
      <c r="B677" s="320" t="s">
        <v>3210</v>
      </c>
      <c r="C677" s="320" t="str">
        <f t="shared" si="1"/>
        <v>_Neo_1700_Toevoeging_6</v>
      </c>
    </row>
    <row r="678" spans="1:3" s="320" customFormat="1" x14ac:dyDescent="0.2">
      <c r="A678" s="320" t="s">
        <v>5421</v>
      </c>
      <c r="B678" s="320" t="s">
        <v>3211</v>
      </c>
      <c r="C678" s="320" t="str">
        <f t="shared" si="1"/>
        <v>_Neo_1700_Toevoeging_7</v>
      </c>
    </row>
    <row r="679" spans="1:3" s="320" customFormat="1" x14ac:dyDescent="0.2">
      <c r="A679" s="320" t="s">
        <v>5422</v>
      </c>
      <c r="B679" s="320" t="s">
        <v>3212</v>
      </c>
      <c r="C679" s="320" t="str">
        <f t="shared" si="1"/>
        <v>_Neo_1700_Toevoeging_8</v>
      </c>
    </row>
    <row r="680" spans="1:3" s="320" customFormat="1" x14ac:dyDescent="0.2">
      <c r="A680" s="320" t="s">
        <v>5423</v>
      </c>
      <c r="B680" s="320" t="s">
        <v>5321</v>
      </c>
      <c r="C680" s="320" t="str">
        <f t="shared" si="1"/>
        <v>_Neo_1700_TPNCaCl2</v>
      </c>
    </row>
    <row r="681" spans="1:3" s="320" customFormat="1" x14ac:dyDescent="0.2">
      <c r="A681" s="320" t="s">
        <v>5424</v>
      </c>
      <c r="B681" s="320" t="s">
        <v>5322</v>
      </c>
      <c r="C681" s="320" t="str">
        <f t="shared" si="1"/>
        <v>_Neo_1700_TPNNacl</v>
      </c>
    </row>
    <row r="682" spans="1:3" s="320" customFormat="1" x14ac:dyDescent="0.2">
      <c r="A682" s="320" t="s">
        <v>5425</v>
      </c>
      <c r="B682" s="320" t="s">
        <v>3006</v>
      </c>
      <c r="C682" s="320" t="str">
        <f t="shared" si="1"/>
        <v>_Neo_1700_VochtExtra_01</v>
      </c>
    </row>
    <row r="683" spans="1:3" s="320" customFormat="1" x14ac:dyDescent="0.2">
      <c r="A683" s="320" t="s">
        <v>5426</v>
      </c>
      <c r="B683" s="320" t="s">
        <v>3007</v>
      </c>
      <c r="C683" s="320" t="str">
        <f t="shared" si="1"/>
        <v>_Neo_1700_VochtExtra_02</v>
      </c>
    </row>
    <row r="684" spans="1:3" s="320" customFormat="1" x14ac:dyDescent="0.2">
      <c r="A684" s="320" t="s">
        <v>5427</v>
      </c>
      <c r="B684" s="320" t="s">
        <v>3012</v>
      </c>
      <c r="C684" s="320" t="str">
        <f t="shared" si="1"/>
        <v>_Neo_1700_VochtExtra_03</v>
      </c>
    </row>
    <row r="685" spans="1:3" s="320" customFormat="1" x14ac:dyDescent="0.2">
      <c r="A685" s="320" t="s">
        <v>5428</v>
      </c>
      <c r="B685" s="320" t="s">
        <v>3013</v>
      </c>
      <c r="C685" s="320" t="str">
        <f t="shared" si="1"/>
        <v>_Neo_1700_VochtExtra_04</v>
      </c>
    </row>
    <row r="686" spans="1:3" s="320" customFormat="1" x14ac:dyDescent="0.2">
      <c r="A686" s="320" t="s">
        <v>5429</v>
      </c>
      <c r="B686" s="320" t="s">
        <v>3014</v>
      </c>
      <c r="C686" s="320" t="str">
        <f t="shared" si="1"/>
        <v>_Neo_1700_VochtExtra_05</v>
      </c>
    </row>
    <row r="687" spans="1:3" s="320" customFormat="1" x14ac:dyDescent="0.2">
      <c r="A687" s="320" t="s">
        <v>5430</v>
      </c>
      <c r="B687" s="320" t="s">
        <v>3015</v>
      </c>
      <c r="C687" s="320" t="str">
        <f t="shared" si="1"/>
        <v>_Neo_1700_VochtExtra_06</v>
      </c>
    </row>
    <row r="688" spans="1:3" s="320" customFormat="1" x14ac:dyDescent="0.2">
      <c r="A688" s="320" t="s">
        <v>5431</v>
      </c>
      <c r="B688" s="320" t="s">
        <v>3016</v>
      </c>
      <c r="C688" s="320" t="str">
        <f t="shared" si="1"/>
        <v>_Neo_1700_VochtExtra_07</v>
      </c>
    </row>
    <row r="689" spans="1:9" s="320" customFormat="1" x14ac:dyDescent="0.2">
      <c r="A689" s="320" t="s">
        <v>5432</v>
      </c>
      <c r="B689" s="320" t="s">
        <v>3017</v>
      </c>
      <c r="C689" s="320" t="str">
        <f t="shared" si="1"/>
        <v>_Neo_1700_VochtExtra_08</v>
      </c>
    </row>
    <row r="690" spans="1:9" s="320" customFormat="1" x14ac:dyDescent="0.2">
      <c r="A690" s="320" t="s">
        <v>5433</v>
      </c>
      <c r="B690" s="320" t="s">
        <v>3018</v>
      </c>
      <c r="C690" s="320" t="str">
        <f t="shared" si="1"/>
        <v>_Neo_1700_VochtExtra_09</v>
      </c>
    </row>
    <row r="691" spans="1:9" s="320" customFormat="1" x14ac:dyDescent="0.2">
      <c r="A691" s="320" t="s">
        <v>5434</v>
      </c>
      <c r="B691" s="320" t="s">
        <v>3019</v>
      </c>
      <c r="C691" s="320" t="str">
        <f t="shared" si="1"/>
        <v>_Neo_1700_VochtExtra_10</v>
      </c>
    </row>
    <row r="692" spans="1:9" s="320" customFormat="1" x14ac:dyDescent="0.2">
      <c r="A692" s="320" t="s">
        <v>5435</v>
      </c>
      <c r="B692" s="320" t="s">
        <v>3008</v>
      </c>
      <c r="C692" s="320" t="str">
        <f t="shared" si="1"/>
        <v>_Neo_1700_VochtExtra_11</v>
      </c>
    </row>
    <row r="693" spans="1:9" s="320" customFormat="1" x14ac:dyDescent="0.2">
      <c r="A693" s="320" t="s">
        <v>5436</v>
      </c>
      <c r="B693" s="320" t="s">
        <v>3009</v>
      </c>
      <c r="C693" s="320" t="str">
        <f t="shared" si="1"/>
        <v>_Neo_1700_VochtExtra_12</v>
      </c>
    </row>
    <row r="694" spans="1:9" s="320" customFormat="1" x14ac:dyDescent="0.2">
      <c r="A694" s="320" t="s">
        <v>5437</v>
      </c>
      <c r="B694" s="320" t="s">
        <v>3010</v>
      </c>
      <c r="C694" s="320" t="str">
        <f t="shared" si="1"/>
        <v>_Neo_1700_VochtExtra_13</v>
      </c>
    </row>
    <row r="695" spans="1:9" s="320" customFormat="1" x14ac:dyDescent="0.2">
      <c r="A695" s="320" t="s">
        <v>5438</v>
      </c>
      <c r="B695" s="320" t="s">
        <v>3011</v>
      </c>
      <c r="C695" s="320" t="str">
        <f t="shared" si="1"/>
        <v>_Neo_1700_VochtExtra_14</v>
      </c>
    </row>
    <row r="696" spans="1:9" s="320" customFormat="1" x14ac:dyDescent="0.2">
      <c r="A696" s="320" t="s">
        <v>5439</v>
      </c>
      <c r="B696" s="320" t="s">
        <v>3216</v>
      </c>
      <c r="C696" s="320" t="str">
        <f t="shared" si="1"/>
        <v>_Neo_1700_Voeding</v>
      </c>
    </row>
    <row r="697" spans="1:9" x14ac:dyDescent="0.2">
      <c r="A697" t="s">
        <v>1679</v>
      </c>
      <c r="B697" t="s">
        <v>2191</v>
      </c>
      <c r="D697" t="b">
        <f>IFERROR(VLOOKUP(B697,PatData!$A$2:$A$2000,1,),"")&lt;&gt;""</f>
        <v>1</v>
      </c>
      <c r="E697" t="b">
        <v>0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2">
      <c r="A698" t="s">
        <v>1680</v>
      </c>
      <c r="B698" t="s">
        <v>2192</v>
      </c>
      <c r="D698" t="b">
        <f>IFERROR(VLOOKUP(B698,PatData!$A$2:$A$2000,1,),"")&lt;&gt;""</f>
        <v>1</v>
      </c>
      <c r="E698" t="b">
        <v>0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2">
      <c r="A699" t="s">
        <v>1681</v>
      </c>
      <c r="B699" t="s">
        <v>2193</v>
      </c>
      <c r="D699" t="b">
        <f>IFERROR(VLOOKUP(B699,PatData!$A$2:$A$2000,1,),"")&lt;&gt;""</f>
        <v>1</v>
      </c>
      <c r="E699" t="b">
        <v>0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2">
      <c r="A700" t="s">
        <v>1682</v>
      </c>
      <c r="B700" t="s">
        <v>2194</v>
      </c>
      <c r="D700" t="b">
        <f>IFERROR(VLOOKUP(B700,PatData!$A$2:$A$2000,1,),"")&lt;&gt;""</f>
        <v>1</v>
      </c>
      <c r="E700" t="b">
        <v>0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2">
      <c r="A701" t="s">
        <v>1683</v>
      </c>
      <c r="B701" t="s">
        <v>2195</v>
      </c>
      <c r="D701" t="b">
        <f>IFERROR(VLOOKUP(B701,PatData!$A$2:$A$2000,1,),"")&lt;&gt;""</f>
        <v>1</v>
      </c>
      <c r="E701" t="b">
        <v>0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2">
      <c r="A702" t="s">
        <v>1684</v>
      </c>
      <c r="B702" t="s">
        <v>2196</v>
      </c>
      <c r="D702" t="b">
        <f>IFERROR(VLOOKUP(B702,PatData!$A$2:$A$2000,1,),"")&lt;&gt;""</f>
        <v>1</v>
      </c>
      <c r="E702" t="b">
        <v>0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2">
      <c r="A703" t="s">
        <v>1685</v>
      </c>
      <c r="B703" t="s">
        <v>2197</v>
      </c>
      <c r="D703" t="b">
        <f>IFERROR(VLOOKUP(B703,PatData!$A$2:$A$2000,1,),"")&lt;&gt;""</f>
        <v>1</v>
      </c>
      <c r="E703" t="b">
        <v>0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2">
      <c r="A704" t="s">
        <v>1686</v>
      </c>
      <c r="B704" t="s">
        <v>2198</v>
      </c>
      <c r="D704" t="b">
        <f>IFERROR(VLOOKUP(B704,PatData!$A$2:$A$2000,1,),"")&lt;&gt;""</f>
        <v>1</v>
      </c>
      <c r="E704" t="b">
        <v>0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2">
      <c r="A705" t="s">
        <v>1687</v>
      </c>
      <c r="B705" t="s">
        <v>2199</v>
      </c>
      <c r="D705" t="b">
        <f>IFERROR(VLOOKUP(B705,PatData!$A$2:$A$2000,1,),"")&lt;&gt;""</f>
        <v>1</v>
      </c>
      <c r="E705" t="b">
        <v>0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2">
      <c r="A706" t="s">
        <v>1688</v>
      </c>
      <c r="B706" t="s">
        <v>2200</v>
      </c>
      <c r="D706" t="b">
        <f>IFERROR(VLOOKUP(B706,PatData!$A$2:$A$2000,1,),"")&lt;&gt;""</f>
        <v>1</v>
      </c>
      <c r="E706" t="b">
        <v>0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2">
      <c r="A707" t="s">
        <v>1689</v>
      </c>
      <c r="B707" t="s">
        <v>2201</v>
      </c>
      <c r="D707" t="b">
        <f>IFERROR(VLOOKUP(B707,PatData!$A$2:$A$2000,1,),"")&lt;&gt;""</f>
        <v>1</v>
      </c>
      <c r="E707" t="b">
        <v>0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2">
      <c r="A708" t="s">
        <v>1690</v>
      </c>
      <c r="B708" t="s">
        <v>2202</v>
      </c>
      <c r="D708" t="b">
        <f>IFERROR(VLOOKUP(B708,PatData!$A$2:$A$2000,1,),"")&lt;&gt;""</f>
        <v>1</v>
      </c>
      <c r="E708" t="b">
        <v>0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2">
      <c r="A709" t="s">
        <v>1691</v>
      </c>
      <c r="B709" t="s">
        <v>2203</v>
      </c>
      <c r="D709" t="b">
        <f>IFERROR(VLOOKUP(B709,PatData!$A$2:$A$2000,1,),"")&lt;&gt;""</f>
        <v>1</v>
      </c>
      <c r="E709" t="b">
        <v>0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2">
      <c r="A710" t="s">
        <v>1692</v>
      </c>
      <c r="B710" t="s">
        <v>2204</v>
      </c>
      <c r="D710" t="b">
        <f>IFERROR(VLOOKUP(B710,PatData!$A$2:$A$2000,1,),"")&lt;&gt;""</f>
        <v>1</v>
      </c>
      <c r="E710" t="b">
        <v>0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2">
      <c r="A711" t="s">
        <v>1693</v>
      </c>
      <c r="B711" t="s">
        <v>2205</v>
      </c>
      <c r="D711" t="b">
        <f>IFERROR(VLOOKUP(B711,PatData!$A$2:$A$2000,1,),"")&lt;&gt;""</f>
        <v>1</v>
      </c>
      <c r="E711" t="b">
        <v>0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2">
      <c r="A712" t="s">
        <v>1694</v>
      </c>
      <c r="B712" t="s">
        <v>2206</v>
      </c>
      <c r="D712" t="b">
        <f>IFERROR(VLOOKUP(B712,PatData!$A$2:$A$2000,1,),"")&lt;&gt;""</f>
        <v>1</v>
      </c>
      <c r="E712" t="b">
        <v>0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2">
      <c r="A713" t="s">
        <v>1695</v>
      </c>
      <c r="B713" t="s">
        <v>2207</v>
      </c>
      <c r="D713" t="b">
        <f>IFERROR(VLOOKUP(B713,PatData!$A$2:$A$2000,1,),"")&lt;&gt;""</f>
        <v>1</v>
      </c>
      <c r="E713" t="b">
        <v>0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2">
      <c r="A714" t="s">
        <v>1696</v>
      </c>
      <c r="B714" t="s">
        <v>2208</v>
      </c>
      <c r="D714" t="b">
        <f>IFERROR(VLOOKUP(B714,PatData!$A$2:$A$2000,1,),"")&lt;&gt;""</f>
        <v>1</v>
      </c>
      <c r="E714" t="b">
        <v>0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2">
      <c r="A715" t="s">
        <v>1697</v>
      </c>
      <c r="B715" t="s">
        <v>2209</v>
      </c>
      <c r="D715" t="b">
        <f>IFERROR(VLOOKUP(B715,PatData!$A$2:$A$2000,1,),"")&lt;&gt;""</f>
        <v>1</v>
      </c>
      <c r="E715" t="b">
        <v>0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2">
      <c r="A716" t="s">
        <v>1698</v>
      </c>
      <c r="B716" t="s">
        <v>2210</v>
      </c>
      <c r="D716" t="b">
        <f>IFERROR(VLOOKUP(B716,PatData!$A$2:$A$2000,1,),"")&lt;&gt;""</f>
        <v>1</v>
      </c>
      <c r="E716" t="b">
        <v>0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2">
      <c r="A717" t="s">
        <v>1699</v>
      </c>
      <c r="B717" t="s">
        <v>2211</v>
      </c>
      <c r="D717" t="b">
        <f>IFERROR(VLOOKUP(B717,PatData!$A$2:$A$2000,1,),"")&lt;&gt;""</f>
        <v>1</v>
      </c>
      <c r="E717" t="b">
        <v>0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2">
      <c r="A718" t="s">
        <v>1700</v>
      </c>
      <c r="B718" t="s">
        <v>2212</v>
      </c>
      <c r="D718" t="b">
        <f>IFERROR(VLOOKUP(B718,PatData!$A$2:$A$2000,1,),"")&lt;&gt;""</f>
        <v>1</v>
      </c>
      <c r="E718" t="b">
        <v>0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2">
      <c r="A719" t="s">
        <v>1701</v>
      </c>
      <c r="B719" t="s">
        <v>2213</v>
      </c>
      <c r="D719" t="b">
        <f>IFERROR(VLOOKUP(B719,PatData!$A$2:$A$2000,1,),"")&lt;&gt;""</f>
        <v>1</v>
      </c>
      <c r="E719" t="b">
        <v>0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2">
      <c r="A720" t="s">
        <v>1702</v>
      </c>
      <c r="B720" t="s">
        <v>2214</v>
      </c>
      <c r="D720" t="b">
        <f>IFERROR(VLOOKUP(B720,PatData!$A$2:$A$2000,1,),"")&lt;&gt;""</f>
        <v>1</v>
      </c>
      <c r="E720" t="b">
        <v>0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2">
      <c r="A721" t="s">
        <v>1703</v>
      </c>
      <c r="B721" t="s">
        <v>2215</v>
      </c>
      <c r="D721" t="b">
        <f>IFERROR(VLOOKUP(B721,PatData!$A$2:$A$2000,1,),"")&lt;&gt;""</f>
        <v>1</v>
      </c>
      <c r="E721" t="b">
        <v>0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2">
      <c r="A722" t="s">
        <v>1704</v>
      </c>
      <c r="B722" t="s">
        <v>2216</v>
      </c>
      <c r="D722" t="b">
        <f>IFERROR(VLOOKUP(B722,PatData!$A$2:$A$2000,1,),"")&lt;&gt;""</f>
        <v>1</v>
      </c>
      <c r="E722" t="b">
        <v>0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2">
      <c r="A723" t="s">
        <v>1705</v>
      </c>
      <c r="B723" t="s">
        <v>2217</v>
      </c>
      <c r="D723" t="b">
        <f>IFERROR(VLOOKUP(B723,PatData!$A$2:$A$2000,1,),"")&lt;&gt;""</f>
        <v>1</v>
      </c>
      <c r="E723" t="b">
        <v>0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2">
      <c r="A724" t="s">
        <v>1706</v>
      </c>
      <c r="B724" t="s">
        <v>2218</v>
      </c>
      <c r="D724" t="b">
        <f>IFERROR(VLOOKUP(B724,PatData!$A$2:$A$2000,1,),"")&lt;&gt;""</f>
        <v>1</v>
      </c>
      <c r="E724" t="b">
        <v>0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2">
      <c r="A725" t="s">
        <v>1707</v>
      </c>
      <c r="B725" t="s">
        <v>2219</v>
      </c>
      <c r="D725" t="b">
        <f>IFERROR(VLOOKUP(B725,PatData!$A$2:$A$2000,1,),"")&lt;&gt;""</f>
        <v>1</v>
      </c>
      <c r="E725" t="b">
        <v>0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2">
      <c r="A726" t="s">
        <v>1708</v>
      </c>
      <c r="B726" t="s">
        <v>2220</v>
      </c>
      <c r="D726" t="b">
        <f>IFERROR(VLOOKUP(B726,PatData!$A$2:$A$2000,1,),"")&lt;&gt;""</f>
        <v>1</v>
      </c>
      <c r="E726" t="b">
        <v>0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2">
      <c r="A727" t="s">
        <v>1709</v>
      </c>
      <c r="B727" t="s">
        <v>2221</v>
      </c>
      <c r="D727" t="b">
        <f>IFERROR(VLOOKUP(B727,PatData!$A$2:$A$2000,1,),"")&lt;&gt;""</f>
        <v>1</v>
      </c>
      <c r="E727" t="b">
        <v>0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2">
      <c r="A728" t="s">
        <v>1710</v>
      </c>
      <c r="B728" t="s">
        <v>2222</v>
      </c>
      <c r="D728" t="b">
        <f>IFERROR(VLOOKUP(B728,PatData!$A$2:$A$2000,1,),"")&lt;&gt;""</f>
        <v>1</v>
      </c>
      <c r="E728" t="b">
        <v>0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2">
      <c r="A729" t="s">
        <v>1711</v>
      </c>
      <c r="B729" t="s">
        <v>2223</v>
      </c>
      <c r="D729" t="b">
        <f>IFERROR(VLOOKUP(B729,PatData!$A$2:$A$2000,1,),"")&lt;&gt;""</f>
        <v>1</v>
      </c>
      <c r="E729" t="b">
        <v>0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2">
      <c r="A730" t="s">
        <v>1712</v>
      </c>
      <c r="B730" t="s">
        <v>2224</v>
      </c>
      <c r="D730" t="b">
        <f>IFERROR(VLOOKUP(B730,PatData!$A$2:$A$2000,1,),"")&lt;&gt;""</f>
        <v>1</v>
      </c>
      <c r="E730" t="b">
        <v>0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2">
      <c r="A731" t="s">
        <v>1713</v>
      </c>
      <c r="B731" t="s">
        <v>2225</v>
      </c>
      <c r="D731" t="b">
        <f>IFERROR(VLOOKUP(B731,PatData!$A$2:$A$2000,1,),"")&lt;&gt;""</f>
        <v>1</v>
      </c>
      <c r="E731" t="b">
        <v>0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2">
      <c r="A732" t="s">
        <v>1714</v>
      </c>
      <c r="B732" t="s">
        <v>2226</v>
      </c>
      <c r="D732" t="b">
        <f>IFERROR(VLOOKUP(B732,PatData!$A$2:$A$2000,1,),"")&lt;&gt;""</f>
        <v>1</v>
      </c>
      <c r="E732" t="b">
        <v>0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2">
      <c r="A733" t="s">
        <v>1715</v>
      </c>
      <c r="B733" t="s">
        <v>2227</v>
      </c>
      <c r="D733" t="b">
        <f>IFERROR(VLOOKUP(B733,PatData!$A$2:$A$2000,1,),"")&lt;&gt;""</f>
        <v>1</v>
      </c>
      <c r="E733" t="b">
        <v>0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2">
      <c r="A734" t="s">
        <v>1716</v>
      </c>
      <c r="B734" t="s">
        <v>2228</v>
      </c>
      <c r="D734" t="b">
        <f>IFERROR(VLOOKUP(B734,PatData!$A$2:$A$2000,1,),"")&lt;&gt;""</f>
        <v>1</v>
      </c>
      <c r="E734" t="b">
        <v>0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2">
      <c r="A735" t="s">
        <v>1717</v>
      </c>
      <c r="B735" t="s">
        <v>2229</v>
      </c>
      <c r="D735" t="b">
        <f>IFERROR(VLOOKUP(B735,PatData!$A$2:$A$2000,1,),"")&lt;&gt;""</f>
        <v>1</v>
      </c>
      <c r="E735" t="b">
        <v>0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2">
      <c r="A736" t="s">
        <v>1718</v>
      </c>
      <c r="B736" t="s">
        <v>2230</v>
      </c>
      <c r="D736" t="b">
        <f>IFERROR(VLOOKUP(B736,PatData!$A$2:$A$2000,1,),"")&lt;&gt;""</f>
        <v>1</v>
      </c>
      <c r="E736" t="b">
        <v>0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2">
      <c r="A737" t="s">
        <v>1719</v>
      </c>
      <c r="B737" t="s">
        <v>2231</v>
      </c>
      <c r="D737" t="b">
        <f>IFERROR(VLOOKUP(B737,PatData!$A$2:$A$2000,1,),"")&lt;&gt;""</f>
        <v>1</v>
      </c>
      <c r="E737" t="b">
        <v>0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2">
      <c r="A738" t="s">
        <v>1720</v>
      </c>
      <c r="B738" t="s">
        <v>2232</v>
      </c>
      <c r="D738" t="b">
        <f>IFERROR(VLOOKUP(B738,PatData!$A$2:$A$2000,1,),"")&lt;&gt;""</f>
        <v>1</v>
      </c>
      <c r="E738" t="b">
        <v>0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2">
      <c r="A739" t="s">
        <v>1721</v>
      </c>
      <c r="B739" t="s">
        <v>2233</v>
      </c>
      <c r="D739" t="b">
        <f>IFERROR(VLOOKUP(B739,PatData!$A$2:$A$2000,1,),"")&lt;&gt;""</f>
        <v>1</v>
      </c>
      <c r="E739" t="b">
        <v>0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2">
      <c r="A740" t="s">
        <v>1722</v>
      </c>
      <c r="B740" t="s">
        <v>2234</v>
      </c>
      <c r="D740" t="b">
        <f>IFERROR(VLOOKUP(B740,PatData!$A$2:$A$2000,1,),"")&lt;&gt;""</f>
        <v>1</v>
      </c>
      <c r="E740" t="b">
        <v>0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2">
      <c r="A741" t="s">
        <v>1723</v>
      </c>
      <c r="B741" t="s">
        <v>2235</v>
      </c>
      <c r="D741" t="b">
        <f>IFERROR(VLOOKUP(B741,PatData!$A$2:$A$2000,1,),"")&lt;&gt;""</f>
        <v>1</v>
      </c>
      <c r="E741" t="b">
        <v>0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2">
      <c r="A742" t="s">
        <v>1724</v>
      </c>
      <c r="B742" t="s">
        <v>2236</v>
      </c>
      <c r="D742" t="b">
        <f>IFERROR(VLOOKUP(B742,PatData!$A$2:$A$2000,1,),"")&lt;&gt;""</f>
        <v>1</v>
      </c>
      <c r="E742" t="b">
        <v>0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2">
      <c r="A743" t="s">
        <v>1725</v>
      </c>
      <c r="B743" t="s">
        <v>2237</v>
      </c>
      <c r="D743" t="b">
        <f>IFERROR(VLOOKUP(B743,PatData!$A$2:$A$2000,1,),"")&lt;&gt;""</f>
        <v>1</v>
      </c>
      <c r="E743" t="b">
        <v>0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2">
      <c r="A744" t="s">
        <v>1726</v>
      </c>
      <c r="B744" t="s">
        <v>2238</v>
      </c>
      <c r="D744" t="b">
        <f>IFERROR(VLOOKUP(B744,PatData!$A$2:$A$2000,1,),"")&lt;&gt;""</f>
        <v>1</v>
      </c>
      <c r="E744" t="b">
        <v>0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2">
      <c r="A745" t="s">
        <v>1727</v>
      </c>
      <c r="B745" t="s">
        <v>2239</v>
      </c>
      <c r="D745" t="b">
        <f>IFERROR(VLOOKUP(B745,PatData!$A$2:$A$2000,1,),"")&lt;&gt;""</f>
        <v>1</v>
      </c>
      <c r="E745" t="b">
        <v>0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2">
      <c r="A746" t="s">
        <v>1728</v>
      </c>
      <c r="B746" t="s">
        <v>2240</v>
      </c>
      <c r="D746" t="b">
        <f>IFERROR(VLOOKUP(B746,PatData!$A$2:$A$2000,1,),"")&lt;&gt;""</f>
        <v>1</v>
      </c>
      <c r="E746" t="b">
        <v>0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2">
      <c r="A747" t="s">
        <v>1729</v>
      </c>
      <c r="B747" t="s">
        <v>2241</v>
      </c>
      <c r="D747" t="b">
        <f>IFERROR(VLOOKUP(B747,PatData!$A$2:$A$2000,1,),"")&lt;&gt;""</f>
        <v>1</v>
      </c>
      <c r="E747" t="b">
        <v>0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2">
      <c r="A748" t="s">
        <v>1730</v>
      </c>
      <c r="B748" t="s">
        <v>2242</v>
      </c>
      <c r="D748" t="b">
        <f>IFERROR(VLOOKUP(B748,PatData!$A$2:$A$2000,1,),"")&lt;&gt;""</f>
        <v>1</v>
      </c>
      <c r="E748" t="b">
        <v>0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2">
      <c r="A749" t="s">
        <v>1731</v>
      </c>
      <c r="B749" t="s">
        <v>2243</v>
      </c>
      <c r="D749" t="b">
        <f>IFERROR(VLOOKUP(B749,PatData!$A$2:$A$2000,1,),"")&lt;&gt;""</f>
        <v>1</v>
      </c>
      <c r="E749" t="b">
        <v>0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2">
      <c r="A750" t="s">
        <v>1732</v>
      </c>
      <c r="B750" t="s">
        <v>2244</v>
      </c>
      <c r="D750" t="b">
        <f>IFERROR(VLOOKUP(B750,PatData!$A$2:$A$2000,1,),"")&lt;&gt;""</f>
        <v>1</v>
      </c>
      <c r="E750" t="b">
        <v>0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2">
      <c r="A751" t="s">
        <v>1733</v>
      </c>
      <c r="B751" t="s">
        <v>2245</v>
      </c>
      <c r="D751" t="b">
        <f>IFERROR(VLOOKUP(B751,PatData!$A$2:$A$2000,1,),"")&lt;&gt;""</f>
        <v>1</v>
      </c>
      <c r="E751" t="b">
        <v>0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2">
      <c r="A752" t="s">
        <v>1734</v>
      </c>
      <c r="B752" t="s">
        <v>2246</v>
      </c>
      <c r="D752" t="b">
        <f>IFERROR(VLOOKUP(B752,PatData!$A$2:$A$2000,1,),"")&lt;&gt;""</f>
        <v>1</v>
      </c>
      <c r="E752" t="b">
        <v>0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2">
      <c r="A753" t="s">
        <v>1735</v>
      </c>
      <c r="B753" t="s">
        <v>2247</v>
      </c>
      <c r="D753" t="b">
        <f>IFERROR(VLOOKUP(B753,PatData!$A$2:$A$2000,1,),"")&lt;&gt;""</f>
        <v>1</v>
      </c>
      <c r="E753" t="b">
        <v>0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2">
      <c r="A754" t="s">
        <v>1736</v>
      </c>
      <c r="B754" t="s">
        <v>2248</v>
      </c>
      <c r="D754" t="b">
        <f>IFERROR(VLOOKUP(B754,PatData!$A$2:$A$2000,1,),"")&lt;&gt;""</f>
        <v>1</v>
      </c>
      <c r="E754" t="b">
        <v>0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2">
      <c r="A755" t="s">
        <v>1737</v>
      </c>
      <c r="B755" t="s">
        <v>2249</v>
      </c>
      <c r="D755" t="b">
        <f>IFERROR(VLOOKUP(B755,PatData!$A$2:$A$2000,1,),"")&lt;&gt;""</f>
        <v>1</v>
      </c>
      <c r="E755" t="b">
        <v>0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2">
      <c r="A756" t="s">
        <v>1738</v>
      </c>
      <c r="B756" t="s">
        <v>2250</v>
      </c>
      <c r="D756" t="b">
        <f>IFERROR(VLOOKUP(B756,PatData!$A$2:$A$2000,1,),"")&lt;&gt;""</f>
        <v>1</v>
      </c>
      <c r="E756" t="b">
        <v>0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2">
      <c r="A757" t="s">
        <v>1739</v>
      </c>
      <c r="B757" t="s">
        <v>2251</v>
      </c>
      <c r="D757" t="b">
        <f>IFERROR(VLOOKUP(B757,PatData!$A$2:$A$2000,1,),"")&lt;&gt;""</f>
        <v>1</v>
      </c>
      <c r="E757" t="b">
        <v>0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2">
      <c r="A758" t="s">
        <v>1740</v>
      </c>
      <c r="B758" t="s">
        <v>2252</v>
      </c>
      <c r="D758" t="b">
        <f>IFERROR(VLOOKUP(B758,PatData!$A$2:$A$2000,1,),"")&lt;&gt;""</f>
        <v>1</v>
      </c>
      <c r="E758" t="b">
        <v>0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2">
      <c r="A759" t="s">
        <v>1741</v>
      </c>
      <c r="B759" t="s">
        <v>2253</v>
      </c>
      <c r="D759" t="b">
        <f>IFERROR(VLOOKUP(B759,PatData!$A$2:$A$2000,1,),"")&lt;&gt;""</f>
        <v>1</v>
      </c>
      <c r="E759" t="b">
        <v>0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2">
      <c r="A760" t="s">
        <v>1742</v>
      </c>
      <c r="B760" t="s">
        <v>2254</v>
      </c>
      <c r="D760" t="b">
        <f>IFERROR(VLOOKUP(B760,PatData!$A$2:$A$2000,1,),"")&lt;&gt;""</f>
        <v>1</v>
      </c>
      <c r="E760" t="b">
        <v>0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2">
      <c r="A761" t="s">
        <v>1743</v>
      </c>
      <c r="B761" t="s">
        <v>2255</v>
      </c>
      <c r="D761" t="b">
        <f>IFERROR(VLOOKUP(B761,PatData!$A$2:$A$2000,1,),"")&lt;&gt;""</f>
        <v>1</v>
      </c>
      <c r="E761" t="b">
        <v>0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2">
      <c r="A762" t="s">
        <v>1744</v>
      </c>
      <c r="B762" t="s">
        <v>2256</v>
      </c>
      <c r="D762" t="b">
        <f>IFERROR(VLOOKUP(B762,PatData!$A$2:$A$2000,1,),"")&lt;&gt;""</f>
        <v>1</v>
      </c>
      <c r="E762" t="b">
        <v>0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2">
      <c r="A763" t="s">
        <v>1745</v>
      </c>
      <c r="B763" t="s">
        <v>2257</v>
      </c>
      <c r="D763" t="b">
        <f>IFERROR(VLOOKUP(B763,PatData!$A$2:$A$2000,1,),"")&lt;&gt;""</f>
        <v>1</v>
      </c>
      <c r="E763" t="b">
        <v>0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2">
      <c r="A764" t="s">
        <v>1746</v>
      </c>
      <c r="B764" t="s">
        <v>2258</v>
      </c>
      <c r="D764" t="b">
        <f>IFERROR(VLOOKUP(B764,PatData!$A$2:$A$2000,1,),"")&lt;&gt;""</f>
        <v>1</v>
      </c>
      <c r="E764" t="b">
        <v>0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2">
      <c r="A765" t="s">
        <v>1747</v>
      </c>
      <c r="B765" t="s">
        <v>2259</v>
      </c>
      <c r="D765" t="b">
        <f>IFERROR(VLOOKUP(B765,PatData!$A$2:$A$2000,1,),"")&lt;&gt;""</f>
        <v>1</v>
      </c>
      <c r="E765" t="b">
        <v>0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2">
      <c r="A766" t="s">
        <v>1748</v>
      </c>
      <c r="B766" t="s">
        <v>2260</v>
      </c>
      <c r="D766" t="b">
        <f>IFERROR(VLOOKUP(B766,PatData!$A$2:$A$2000,1,),"")&lt;&gt;""</f>
        <v>1</v>
      </c>
      <c r="E766" t="b">
        <v>0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2">
      <c r="A767" t="s">
        <v>1749</v>
      </c>
      <c r="B767" t="s">
        <v>2261</v>
      </c>
      <c r="D767" t="b">
        <f>IFERROR(VLOOKUP(B767,PatData!$A$2:$A$2000,1,),"")&lt;&gt;""</f>
        <v>1</v>
      </c>
      <c r="E767" t="b">
        <v>0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2">
      <c r="A768" t="s">
        <v>1750</v>
      </c>
      <c r="B768" t="s">
        <v>2262</v>
      </c>
      <c r="D768" t="b">
        <f>IFERROR(VLOOKUP(B768,PatData!$A$2:$A$2000,1,),"")&lt;&gt;""</f>
        <v>1</v>
      </c>
      <c r="E768" t="b">
        <v>0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2">
      <c r="A769" t="s">
        <v>1751</v>
      </c>
      <c r="B769" t="s">
        <v>2263</v>
      </c>
      <c r="D769" t="b">
        <f>IFERROR(VLOOKUP(B769,PatData!$A$2:$A$2000,1,),"")&lt;&gt;""</f>
        <v>1</v>
      </c>
      <c r="E769" t="b">
        <v>0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2">
      <c r="A770" t="s">
        <v>1752</v>
      </c>
      <c r="B770" t="s">
        <v>2264</v>
      </c>
      <c r="D770" t="b">
        <f>IFERROR(VLOOKUP(B770,PatData!$A$2:$A$2000,1,),"")&lt;&gt;""</f>
        <v>1</v>
      </c>
      <c r="E770" t="b">
        <v>0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2">
      <c r="A771" t="s">
        <v>1753</v>
      </c>
      <c r="B771" t="s">
        <v>2265</v>
      </c>
      <c r="D771" t="b">
        <f>IFERROR(VLOOKUP(B771,PatData!$A$2:$A$2000,1,),"")&lt;&gt;""</f>
        <v>1</v>
      </c>
      <c r="E771" t="b">
        <v>0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2">
      <c r="A772" t="s">
        <v>1754</v>
      </c>
      <c r="B772" t="s">
        <v>2266</v>
      </c>
      <c r="D772" t="b">
        <f>IFERROR(VLOOKUP(B772,PatData!$A$2:$A$2000,1,),"")&lt;&gt;""</f>
        <v>1</v>
      </c>
      <c r="E772" t="b">
        <v>0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2">
      <c r="A773" t="s">
        <v>1755</v>
      </c>
      <c r="B773" t="s">
        <v>2267</v>
      </c>
      <c r="D773" t="b">
        <f>IFERROR(VLOOKUP(B773,PatData!$A$2:$A$2000,1,),"")&lt;&gt;""</f>
        <v>1</v>
      </c>
      <c r="E773" t="b">
        <v>0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2">
      <c r="A774" t="s">
        <v>1756</v>
      </c>
      <c r="B774" t="s">
        <v>2268</v>
      </c>
      <c r="D774" t="b">
        <f>IFERROR(VLOOKUP(B774,PatData!$A$2:$A$2000,1,),"")&lt;&gt;""</f>
        <v>1</v>
      </c>
      <c r="E774" t="b">
        <v>0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2">
      <c r="A775" t="s">
        <v>1757</v>
      </c>
      <c r="B775" t="s">
        <v>2269</v>
      </c>
      <c r="D775" t="b">
        <f>IFERROR(VLOOKUP(B775,PatData!$A$2:$A$2000,1,),"")&lt;&gt;""</f>
        <v>1</v>
      </c>
      <c r="E775" t="b">
        <v>0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2">
      <c r="A776" t="s">
        <v>1758</v>
      </c>
      <c r="B776" t="s">
        <v>2270</v>
      </c>
      <c r="D776" t="b">
        <f>IFERROR(VLOOKUP(B776,PatData!$A$2:$A$2000,1,),"")&lt;&gt;""</f>
        <v>1</v>
      </c>
      <c r="E776" t="b">
        <v>0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2">
      <c r="A777" t="s">
        <v>1759</v>
      </c>
      <c r="B777" t="s">
        <v>2271</v>
      </c>
      <c r="D777" t="b">
        <f>IFERROR(VLOOKUP(B777,PatData!$A$2:$A$2000,1,),"")&lt;&gt;""</f>
        <v>1</v>
      </c>
      <c r="E777" t="b">
        <v>0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2">
      <c r="A778" t="s">
        <v>1760</v>
      </c>
      <c r="B778" t="s">
        <v>2272</v>
      </c>
      <c r="D778" t="b">
        <f>IFERROR(VLOOKUP(B778,PatData!$A$2:$A$2000,1,),"")&lt;&gt;""</f>
        <v>1</v>
      </c>
      <c r="E778" t="b">
        <v>0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2">
      <c r="A779" t="s">
        <v>1761</v>
      </c>
      <c r="B779" t="s">
        <v>2273</v>
      </c>
      <c r="D779" t="b">
        <f>IFERROR(VLOOKUP(B779,PatData!$A$2:$A$2000,1,),"")&lt;&gt;""</f>
        <v>1</v>
      </c>
      <c r="E779" t="b">
        <v>0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2">
      <c r="A780" t="s">
        <v>1762</v>
      </c>
      <c r="B780" t="s">
        <v>2274</v>
      </c>
      <c r="D780" t="b">
        <f>IFERROR(VLOOKUP(B780,PatData!$A$2:$A$2000,1,),"")&lt;&gt;""</f>
        <v>1</v>
      </c>
      <c r="E780" t="b">
        <v>0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2">
      <c r="A781" t="s">
        <v>1763</v>
      </c>
      <c r="B781" t="s">
        <v>2275</v>
      </c>
      <c r="D781" t="b">
        <f>IFERROR(VLOOKUP(B781,PatData!$A$2:$A$2000,1,),"")&lt;&gt;""</f>
        <v>1</v>
      </c>
      <c r="E781" t="b">
        <v>0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2">
      <c r="A782" t="s">
        <v>1764</v>
      </c>
      <c r="B782" t="s">
        <v>2276</v>
      </c>
      <c r="D782" t="b">
        <f>IFERROR(VLOOKUP(B782,PatData!$A$2:$A$2000,1,),"")&lt;&gt;""</f>
        <v>1</v>
      </c>
      <c r="E782" t="b">
        <v>0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2">
      <c r="A783" t="s">
        <v>1678</v>
      </c>
      <c r="B783" t="s">
        <v>2190</v>
      </c>
      <c r="D783" t="b">
        <f>IFERROR(VLOOKUP(B783,PatData!$A$2:$A$2000,1,),"")&lt;&gt;""</f>
        <v>1</v>
      </c>
      <c r="E783" t="b">
        <v>0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2">
      <c r="A784" t="s">
        <v>1765</v>
      </c>
      <c r="B784" t="s">
        <v>2277</v>
      </c>
      <c r="D784" t="b">
        <f>IFERROR(VLOOKUP(B784,PatData!$A$2:$A$2000,1,),"")&lt;&gt;""</f>
        <v>1</v>
      </c>
      <c r="E784" t="b">
        <v>0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2">
      <c r="A785" t="s">
        <v>1766</v>
      </c>
      <c r="B785" t="s">
        <v>2278</v>
      </c>
      <c r="D785" t="b">
        <f>IFERROR(VLOOKUP(B785,PatData!$A$2:$A$2000,1,),"")&lt;&gt;""</f>
        <v>1</v>
      </c>
      <c r="E785" t="b">
        <v>0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2">
      <c r="A786" t="s">
        <v>1767</v>
      </c>
      <c r="B786" t="s">
        <v>2279</v>
      </c>
      <c r="D786" t="b">
        <f>IFERROR(VLOOKUP(B786,PatData!$A$2:$A$2000,1,),"")&lt;&gt;""</f>
        <v>1</v>
      </c>
      <c r="E786">
        <v>0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2">
      <c r="A787" t="s">
        <v>1768</v>
      </c>
      <c r="B787" t="s">
        <v>2280</v>
      </c>
      <c r="D787" t="b">
        <f>IFERROR(VLOOKUP(B787,PatData!$A$2:$A$2000,1,),"")&lt;&gt;""</f>
        <v>1</v>
      </c>
      <c r="E787">
        <v>1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2">
      <c r="A788" t="s">
        <v>1769</v>
      </c>
      <c r="B788" t="s">
        <v>2281</v>
      </c>
      <c r="D788" t="b">
        <f>IFERROR(VLOOKUP(B788,PatData!$A$2:$A$2000,1,),"")&lt;&gt;""</f>
        <v>1</v>
      </c>
      <c r="E788">
        <v>0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2">
      <c r="A789" t="s">
        <v>1770</v>
      </c>
      <c r="B789" t="s">
        <v>2282</v>
      </c>
      <c r="D789" t="b">
        <f>IFERROR(VLOOKUP(B789,PatData!$A$2:$A$2000,1,),"")&lt;&gt;""</f>
        <v>1</v>
      </c>
      <c r="E789">
        <v>1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2">
      <c r="A790" t="s">
        <v>1771</v>
      </c>
      <c r="B790" t="s">
        <v>2283</v>
      </c>
      <c r="D790" t="b">
        <f>IFERROR(VLOOKUP(B790,PatData!$A$2:$A$2000,1,),"")&lt;&gt;""</f>
        <v>1</v>
      </c>
      <c r="E790">
        <v>0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2">
      <c r="A791" t="s">
        <v>1772</v>
      </c>
      <c r="B791" t="s">
        <v>2284</v>
      </c>
      <c r="D791" t="b">
        <f>IFERROR(VLOOKUP(B791,PatData!$A$2:$A$2000,1,),"")&lt;&gt;""</f>
        <v>1</v>
      </c>
      <c r="E791">
        <v>1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2">
      <c r="A792" t="s">
        <v>1773</v>
      </c>
      <c r="B792" t="s">
        <v>2285</v>
      </c>
      <c r="D792" t="b">
        <f>IFERROR(VLOOKUP(B792,PatData!$A$2:$A$2000,1,),"")&lt;&gt;""</f>
        <v>1</v>
      </c>
      <c r="E792">
        <v>0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2">
      <c r="A793" t="s">
        <v>1774</v>
      </c>
      <c r="B793" t="s">
        <v>2286</v>
      </c>
      <c r="D793" t="b">
        <f>IFERROR(VLOOKUP(B793,PatData!$A$2:$A$2000,1,),"")&lt;&gt;""</f>
        <v>1</v>
      </c>
      <c r="E793">
        <v>1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2">
      <c r="A794" t="s">
        <v>1775</v>
      </c>
      <c r="B794" t="s">
        <v>2287</v>
      </c>
      <c r="D794" t="b">
        <f>IFERROR(VLOOKUP(B794,PatData!$A$2:$A$2000,1,),"")&lt;&gt;""</f>
        <v>1</v>
      </c>
      <c r="E794">
        <v>0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2">
      <c r="A795" t="s">
        <v>1776</v>
      </c>
      <c r="B795" t="s">
        <v>2288</v>
      </c>
      <c r="D795" t="b">
        <f>IFERROR(VLOOKUP(B795,PatData!$A$2:$A$2000,1,),"")&lt;&gt;""</f>
        <v>1</v>
      </c>
      <c r="E795">
        <v>0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2">
      <c r="A796" t="s">
        <v>1777</v>
      </c>
      <c r="B796" t="s">
        <v>2289</v>
      </c>
      <c r="D796" t="b">
        <f>IFERROR(VLOOKUP(B796,PatData!$A$2:$A$2000,1,),"")&lt;&gt;""</f>
        <v>1</v>
      </c>
      <c r="E796">
        <v>0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2">
      <c r="A797" t="s">
        <v>1778</v>
      </c>
      <c r="B797" t="s">
        <v>2290</v>
      </c>
      <c r="D797" t="b">
        <f>IFERROR(VLOOKUP(B797,PatData!$A$2:$A$2000,1,),"")&lt;&gt;""</f>
        <v>1</v>
      </c>
      <c r="E797">
        <v>0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2">
      <c r="A798" t="s">
        <v>1779</v>
      </c>
      <c r="B798" t="s">
        <v>2291</v>
      </c>
      <c r="D798" t="b">
        <f>IFERROR(VLOOKUP(B798,PatData!$A$2:$A$2000,1,),"")&lt;&gt;""</f>
        <v>1</v>
      </c>
      <c r="E798">
        <v>1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2">
      <c r="A799" t="s">
        <v>1780</v>
      </c>
      <c r="B799" t="s">
        <v>2292</v>
      </c>
      <c r="D799" t="b">
        <f>IFERROR(VLOOKUP(B799,PatData!$A$2:$A$2000,1,),"")&lt;&gt;""</f>
        <v>1</v>
      </c>
      <c r="E799">
        <v>1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2">
      <c r="A800" t="s">
        <v>1781</v>
      </c>
      <c r="B800" t="s">
        <v>2293</v>
      </c>
      <c r="D800" t="b">
        <f>IFERROR(VLOOKUP(B800,PatData!$A$2:$A$2000,1,),"")&lt;&gt;""</f>
        <v>1</v>
      </c>
      <c r="E800">
        <v>1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2">
      <c r="A801" t="s">
        <v>1782</v>
      </c>
      <c r="B801" t="s">
        <v>2294</v>
      </c>
      <c r="D801" t="b">
        <f>IFERROR(VLOOKUP(B801,PatData!$A$2:$A$2000,1,),"")&lt;&gt;""</f>
        <v>1</v>
      </c>
      <c r="E801">
        <v>1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2">
      <c r="A802" t="s">
        <v>1783</v>
      </c>
      <c r="B802" t="s">
        <v>2295</v>
      </c>
      <c r="D802" t="b">
        <f>IFERROR(VLOOKUP(B802,PatData!$A$2:$A$2000,1,),"")&lt;&gt;""</f>
        <v>1</v>
      </c>
      <c r="E802">
        <v>1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2">
      <c r="A803" t="s">
        <v>1784</v>
      </c>
      <c r="B803" t="s">
        <v>2296</v>
      </c>
      <c r="D803" t="b">
        <f>IFERROR(VLOOKUP(B803,PatData!$A$2:$A$2000,1,),"")&lt;&gt;""</f>
        <v>1</v>
      </c>
      <c r="E803">
        <v>1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2">
      <c r="A804" t="s">
        <v>1785</v>
      </c>
      <c r="B804" t="s">
        <v>2297</v>
      </c>
      <c r="D804" t="b">
        <f>IFERROR(VLOOKUP(B804,PatData!$A$2:$A$2000,1,),"")&lt;&gt;""</f>
        <v>1</v>
      </c>
      <c r="E804">
        <v>1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2">
      <c r="A805" t="s">
        <v>1786</v>
      </c>
      <c r="B805" t="s">
        <v>2298</v>
      </c>
      <c r="D805" t="b">
        <f>IFERROR(VLOOKUP(B805,PatData!$A$2:$A$2000,1,),"")&lt;&gt;""</f>
        <v>1</v>
      </c>
      <c r="E805">
        <v>1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2">
      <c r="A806" t="s">
        <v>1787</v>
      </c>
      <c r="B806" t="s">
        <v>2299</v>
      </c>
      <c r="D806" t="b">
        <f>IFERROR(VLOOKUP(B806,PatData!$A$2:$A$2000,1,),"")&lt;&gt;""</f>
        <v>1</v>
      </c>
      <c r="E806">
        <v>1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2">
      <c r="A807" t="s">
        <v>1788</v>
      </c>
      <c r="B807" t="s">
        <v>2300</v>
      </c>
      <c r="D807" t="b">
        <f>IFERROR(VLOOKUP(B807,PatData!$A$2:$A$2000,1,),"")&lt;&gt;""</f>
        <v>1</v>
      </c>
      <c r="E807">
        <v>1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2">
      <c r="A808" t="s">
        <v>1789</v>
      </c>
      <c r="B808" t="s">
        <v>2301</v>
      </c>
      <c r="D808" t="b">
        <f>IFERROR(VLOOKUP(B808,PatData!$A$2:$A$2000,1,),"")&lt;&gt;""</f>
        <v>1</v>
      </c>
      <c r="E808">
        <v>0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2">
      <c r="A809" t="s">
        <v>1284</v>
      </c>
      <c r="B809" t="s">
        <v>2302</v>
      </c>
      <c r="D809" t="b">
        <f>IFERROR(VLOOKUP(B809,PatData!$A$2:$A$2000,1,),"")&lt;&gt;""</f>
        <v>1</v>
      </c>
      <c r="E809">
        <v>50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2">
      <c r="A810" t="s">
        <v>1678</v>
      </c>
      <c r="B810" t="s">
        <v>2303</v>
      </c>
      <c r="D810" t="b">
        <f>IFERROR(VLOOKUP(B810,PatData!$A$2:$A$2000,1,),"")&lt;&gt;""</f>
        <v>1</v>
      </c>
      <c r="E810" t="b">
        <v>0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2">
      <c r="A811" t="s">
        <v>1284</v>
      </c>
      <c r="B811" t="s">
        <v>2178</v>
      </c>
      <c r="D811" t="b">
        <f>IFERROR(VLOOKUP(B811,PatData!$A$2:$A$2000,1,),"")&lt;&gt;""</f>
        <v>1</v>
      </c>
      <c r="E811">
        <v>50</v>
      </c>
      <c r="F811" t="b">
        <v>0</v>
      </c>
      <c r="G811" t="b">
        <v>1</v>
      </c>
      <c r="H811" t="b">
        <v>1</v>
      </c>
      <c r="I811" t="b">
        <v>0</v>
      </c>
    </row>
    <row r="812" spans="1:9" s="320" customFormat="1" x14ac:dyDescent="0.2">
      <c r="A812" s="320" t="s">
        <v>5440</v>
      </c>
      <c r="B812" s="320" t="s">
        <v>3020</v>
      </c>
      <c r="C812" s="320" t="str">
        <f>B812</f>
        <v>_Neo_InfB_ArtLijn</v>
      </c>
    </row>
    <row r="813" spans="1:9" s="320" customFormat="1" x14ac:dyDescent="0.2">
      <c r="A813" s="320" t="s">
        <v>5441</v>
      </c>
      <c r="B813" s="320" t="s">
        <v>3022</v>
      </c>
      <c r="C813" s="320" t="str">
        <f t="shared" ref="C813:C876" si="2">B813</f>
        <v>_Neo_InfB_Arts</v>
      </c>
    </row>
    <row r="814" spans="1:9" s="320" customFormat="1" x14ac:dyDescent="0.2">
      <c r="A814" s="320" t="s">
        <v>5442</v>
      </c>
      <c r="B814" s="320" t="s">
        <v>3024</v>
      </c>
      <c r="C814" s="320" t="str">
        <f t="shared" si="2"/>
        <v>_Neo_InfB_DagKeuze</v>
      </c>
    </row>
    <row r="815" spans="1:9" s="320" customFormat="1" x14ac:dyDescent="0.2">
      <c r="A815" s="320" t="s">
        <v>5443</v>
      </c>
      <c r="B815" s="320" t="s">
        <v>3027</v>
      </c>
      <c r="C815" s="320" t="str">
        <f t="shared" si="2"/>
        <v>_Neo_InfB_Fototherapie</v>
      </c>
    </row>
    <row r="816" spans="1:9" s="320" customFormat="1" x14ac:dyDescent="0.2">
      <c r="A816" s="320" t="s">
        <v>5444</v>
      </c>
      <c r="B816" s="320" t="s">
        <v>3029</v>
      </c>
      <c r="C816" s="320" t="str">
        <f t="shared" si="2"/>
        <v>_Neo_InfB_Frequentie_1</v>
      </c>
    </row>
    <row r="817" spans="1:3" s="320" customFormat="1" x14ac:dyDescent="0.2">
      <c r="A817" s="320" t="s">
        <v>5445</v>
      </c>
      <c r="B817" s="320" t="s">
        <v>3030</v>
      </c>
      <c r="C817" s="320" t="str">
        <f t="shared" si="2"/>
        <v>_Neo_InfB_Frequentie_2</v>
      </c>
    </row>
    <row r="818" spans="1:3" s="320" customFormat="1" x14ac:dyDescent="0.2">
      <c r="A818" s="320" t="s">
        <v>5446</v>
      </c>
      <c r="B818" s="320" t="s">
        <v>3033</v>
      </c>
      <c r="C818" s="320" t="str">
        <f t="shared" si="2"/>
        <v>_Neo_InfB_GlucSterkte</v>
      </c>
    </row>
    <row r="819" spans="1:3" s="320" customFormat="1" x14ac:dyDescent="0.2">
      <c r="A819" s="320" t="s">
        <v>5447</v>
      </c>
      <c r="B819" s="320" t="s">
        <v>3035</v>
      </c>
      <c r="C819" s="320" t="str">
        <f t="shared" si="2"/>
        <v>_Neo_InfB_Hoeveelheid_1</v>
      </c>
    </row>
    <row r="820" spans="1:3" s="320" customFormat="1" x14ac:dyDescent="0.2">
      <c r="A820" s="320" t="s">
        <v>5448</v>
      </c>
      <c r="B820" s="320" t="s">
        <v>3036</v>
      </c>
      <c r="C820" s="320" t="str">
        <f t="shared" si="2"/>
        <v>_Neo_InfB_Hoeveelheid_2</v>
      </c>
    </row>
    <row r="821" spans="1:3" s="320" customFormat="1" x14ac:dyDescent="0.2">
      <c r="A821" s="320" t="s">
        <v>5449</v>
      </c>
      <c r="B821" s="320" t="s">
        <v>3039</v>
      </c>
      <c r="C821" s="320" t="str">
        <f t="shared" si="2"/>
        <v>_Neo_InfB_IntakePerKg</v>
      </c>
    </row>
    <row r="822" spans="1:3" s="320" customFormat="1" x14ac:dyDescent="0.2">
      <c r="A822" s="320" t="s">
        <v>5450</v>
      </c>
      <c r="B822" s="320" t="s">
        <v>3041</v>
      </c>
      <c r="C822" s="320" t="str">
        <f t="shared" si="2"/>
        <v>_Neo_InfB_IntraLipid</v>
      </c>
    </row>
    <row r="823" spans="1:3" s="320" customFormat="1" x14ac:dyDescent="0.2">
      <c r="A823" s="320" t="s">
        <v>5451</v>
      </c>
      <c r="B823" s="320" t="s">
        <v>3154</v>
      </c>
      <c r="C823" s="320" t="str">
        <f t="shared" si="2"/>
        <v>_Neo_InfB_IntralipidSmof</v>
      </c>
    </row>
    <row r="824" spans="1:3" s="320" customFormat="1" x14ac:dyDescent="0.2">
      <c r="A824" s="320" t="s">
        <v>5452</v>
      </c>
      <c r="B824" s="320" t="s">
        <v>3043</v>
      </c>
      <c r="C824" s="320" t="str">
        <f t="shared" si="2"/>
        <v>_Neo_InfB_KCl</v>
      </c>
    </row>
    <row r="825" spans="1:3" s="320" customFormat="1" x14ac:dyDescent="0.2">
      <c r="A825" s="320" t="s">
        <v>5453</v>
      </c>
      <c r="B825" s="320" t="s">
        <v>3045</v>
      </c>
      <c r="C825" s="320" t="str">
        <f t="shared" si="2"/>
        <v>_Neo_InfB_Medicament_1</v>
      </c>
    </row>
    <row r="826" spans="1:3" s="320" customFormat="1" x14ac:dyDescent="0.2">
      <c r="A826" s="320" t="s">
        <v>5454</v>
      </c>
      <c r="B826" s="320" t="s">
        <v>3046</v>
      </c>
      <c r="C826" s="320" t="str">
        <f t="shared" si="2"/>
        <v>_Neo_InfB_Medicament_2</v>
      </c>
    </row>
    <row r="827" spans="1:3" s="320" customFormat="1" x14ac:dyDescent="0.2">
      <c r="A827" s="320" t="s">
        <v>5455</v>
      </c>
      <c r="B827" s="320" t="s">
        <v>3047</v>
      </c>
      <c r="C827" s="320" t="str">
        <f t="shared" si="2"/>
        <v>_Neo_InfB_Medicament_3</v>
      </c>
    </row>
    <row r="828" spans="1:3" s="320" customFormat="1" x14ac:dyDescent="0.2">
      <c r="A828" s="320" t="s">
        <v>5456</v>
      </c>
      <c r="B828" s="320" t="s">
        <v>3048</v>
      </c>
      <c r="C828" s="320" t="str">
        <f t="shared" si="2"/>
        <v>_Neo_InfB_Medicament_4</v>
      </c>
    </row>
    <row r="829" spans="1:3" s="320" customFormat="1" x14ac:dyDescent="0.2">
      <c r="A829" s="320" t="s">
        <v>5457</v>
      </c>
      <c r="B829" s="320" t="s">
        <v>3049</v>
      </c>
      <c r="C829" s="320" t="str">
        <f t="shared" si="2"/>
        <v>_Neo_InfB_Medicament_5</v>
      </c>
    </row>
    <row r="830" spans="1:3" s="320" customFormat="1" x14ac:dyDescent="0.2">
      <c r="A830" s="320" t="s">
        <v>5458</v>
      </c>
      <c r="B830" s="320" t="s">
        <v>3050</v>
      </c>
      <c r="C830" s="320" t="str">
        <f t="shared" si="2"/>
        <v>_Neo_InfB_Medicament_6</v>
      </c>
    </row>
    <row r="831" spans="1:3" s="320" customFormat="1" x14ac:dyDescent="0.2">
      <c r="A831" s="320" t="s">
        <v>5459</v>
      </c>
      <c r="B831" s="320" t="s">
        <v>3051</v>
      </c>
      <c r="C831" s="320" t="str">
        <f t="shared" si="2"/>
        <v>_Neo_InfB_Medicament_7</v>
      </c>
    </row>
    <row r="832" spans="1:3" s="320" customFormat="1" x14ac:dyDescent="0.2">
      <c r="A832" s="320" t="s">
        <v>5460</v>
      </c>
      <c r="B832" s="320" t="s">
        <v>3052</v>
      </c>
      <c r="C832" s="320" t="str">
        <f t="shared" si="2"/>
        <v>_Neo_InfB_Medicament_8</v>
      </c>
    </row>
    <row r="833" spans="1:3" s="320" customFormat="1" x14ac:dyDescent="0.2">
      <c r="A833" s="320" t="s">
        <v>5461</v>
      </c>
      <c r="B833" s="320" t="s">
        <v>3053</v>
      </c>
      <c r="C833" s="320" t="str">
        <f t="shared" si="2"/>
        <v>_Neo_InfB_Medicament_9</v>
      </c>
    </row>
    <row r="834" spans="1:3" s="320" customFormat="1" x14ac:dyDescent="0.2">
      <c r="A834" s="320" t="s">
        <v>5462</v>
      </c>
      <c r="B834" s="320" t="s">
        <v>3063</v>
      </c>
      <c r="C834" s="320" t="str">
        <f t="shared" si="2"/>
        <v>_Neo_InfB_MedSterkte_1</v>
      </c>
    </row>
    <row r="835" spans="1:3" s="320" customFormat="1" x14ac:dyDescent="0.2">
      <c r="A835" s="320" t="s">
        <v>5463</v>
      </c>
      <c r="B835" s="320" t="s">
        <v>3064</v>
      </c>
      <c r="C835" s="320" t="str">
        <f t="shared" si="2"/>
        <v>_Neo_InfB_MedSterkte_2</v>
      </c>
    </row>
    <row r="836" spans="1:3" s="320" customFormat="1" x14ac:dyDescent="0.2">
      <c r="A836" s="320" t="s">
        <v>5464</v>
      </c>
      <c r="B836" s="320" t="s">
        <v>3065</v>
      </c>
      <c r="C836" s="320" t="str">
        <f t="shared" si="2"/>
        <v>_Neo_InfB_MedSterkte_3</v>
      </c>
    </row>
    <row r="837" spans="1:3" s="320" customFormat="1" x14ac:dyDescent="0.2">
      <c r="A837" s="320" t="s">
        <v>5465</v>
      </c>
      <c r="B837" s="320" t="s">
        <v>3066</v>
      </c>
      <c r="C837" s="320" t="str">
        <f t="shared" si="2"/>
        <v>_Neo_InfB_MedSterkte_4</v>
      </c>
    </row>
    <row r="838" spans="1:3" s="320" customFormat="1" x14ac:dyDescent="0.2">
      <c r="A838" s="320" t="s">
        <v>5466</v>
      </c>
      <c r="B838" s="320" t="s">
        <v>3067</v>
      </c>
      <c r="C838" s="320" t="str">
        <f t="shared" si="2"/>
        <v>_Neo_InfB_MedSterkte_5</v>
      </c>
    </row>
    <row r="839" spans="1:3" s="320" customFormat="1" x14ac:dyDescent="0.2">
      <c r="A839" s="320" t="s">
        <v>5467</v>
      </c>
      <c r="B839" s="320" t="s">
        <v>3068</v>
      </c>
      <c r="C839" s="320" t="str">
        <f t="shared" si="2"/>
        <v>_Neo_InfB_MedSterkte_6</v>
      </c>
    </row>
    <row r="840" spans="1:3" s="320" customFormat="1" x14ac:dyDescent="0.2">
      <c r="A840" s="320" t="s">
        <v>5468</v>
      </c>
      <c r="B840" s="320" t="s">
        <v>3069</v>
      </c>
      <c r="C840" s="320" t="str">
        <f t="shared" si="2"/>
        <v>_Neo_InfB_MedSterkte_7</v>
      </c>
    </row>
    <row r="841" spans="1:3" s="320" customFormat="1" x14ac:dyDescent="0.2">
      <c r="A841" s="320" t="s">
        <v>5469</v>
      </c>
      <c r="B841" s="320" t="s">
        <v>3070</v>
      </c>
      <c r="C841" s="320" t="str">
        <f t="shared" si="2"/>
        <v>_Neo_InfB_MedSterkte_8</v>
      </c>
    </row>
    <row r="842" spans="1:3" s="320" customFormat="1" x14ac:dyDescent="0.2">
      <c r="A842" s="320" t="s">
        <v>5470</v>
      </c>
      <c r="B842" s="320" t="s">
        <v>3071</v>
      </c>
      <c r="C842" s="320" t="str">
        <f t="shared" si="2"/>
        <v>_Neo_InfB_MedSterkte_9</v>
      </c>
    </row>
    <row r="843" spans="1:3" s="320" customFormat="1" x14ac:dyDescent="0.2">
      <c r="A843" s="320" t="s">
        <v>5471</v>
      </c>
      <c r="B843" s="320" t="s">
        <v>3081</v>
      </c>
      <c r="C843" s="320" t="str">
        <f t="shared" si="2"/>
        <v>_Neo_InfB_MedTekst_1</v>
      </c>
    </row>
    <row r="844" spans="1:3" s="320" customFormat="1" x14ac:dyDescent="0.2">
      <c r="A844" s="320" t="s">
        <v>5472</v>
      </c>
      <c r="B844" s="320" t="s">
        <v>3082</v>
      </c>
      <c r="C844" s="320" t="str">
        <f t="shared" si="2"/>
        <v>_Neo_InfB_MedTekst_2</v>
      </c>
    </row>
    <row r="845" spans="1:3" s="320" customFormat="1" x14ac:dyDescent="0.2">
      <c r="A845" s="320" t="s">
        <v>5473</v>
      </c>
      <c r="B845" s="320" t="s">
        <v>3085</v>
      </c>
      <c r="C845" s="320" t="str">
        <f t="shared" si="2"/>
        <v>_Neo_InfB_MgCl2</v>
      </c>
    </row>
    <row r="846" spans="1:3" s="320" customFormat="1" x14ac:dyDescent="0.2">
      <c r="A846" s="320" t="s">
        <v>5474</v>
      </c>
      <c r="B846" s="320" t="s">
        <v>3088</v>
      </c>
      <c r="C846" s="320" t="str">
        <f t="shared" si="2"/>
        <v>_Neo_InfB_NICUMix</v>
      </c>
    </row>
    <row r="847" spans="1:3" s="320" customFormat="1" x14ac:dyDescent="0.2">
      <c r="A847" s="320" t="s">
        <v>5475</v>
      </c>
      <c r="B847" s="320" t="s">
        <v>3090</v>
      </c>
      <c r="C847" s="320" t="str">
        <f t="shared" si="2"/>
        <v>_Neo_InfB_OplHoev_1</v>
      </c>
    </row>
    <row r="848" spans="1:3" s="320" customFormat="1" x14ac:dyDescent="0.2">
      <c r="A848" s="320" t="s">
        <v>5476</v>
      </c>
      <c r="B848" s="320" t="s">
        <v>3091</v>
      </c>
      <c r="C848" s="320" t="str">
        <f t="shared" si="2"/>
        <v>_Neo_InfB_OplHoev_2</v>
      </c>
    </row>
    <row r="849" spans="1:3" s="320" customFormat="1" x14ac:dyDescent="0.2">
      <c r="A849" s="320" t="s">
        <v>5477</v>
      </c>
      <c r="B849" s="320" t="s">
        <v>3092</v>
      </c>
      <c r="C849" s="320" t="str">
        <f t="shared" si="2"/>
        <v>_Neo_InfB_OplHoev_3</v>
      </c>
    </row>
    <row r="850" spans="1:3" s="320" customFormat="1" x14ac:dyDescent="0.2">
      <c r="A850" s="320" t="s">
        <v>5478</v>
      </c>
      <c r="B850" s="320" t="s">
        <v>3093</v>
      </c>
      <c r="C850" s="320" t="str">
        <f t="shared" si="2"/>
        <v>_Neo_InfB_OplHoev_4</v>
      </c>
    </row>
    <row r="851" spans="1:3" s="320" customFormat="1" x14ac:dyDescent="0.2">
      <c r="A851" s="320" t="s">
        <v>5479</v>
      </c>
      <c r="B851" s="320" t="s">
        <v>3094</v>
      </c>
      <c r="C851" s="320" t="str">
        <f t="shared" si="2"/>
        <v>_Neo_InfB_OplHoev_5</v>
      </c>
    </row>
    <row r="852" spans="1:3" s="320" customFormat="1" x14ac:dyDescent="0.2">
      <c r="A852" s="320" t="s">
        <v>5480</v>
      </c>
      <c r="B852" s="320" t="s">
        <v>3095</v>
      </c>
      <c r="C852" s="320" t="str">
        <f t="shared" si="2"/>
        <v>_Neo_InfB_OplHoev_6</v>
      </c>
    </row>
    <row r="853" spans="1:3" s="320" customFormat="1" x14ac:dyDescent="0.2">
      <c r="A853" s="320" t="s">
        <v>5481</v>
      </c>
      <c r="B853" s="320" t="s">
        <v>3096</v>
      </c>
      <c r="C853" s="320" t="str">
        <f t="shared" si="2"/>
        <v>_Neo_InfB_OplHoev_7</v>
      </c>
    </row>
    <row r="854" spans="1:3" s="320" customFormat="1" x14ac:dyDescent="0.2">
      <c r="A854" s="320" t="s">
        <v>5482</v>
      </c>
      <c r="B854" s="320" t="s">
        <v>3097</v>
      </c>
      <c r="C854" s="320" t="str">
        <f t="shared" si="2"/>
        <v>_Neo_InfB_OplHoev_8</v>
      </c>
    </row>
    <row r="855" spans="1:3" s="320" customFormat="1" x14ac:dyDescent="0.2">
      <c r="A855" s="320" t="s">
        <v>5483</v>
      </c>
      <c r="B855" s="320" t="s">
        <v>3098</v>
      </c>
      <c r="C855" s="320" t="str">
        <f t="shared" si="2"/>
        <v>_Neo_InfB_OplHoev_9</v>
      </c>
    </row>
    <row r="856" spans="1:3" s="320" customFormat="1" x14ac:dyDescent="0.2">
      <c r="A856" s="320" t="s">
        <v>5484</v>
      </c>
      <c r="B856" s="320" t="s">
        <v>3111</v>
      </c>
      <c r="C856" s="320" t="str">
        <f t="shared" si="2"/>
        <v>_Neo_InfB_Oplossing_01</v>
      </c>
    </row>
    <row r="857" spans="1:3" s="320" customFormat="1" x14ac:dyDescent="0.2">
      <c r="A857" s="320" t="s">
        <v>5485</v>
      </c>
      <c r="B857" s="320" t="s">
        <v>3112</v>
      </c>
      <c r="C857" s="320" t="str">
        <f t="shared" si="2"/>
        <v>_Neo_InfB_Oplossing_02</v>
      </c>
    </row>
    <row r="858" spans="1:3" s="320" customFormat="1" x14ac:dyDescent="0.2">
      <c r="A858" s="320" t="s">
        <v>5486</v>
      </c>
      <c r="B858" s="320" t="s">
        <v>3113</v>
      </c>
      <c r="C858" s="320" t="str">
        <f t="shared" si="2"/>
        <v>_Neo_InfB_Oplossing_03</v>
      </c>
    </row>
    <row r="859" spans="1:3" s="320" customFormat="1" x14ac:dyDescent="0.2">
      <c r="A859" s="320" t="s">
        <v>5487</v>
      </c>
      <c r="B859" s="320" t="s">
        <v>3114</v>
      </c>
      <c r="C859" s="320" t="str">
        <f t="shared" si="2"/>
        <v>_Neo_InfB_Oplossing_04</v>
      </c>
    </row>
    <row r="860" spans="1:3" s="320" customFormat="1" x14ac:dyDescent="0.2">
      <c r="A860" s="320" t="s">
        <v>5488</v>
      </c>
      <c r="B860" s="320" t="s">
        <v>3115</v>
      </c>
      <c r="C860" s="320" t="str">
        <f t="shared" si="2"/>
        <v>_Neo_InfB_Oplossing_05</v>
      </c>
    </row>
    <row r="861" spans="1:3" s="320" customFormat="1" x14ac:dyDescent="0.2">
      <c r="A861" s="320" t="s">
        <v>5489</v>
      </c>
      <c r="B861" s="320" t="s">
        <v>3116</v>
      </c>
      <c r="C861" s="320" t="str">
        <f t="shared" si="2"/>
        <v>_Neo_InfB_Oplossing_06</v>
      </c>
    </row>
    <row r="862" spans="1:3" s="320" customFormat="1" x14ac:dyDescent="0.2">
      <c r="A862" s="320" t="s">
        <v>5490</v>
      </c>
      <c r="B862" s="320" t="s">
        <v>3117</v>
      </c>
      <c r="C862" s="320" t="str">
        <f t="shared" si="2"/>
        <v>_Neo_InfB_Oplossing_07</v>
      </c>
    </row>
    <row r="863" spans="1:3" s="320" customFormat="1" x14ac:dyDescent="0.2">
      <c r="A863" s="320" t="s">
        <v>5491</v>
      </c>
      <c r="B863" s="320" t="s">
        <v>3118</v>
      </c>
      <c r="C863" s="320" t="str">
        <f t="shared" si="2"/>
        <v>_Neo_InfB_Oplossing_08</v>
      </c>
    </row>
    <row r="864" spans="1:3" s="320" customFormat="1" x14ac:dyDescent="0.2">
      <c r="A864" s="320" t="s">
        <v>5492</v>
      </c>
      <c r="B864" s="320" t="s">
        <v>3119</v>
      </c>
      <c r="C864" s="320" t="str">
        <f t="shared" si="2"/>
        <v>_Neo_InfB_Oplossing_09</v>
      </c>
    </row>
    <row r="865" spans="1:3" s="320" customFormat="1" x14ac:dyDescent="0.2">
      <c r="A865" s="320" t="s">
        <v>5493</v>
      </c>
      <c r="B865" s="320" t="s">
        <v>3108</v>
      </c>
      <c r="C865" s="320" t="str">
        <f t="shared" si="2"/>
        <v>_Neo_InfB_Oplossing_10</v>
      </c>
    </row>
    <row r="866" spans="1:3" s="320" customFormat="1" x14ac:dyDescent="0.2">
      <c r="A866" s="320" t="s">
        <v>5494</v>
      </c>
      <c r="B866" s="320" t="s">
        <v>3109</v>
      </c>
      <c r="C866" s="320" t="str">
        <f t="shared" si="2"/>
        <v>_Neo_InfB_Oplossing_11</v>
      </c>
    </row>
    <row r="867" spans="1:3" s="320" customFormat="1" x14ac:dyDescent="0.2">
      <c r="A867" s="320" t="s">
        <v>5495</v>
      </c>
      <c r="B867" s="320" t="s">
        <v>3110</v>
      </c>
      <c r="C867" s="320" t="str">
        <f t="shared" si="2"/>
        <v>_Neo_InfB_Oplossing_12</v>
      </c>
    </row>
    <row r="868" spans="1:3" s="320" customFormat="1" x14ac:dyDescent="0.2">
      <c r="A868" s="320" t="s">
        <v>5496</v>
      </c>
      <c r="B868" s="320" t="s">
        <v>3132</v>
      </c>
      <c r="C868" s="320" t="str">
        <f t="shared" si="2"/>
        <v>_Neo_InfB_Parenteraal</v>
      </c>
    </row>
    <row r="869" spans="1:3" s="320" customFormat="1" x14ac:dyDescent="0.2">
      <c r="A869" s="320" t="s">
        <v>5497</v>
      </c>
      <c r="B869" s="320" t="s">
        <v>3134</v>
      </c>
      <c r="C869" s="320" t="str">
        <f t="shared" si="2"/>
        <v>_Neo_InfB_PercentageKeuze_0</v>
      </c>
    </row>
    <row r="870" spans="1:3" s="320" customFormat="1" x14ac:dyDescent="0.2">
      <c r="A870" s="320" t="s">
        <v>5498</v>
      </c>
      <c r="B870" s="320" t="s">
        <v>3135</v>
      </c>
      <c r="C870" s="320" t="str">
        <f t="shared" si="2"/>
        <v>_Neo_InfB_PercentageKeuze_1</v>
      </c>
    </row>
    <row r="871" spans="1:3" s="320" customFormat="1" x14ac:dyDescent="0.2">
      <c r="A871" s="320" t="s">
        <v>5499</v>
      </c>
      <c r="B871" s="320" t="s">
        <v>3136</v>
      </c>
      <c r="C871" s="320" t="str">
        <f t="shared" si="2"/>
        <v>_Neo_InfB_PercentageKeuze_2</v>
      </c>
    </row>
    <row r="872" spans="1:3" s="320" customFormat="1" x14ac:dyDescent="0.2">
      <c r="A872" s="320" t="s">
        <v>5500</v>
      </c>
      <c r="B872" s="320" t="s">
        <v>3137</v>
      </c>
      <c r="C872" s="320" t="str">
        <f t="shared" si="2"/>
        <v>_Neo_InfB_PercentageKeuze_3</v>
      </c>
    </row>
    <row r="873" spans="1:3" s="320" customFormat="1" x14ac:dyDescent="0.2">
      <c r="A873" s="320" t="s">
        <v>5501</v>
      </c>
      <c r="B873" s="320" t="s">
        <v>3138</v>
      </c>
      <c r="C873" s="320" t="str">
        <f t="shared" si="2"/>
        <v>_Neo_InfB_PercentageKeuze_4</v>
      </c>
    </row>
    <row r="874" spans="1:3" s="320" customFormat="1" x14ac:dyDescent="0.2">
      <c r="A874" s="320" t="s">
        <v>5502</v>
      </c>
      <c r="B874" s="320" t="s">
        <v>3139</v>
      </c>
      <c r="C874" s="320" t="str">
        <f t="shared" si="2"/>
        <v>_Neo_InfB_PercentageKeuze_5</v>
      </c>
    </row>
    <row r="875" spans="1:3" s="320" customFormat="1" x14ac:dyDescent="0.2">
      <c r="A875" s="320" t="s">
        <v>5503</v>
      </c>
      <c r="B875" s="320" t="s">
        <v>3140</v>
      </c>
      <c r="C875" s="320" t="str">
        <f t="shared" si="2"/>
        <v>_Neo_InfB_PercentageKeuze_6</v>
      </c>
    </row>
    <row r="876" spans="1:3" s="320" customFormat="1" x14ac:dyDescent="0.2">
      <c r="A876" s="320" t="s">
        <v>5504</v>
      </c>
      <c r="B876" s="320" t="s">
        <v>3141</v>
      </c>
      <c r="C876" s="320" t="str">
        <f t="shared" si="2"/>
        <v>_Neo_InfB_PercentageKeuze_7</v>
      </c>
    </row>
    <row r="877" spans="1:3" s="320" customFormat="1" x14ac:dyDescent="0.2">
      <c r="A877" s="320" t="s">
        <v>5505</v>
      </c>
      <c r="B877" s="320" t="s">
        <v>3142</v>
      </c>
      <c r="C877" s="320" t="str">
        <f t="shared" ref="C877:C928" si="3">B877</f>
        <v>_Neo_InfB_PercentageKeuze_8</v>
      </c>
    </row>
    <row r="878" spans="1:3" s="320" customFormat="1" x14ac:dyDescent="0.2">
      <c r="A878" s="320" t="s">
        <v>5506</v>
      </c>
      <c r="B878" s="320" t="s">
        <v>3152</v>
      </c>
      <c r="C878" s="320" t="str">
        <f t="shared" si="3"/>
        <v>_Neo_InfB_Primene</v>
      </c>
    </row>
    <row r="879" spans="1:3" s="320" customFormat="1" x14ac:dyDescent="0.2">
      <c r="A879" s="320" t="s">
        <v>5507</v>
      </c>
      <c r="B879" s="320" t="s">
        <v>3156</v>
      </c>
      <c r="C879" s="320" t="str">
        <f t="shared" si="3"/>
        <v>_Neo_InfB_SoluVit</v>
      </c>
    </row>
    <row r="880" spans="1:3" s="320" customFormat="1" x14ac:dyDescent="0.2">
      <c r="A880" s="320" t="s">
        <v>5508</v>
      </c>
      <c r="B880" s="320" t="s">
        <v>3158</v>
      </c>
      <c r="C880" s="320" t="str">
        <f t="shared" si="3"/>
        <v>_Neo_InfB_SSTB</v>
      </c>
    </row>
    <row r="881" spans="1:3" s="320" customFormat="1" x14ac:dyDescent="0.2">
      <c r="A881" s="320" t="s">
        <v>5509</v>
      </c>
      <c r="B881" s="320" t="s">
        <v>3163</v>
      </c>
      <c r="C881" s="320" t="str">
        <f t="shared" si="3"/>
        <v>_Neo_InfB_Stand_01</v>
      </c>
    </row>
    <row r="882" spans="1:3" s="320" customFormat="1" x14ac:dyDescent="0.2">
      <c r="A882" s="320" t="s">
        <v>5510</v>
      </c>
      <c r="B882" s="320" t="s">
        <v>3164</v>
      </c>
      <c r="C882" s="320" t="str">
        <f t="shared" si="3"/>
        <v>_Neo_InfB_Stand_02</v>
      </c>
    </row>
    <row r="883" spans="1:3" s="320" customFormat="1" x14ac:dyDescent="0.2">
      <c r="A883" s="320" t="s">
        <v>5511</v>
      </c>
      <c r="B883" s="320" t="s">
        <v>3165</v>
      </c>
      <c r="C883" s="320" t="str">
        <f t="shared" si="3"/>
        <v>_Neo_InfB_Stand_03</v>
      </c>
    </row>
    <row r="884" spans="1:3" s="320" customFormat="1" x14ac:dyDescent="0.2">
      <c r="A884" s="320" t="s">
        <v>5512</v>
      </c>
      <c r="B884" s="320" t="s">
        <v>3166</v>
      </c>
      <c r="C884" s="320" t="str">
        <f t="shared" si="3"/>
        <v>_Neo_InfB_Stand_04</v>
      </c>
    </row>
    <row r="885" spans="1:3" s="320" customFormat="1" x14ac:dyDescent="0.2">
      <c r="A885" s="320" t="s">
        <v>5513</v>
      </c>
      <c r="B885" s="320" t="s">
        <v>3167</v>
      </c>
      <c r="C885" s="320" t="str">
        <f t="shared" si="3"/>
        <v>_Neo_InfB_Stand_05</v>
      </c>
    </row>
    <row r="886" spans="1:3" s="320" customFormat="1" x14ac:dyDescent="0.2">
      <c r="A886" s="320" t="s">
        <v>5514</v>
      </c>
      <c r="B886" s="320" t="s">
        <v>3168</v>
      </c>
      <c r="C886" s="320" t="str">
        <f t="shared" si="3"/>
        <v>_Neo_InfB_Stand_06</v>
      </c>
    </row>
    <row r="887" spans="1:3" s="320" customFormat="1" x14ac:dyDescent="0.2">
      <c r="A887" s="320" t="s">
        <v>5515</v>
      </c>
      <c r="B887" s="320" t="s">
        <v>3169</v>
      </c>
      <c r="C887" s="320" t="str">
        <f t="shared" si="3"/>
        <v>_Neo_InfB_Stand_07</v>
      </c>
    </row>
    <row r="888" spans="1:3" s="320" customFormat="1" x14ac:dyDescent="0.2">
      <c r="A888" s="320" t="s">
        <v>5516</v>
      </c>
      <c r="B888" s="320" t="s">
        <v>3170</v>
      </c>
      <c r="C888" s="320" t="str">
        <f t="shared" si="3"/>
        <v>_Neo_InfB_Stand_08</v>
      </c>
    </row>
    <row r="889" spans="1:3" s="320" customFormat="1" x14ac:dyDescent="0.2">
      <c r="A889" s="320" t="s">
        <v>5517</v>
      </c>
      <c r="B889" s="320" t="s">
        <v>3171</v>
      </c>
      <c r="C889" s="320" t="str">
        <f t="shared" si="3"/>
        <v>_Neo_InfB_Stand_09</v>
      </c>
    </row>
    <row r="890" spans="1:3" s="320" customFormat="1" x14ac:dyDescent="0.2">
      <c r="A890" s="320" t="s">
        <v>5518</v>
      </c>
      <c r="B890" s="320" t="s">
        <v>3160</v>
      </c>
      <c r="C890" s="320" t="str">
        <f t="shared" si="3"/>
        <v>_Neo_InfB_Stand_10</v>
      </c>
    </row>
    <row r="891" spans="1:3" s="320" customFormat="1" x14ac:dyDescent="0.2">
      <c r="A891" s="320" t="s">
        <v>5519</v>
      </c>
      <c r="B891" s="320" t="s">
        <v>3161</v>
      </c>
      <c r="C891" s="320" t="str">
        <f t="shared" si="3"/>
        <v>_Neo_InfB_Stand_11</v>
      </c>
    </row>
    <row r="892" spans="1:3" s="320" customFormat="1" x14ac:dyDescent="0.2">
      <c r="A892" s="320" t="s">
        <v>5520</v>
      </c>
      <c r="B892" s="320" t="s">
        <v>3162</v>
      </c>
      <c r="C892" s="320" t="str">
        <f t="shared" si="3"/>
        <v>_Neo_InfB_Stand_12</v>
      </c>
    </row>
    <row r="893" spans="1:3" s="320" customFormat="1" x14ac:dyDescent="0.2">
      <c r="A893" s="320" t="s">
        <v>5521</v>
      </c>
      <c r="B893" s="320" t="s">
        <v>3184</v>
      </c>
      <c r="C893" s="320" t="str">
        <f t="shared" si="3"/>
        <v>_Neo_InfB_Sterkte_1</v>
      </c>
    </row>
    <row r="894" spans="1:3" s="320" customFormat="1" x14ac:dyDescent="0.2">
      <c r="A894" s="320" t="s">
        <v>5522</v>
      </c>
      <c r="B894" s="320" t="s">
        <v>3185</v>
      </c>
      <c r="C894" s="320" t="str">
        <f t="shared" si="3"/>
        <v>_Neo_InfB_Sterkte_2</v>
      </c>
    </row>
    <row r="895" spans="1:3" s="320" customFormat="1" x14ac:dyDescent="0.2">
      <c r="A895" s="320" t="s">
        <v>5523</v>
      </c>
      <c r="B895" s="320" t="s">
        <v>3186</v>
      </c>
      <c r="C895" s="320" t="str">
        <f t="shared" si="3"/>
        <v>_Neo_InfB_Sterkte_3</v>
      </c>
    </row>
    <row r="896" spans="1:3" s="320" customFormat="1" x14ac:dyDescent="0.2">
      <c r="A896" s="320" t="s">
        <v>5524</v>
      </c>
      <c r="B896" s="320" t="s">
        <v>3187</v>
      </c>
      <c r="C896" s="320" t="str">
        <f t="shared" si="3"/>
        <v>_Neo_InfB_Sterkte_4</v>
      </c>
    </row>
    <row r="897" spans="1:3" s="320" customFormat="1" x14ac:dyDescent="0.2">
      <c r="A897" s="320" t="s">
        <v>5525</v>
      </c>
      <c r="B897" s="320" t="s">
        <v>3188</v>
      </c>
      <c r="C897" s="320" t="str">
        <f t="shared" si="3"/>
        <v>_Neo_InfB_Sterkte_5</v>
      </c>
    </row>
    <row r="898" spans="1:3" s="320" customFormat="1" x14ac:dyDescent="0.2">
      <c r="A898" s="320" t="s">
        <v>5526</v>
      </c>
      <c r="B898" s="320" t="s">
        <v>3189</v>
      </c>
      <c r="C898" s="320" t="str">
        <f t="shared" si="3"/>
        <v>_Neo_InfB_Sterkte_6</v>
      </c>
    </row>
    <row r="899" spans="1:3" s="320" customFormat="1" x14ac:dyDescent="0.2">
      <c r="A899" s="320" t="s">
        <v>5527</v>
      </c>
      <c r="B899" s="320" t="s">
        <v>3190</v>
      </c>
      <c r="C899" s="320" t="str">
        <f t="shared" si="3"/>
        <v>_Neo_InfB_Sterkte_7</v>
      </c>
    </row>
    <row r="900" spans="1:3" s="320" customFormat="1" x14ac:dyDescent="0.2">
      <c r="A900" s="320" t="s">
        <v>5528</v>
      </c>
      <c r="B900" s="320" t="s">
        <v>3191</v>
      </c>
      <c r="C900" s="320" t="str">
        <f t="shared" si="3"/>
        <v>_Neo_InfB_Sterkte_8</v>
      </c>
    </row>
    <row r="901" spans="1:3" s="320" customFormat="1" x14ac:dyDescent="0.2">
      <c r="A901" s="320" t="s">
        <v>5529</v>
      </c>
      <c r="B901" s="320" t="s">
        <v>3192</v>
      </c>
      <c r="C901" s="320" t="str">
        <f t="shared" si="3"/>
        <v>_Neo_InfB_Sterkte_9</v>
      </c>
    </row>
    <row r="902" spans="1:3" s="320" customFormat="1" x14ac:dyDescent="0.2">
      <c r="A902" s="320" t="s">
        <v>5530</v>
      </c>
      <c r="B902" s="320" t="s">
        <v>3193</v>
      </c>
      <c r="C902" s="320" t="str">
        <f t="shared" si="3"/>
        <v>_Neo_InfB_Supervisor</v>
      </c>
    </row>
    <row r="903" spans="1:3" s="320" customFormat="1" x14ac:dyDescent="0.2">
      <c r="A903" s="320" t="s">
        <v>5531</v>
      </c>
      <c r="B903" s="320" t="s">
        <v>3195</v>
      </c>
      <c r="C903" s="320" t="str">
        <f t="shared" si="3"/>
        <v>_Neo_InfB_Toevoeging_0</v>
      </c>
    </row>
    <row r="904" spans="1:3" s="320" customFormat="1" x14ac:dyDescent="0.2">
      <c r="A904" s="320" t="s">
        <v>5532</v>
      </c>
      <c r="B904" s="320" t="s">
        <v>3196</v>
      </c>
      <c r="C904" s="320" t="str">
        <f t="shared" si="3"/>
        <v>_Neo_InfB_Toevoeging_1</v>
      </c>
    </row>
    <row r="905" spans="1:3" s="320" customFormat="1" x14ac:dyDescent="0.2">
      <c r="A905" s="320" t="s">
        <v>5533</v>
      </c>
      <c r="B905" s="320" t="s">
        <v>3197</v>
      </c>
      <c r="C905" s="320" t="str">
        <f t="shared" si="3"/>
        <v>_Neo_InfB_Toevoeging_2</v>
      </c>
    </row>
    <row r="906" spans="1:3" s="320" customFormat="1" x14ac:dyDescent="0.2">
      <c r="A906" s="320" t="s">
        <v>5534</v>
      </c>
      <c r="B906" s="320" t="s">
        <v>3198</v>
      </c>
      <c r="C906" s="320" t="str">
        <f t="shared" si="3"/>
        <v>_Neo_InfB_Toevoeging_3</v>
      </c>
    </row>
    <row r="907" spans="1:3" s="320" customFormat="1" x14ac:dyDescent="0.2">
      <c r="A907" s="320" t="s">
        <v>5535</v>
      </c>
      <c r="B907" s="320" t="s">
        <v>3199</v>
      </c>
      <c r="C907" s="320" t="str">
        <f t="shared" si="3"/>
        <v>_Neo_InfB_Toevoeging_4</v>
      </c>
    </row>
    <row r="908" spans="1:3" s="320" customFormat="1" x14ac:dyDescent="0.2">
      <c r="A908" s="320" t="s">
        <v>5536</v>
      </c>
      <c r="B908" s="320" t="s">
        <v>3200</v>
      </c>
      <c r="C908" s="320" t="str">
        <f t="shared" si="3"/>
        <v>_Neo_InfB_Toevoeging_5</v>
      </c>
    </row>
    <row r="909" spans="1:3" s="320" customFormat="1" x14ac:dyDescent="0.2">
      <c r="A909" s="320" t="s">
        <v>5537</v>
      </c>
      <c r="B909" s="320" t="s">
        <v>3201</v>
      </c>
      <c r="C909" s="320" t="str">
        <f t="shared" si="3"/>
        <v>_Neo_InfB_Toevoeging_6</v>
      </c>
    </row>
    <row r="910" spans="1:3" s="320" customFormat="1" x14ac:dyDescent="0.2">
      <c r="A910" s="320" t="s">
        <v>5538</v>
      </c>
      <c r="B910" s="320" t="s">
        <v>3202</v>
      </c>
      <c r="C910" s="320" t="str">
        <f t="shared" si="3"/>
        <v>_Neo_InfB_Toevoeging_7</v>
      </c>
    </row>
    <row r="911" spans="1:3" s="320" customFormat="1" x14ac:dyDescent="0.2">
      <c r="A911" s="320" t="s">
        <v>5539</v>
      </c>
      <c r="B911" s="320" t="s">
        <v>3203</v>
      </c>
      <c r="C911" s="320" t="str">
        <f t="shared" si="3"/>
        <v>_Neo_InfB_Toevoeging_8</v>
      </c>
    </row>
    <row r="912" spans="1:3" s="320" customFormat="1" x14ac:dyDescent="0.2">
      <c r="A912" s="320" t="s">
        <v>5540</v>
      </c>
      <c r="B912" s="320" t="s">
        <v>3213</v>
      </c>
      <c r="C912" s="320" t="str">
        <f t="shared" si="3"/>
        <v>_Neo_InfB_TPNCaCl2</v>
      </c>
    </row>
    <row r="913" spans="1:3" s="320" customFormat="1" x14ac:dyDescent="0.2">
      <c r="A913" s="320" t="s">
        <v>5541</v>
      </c>
      <c r="B913" s="320" t="s">
        <v>3214</v>
      </c>
      <c r="C913" s="320" t="str">
        <f t="shared" si="3"/>
        <v>_Neo_InfB_TPNNacl</v>
      </c>
    </row>
    <row r="914" spans="1:3" s="320" customFormat="1" x14ac:dyDescent="0.2">
      <c r="A914" s="320" t="s">
        <v>5542</v>
      </c>
      <c r="B914" s="320" t="s">
        <v>2992</v>
      </c>
      <c r="C914" s="320" t="str">
        <f t="shared" si="3"/>
        <v>_Neo_InfB_VochtExtra_01</v>
      </c>
    </row>
    <row r="915" spans="1:3" s="320" customFormat="1" x14ac:dyDescent="0.2">
      <c r="A915" s="320" t="s">
        <v>5543</v>
      </c>
      <c r="B915" s="320" t="s">
        <v>2993</v>
      </c>
      <c r="C915" s="320" t="str">
        <f t="shared" si="3"/>
        <v>_Neo_InfB_VochtExtra_02</v>
      </c>
    </row>
    <row r="916" spans="1:3" s="320" customFormat="1" x14ac:dyDescent="0.2">
      <c r="A916" s="320" t="s">
        <v>5544</v>
      </c>
      <c r="B916" s="320" t="s">
        <v>2998</v>
      </c>
      <c r="C916" s="320" t="str">
        <f t="shared" si="3"/>
        <v>_Neo_InfB_VochtExtra_03</v>
      </c>
    </row>
    <row r="917" spans="1:3" s="320" customFormat="1" x14ac:dyDescent="0.2">
      <c r="A917" s="320" t="s">
        <v>5545</v>
      </c>
      <c r="B917" s="320" t="s">
        <v>2999</v>
      </c>
      <c r="C917" s="320" t="str">
        <f t="shared" si="3"/>
        <v>_Neo_InfB_VochtExtra_04</v>
      </c>
    </row>
    <row r="918" spans="1:3" s="320" customFormat="1" x14ac:dyDescent="0.2">
      <c r="A918" s="320" t="s">
        <v>5546</v>
      </c>
      <c r="B918" s="320" t="s">
        <v>3000</v>
      </c>
      <c r="C918" s="320" t="str">
        <f t="shared" si="3"/>
        <v>_Neo_InfB_VochtExtra_05</v>
      </c>
    </row>
    <row r="919" spans="1:3" s="320" customFormat="1" x14ac:dyDescent="0.2">
      <c r="A919" s="320" t="s">
        <v>5547</v>
      </c>
      <c r="B919" s="320" t="s">
        <v>3001</v>
      </c>
      <c r="C919" s="320" t="str">
        <f t="shared" si="3"/>
        <v>_Neo_InfB_VochtExtra_06</v>
      </c>
    </row>
    <row r="920" spans="1:3" s="320" customFormat="1" x14ac:dyDescent="0.2">
      <c r="A920" s="320" t="s">
        <v>5548</v>
      </c>
      <c r="B920" s="320" t="s">
        <v>3002</v>
      </c>
      <c r="C920" s="320" t="str">
        <f t="shared" si="3"/>
        <v>_Neo_InfB_VochtExtra_07</v>
      </c>
    </row>
    <row r="921" spans="1:3" s="320" customFormat="1" x14ac:dyDescent="0.2">
      <c r="A921" s="320" t="s">
        <v>5549</v>
      </c>
      <c r="B921" s="320" t="s">
        <v>3003</v>
      </c>
      <c r="C921" s="320" t="str">
        <f t="shared" si="3"/>
        <v>_Neo_InfB_VochtExtra_08</v>
      </c>
    </row>
    <row r="922" spans="1:3" s="320" customFormat="1" x14ac:dyDescent="0.2">
      <c r="A922" s="320" t="s">
        <v>5550</v>
      </c>
      <c r="B922" s="320" t="s">
        <v>3004</v>
      </c>
      <c r="C922" s="320" t="str">
        <f t="shared" si="3"/>
        <v>_Neo_InfB_VochtExtra_09</v>
      </c>
    </row>
    <row r="923" spans="1:3" s="320" customFormat="1" x14ac:dyDescent="0.2">
      <c r="A923" s="320" t="s">
        <v>5551</v>
      </c>
      <c r="B923" s="320" t="s">
        <v>3005</v>
      </c>
      <c r="C923" s="320" t="str">
        <f t="shared" si="3"/>
        <v>_Neo_InfB_VochtExtra_10</v>
      </c>
    </row>
    <row r="924" spans="1:3" s="320" customFormat="1" x14ac:dyDescent="0.2">
      <c r="A924" s="320" t="s">
        <v>5552</v>
      </c>
      <c r="B924" s="320" t="s">
        <v>2994</v>
      </c>
      <c r="C924" s="320" t="str">
        <f t="shared" si="3"/>
        <v>_Neo_InfB_VochtExtra_11</v>
      </c>
    </row>
    <row r="925" spans="1:3" s="320" customFormat="1" x14ac:dyDescent="0.2">
      <c r="A925" s="320" t="s">
        <v>5553</v>
      </c>
      <c r="B925" s="320" t="s">
        <v>2995</v>
      </c>
      <c r="C925" s="320" t="str">
        <f t="shared" si="3"/>
        <v>_Neo_InfB_VochtExtra_12</v>
      </c>
    </row>
    <row r="926" spans="1:3" s="320" customFormat="1" x14ac:dyDescent="0.2">
      <c r="A926" s="320" t="s">
        <v>5554</v>
      </c>
      <c r="B926" s="320" t="s">
        <v>2996</v>
      </c>
      <c r="C926" s="320" t="str">
        <f t="shared" si="3"/>
        <v>_Neo_InfB_VochtExtra_13</v>
      </c>
    </row>
    <row r="927" spans="1:3" s="320" customFormat="1" x14ac:dyDescent="0.2">
      <c r="A927" s="320" t="s">
        <v>5555</v>
      </c>
      <c r="B927" s="320" t="s">
        <v>2997</v>
      </c>
      <c r="C927" s="320" t="str">
        <f t="shared" si="3"/>
        <v>_Neo_InfB_VochtExtra_14</v>
      </c>
    </row>
    <row r="928" spans="1:3" s="320" customFormat="1" x14ac:dyDescent="0.2">
      <c r="A928" s="320" t="s">
        <v>5556</v>
      </c>
      <c r="B928" s="320" t="s">
        <v>3215</v>
      </c>
      <c r="C928" s="320" t="str">
        <f t="shared" si="3"/>
        <v>_Neo_InfB_Voeding</v>
      </c>
    </row>
    <row r="929" spans="1:9" x14ac:dyDescent="0.2">
      <c r="A929" t="s">
        <v>1804</v>
      </c>
      <c r="B929" t="s">
        <v>3217</v>
      </c>
      <c r="D929" t="b">
        <f>IFERROR(VLOOKUP(B929,PatData!$A$2:$A$2000,1,),"")&lt;&gt;""</f>
        <v>1</v>
      </c>
      <c r="E929" t="b">
        <v>0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1815</v>
      </c>
      <c r="B930" t="s">
        <v>3218</v>
      </c>
      <c r="D930" t="b">
        <f>IFERROR(VLOOKUP(B930,PatData!$A$2:$A$2000,1,),"")&lt;&gt;""</f>
        <v>1</v>
      </c>
      <c r="E930" t="b">
        <v>0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1826</v>
      </c>
      <c r="B931" t="s">
        <v>3219</v>
      </c>
      <c r="D931" t="b">
        <f>IFERROR(VLOOKUP(B931,PatData!$A$2:$A$2000,1,),"")&lt;&gt;""</f>
        <v>1</v>
      </c>
      <c r="E931" t="b">
        <v>0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1829</v>
      </c>
      <c r="B932" t="s">
        <v>3220</v>
      </c>
      <c r="D932" t="b">
        <f>IFERROR(VLOOKUP(B932,PatData!$A$2:$A$2000,1,),"")&lt;&gt;""</f>
        <v>1</v>
      </c>
      <c r="E932" t="b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1830</v>
      </c>
      <c r="B933" t="s">
        <v>3221</v>
      </c>
      <c r="D933" t="b">
        <f>IFERROR(VLOOKUP(B933,PatData!$A$2:$A$2000,1,),"")&lt;&gt;""</f>
        <v>1</v>
      </c>
      <c r="E933" t="b">
        <v>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1831</v>
      </c>
      <c r="B934" t="s">
        <v>3222</v>
      </c>
      <c r="D934" t="b">
        <f>IFERROR(VLOOKUP(B934,PatData!$A$2:$A$2000,1,),"")&lt;&gt;""</f>
        <v>1</v>
      </c>
      <c r="E934" t="b">
        <v>0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1832</v>
      </c>
      <c r="B935" t="s">
        <v>3223</v>
      </c>
      <c r="D935" t="b">
        <f>IFERROR(VLOOKUP(B935,PatData!$A$2:$A$2000,1,),"")&lt;&gt;""</f>
        <v>1</v>
      </c>
      <c r="E935" t="b">
        <v>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1833</v>
      </c>
      <c r="B936" t="s">
        <v>3224</v>
      </c>
      <c r="D936" t="b">
        <f>IFERROR(VLOOKUP(B936,PatData!$A$2:$A$2000,1,),"")&lt;&gt;""</f>
        <v>1</v>
      </c>
      <c r="E936" t="b">
        <v>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1834</v>
      </c>
      <c r="B937" t="s">
        <v>3225</v>
      </c>
      <c r="D937" t="b">
        <f>IFERROR(VLOOKUP(B937,PatData!$A$2:$A$2000,1,),"")&lt;&gt;""</f>
        <v>1</v>
      </c>
      <c r="E937" t="b">
        <v>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1805</v>
      </c>
      <c r="B938" t="s">
        <v>3226</v>
      </c>
      <c r="D938" t="b">
        <f>IFERROR(VLOOKUP(B938,PatData!$A$2:$A$2000,1,),"")&lt;&gt;""</f>
        <v>1</v>
      </c>
      <c r="E938" t="b">
        <v>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1806</v>
      </c>
      <c r="B939" t="s">
        <v>3227</v>
      </c>
      <c r="D939" t="b">
        <f>IFERROR(VLOOKUP(B939,PatData!$A$2:$A$2000,1,),"")&lt;&gt;""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1807</v>
      </c>
      <c r="B940" t="s">
        <v>3228</v>
      </c>
      <c r="D940" t="b">
        <f>IFERROR(VLOOKUP(B940,PatData!$A$2:$A$2000,1,),"")&lt;&gt;""</f>
        <v>1</v>
      </c>
      <c r="E940" t="b">
        <v>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1808</v>
      </c>
      <c r="B941" t="s">
        <v>3229</v>
      </c>
      <c r="D941" t="b">
        <f>IFERROR(VLOOKUP(B941,PatData!$A$2:$A$2000,1,),"")&lt;&gt;""</f>
        <v>1</v>
      </c>
      <c r="E941" t="b">
        <v>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1809</v>
      </c>
      <c r="B942" t="s">
        <v>3230</v>
      </c>
      <c r="D942" t="b">
        <f>IFERROR(VLOOKUP(B942,PatData!$A$2:$A$2000,1,),"")&lt;&gt;""</f>
        <v>1</v>
      </c>
      <c r="E942" t="b">
        <v>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1810</v>
      </c>
      <c r="B943" t="s">
        <v>3231</v>
      </c>
      <c r="D943" t="b">
        <f>IFERROR(VLOOKUP(B943,PatData!$A$2:$A$2000,1,),"")&lt;&gt;""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1811</v>
      </c>
      <c r="B944" t="s">
        <v>3232</v>
      </c>
      <c r="D944" t="b">
        <f>IFERROR(VLOOKUP(B944,PatData!$A$2:$A$2000,1,),"")&lt;&gt;""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1812</v>
      </c>
      <c r="B945" t="s">
        <v>3233</v>
      </c>
      <c r="D945" t="b">
        <f>IFERROR(VLOOKUP(B945,PatData!$A$2:$A$2000,1,),"")&lt;&gt;""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1813</v>
      </c>
      <c r="B946" t="s">
        <v>3234</v>
      </c>
      <c r="D946" t="b">
        <f>IFERROR(VLOOKUP(B946,PatData!$A$2:$A$2000,1,),"")&lt;&gt;""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1814</v>
      </c>
      <c r="B947" t="s">
        <v>3235</v>
      </c>
      <c r="D947" t="b">
        <f>IFERROR(VLOOKUP(B947,PatData!$A$2:$A$2000,1,),"")&lt;&gt;""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1816</v>
      </c>
      <c r="B948" t="s">
        <v>3236</v>
      </c>
      <c r="D948" t="b">
        <f>IFERROR(VLOOKUP(B948,PatData!$A$2:$A$2000,1,),"")&lt;&gt;""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1817</v>
      </c>
      <c r="B949" t="s">
        <v>3237</v>
      </c>
      <c r="D949" t="b">
        <f>IFERROR(VLOOKUP(B949,PatData!$A$2:$A$2000,1,),"")&lt;&gt;""</f>
        <v>1</v>
      </c>
      <c r="E949" t="b">
        <v>0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1818</v>
      </c>
      <c r="B950" t="s">
        <v>3238</v>
      </c>
      <c r="D950" t="b">
        <f>IFERROR(VLOOKUP(B950,PatData!$A$2:$A$2000,1,),"")&lt;&gt;""</f>
        <v>1</v>
      </c>
      <c r="E950" t="b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1819</v>
      </c>
      <c r="B951" t="s">
        <v>3239</v>
      </c>
      <c r="D951" t="b">
        <f>IFERROR(VLOOKUP(B951,PatData!$A$2:$A$2000,1,),"")&lt;&gt;""</f>
        <v>1</v>
      </c>
      <c r="E951" t="b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1820</v>
      </c>
      <c r="B952" t="s">
        <v>3240</v>
      </c>
      <c r="D952" t="b">
        <f>IFERROR(VLOOKUP(B952,PatData!$A$2:$A$2000,1,),"")&lt;&gt;""</f>
        <v>1</v>
      </c>
      <c r="E952" t="b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1821</v>
      </c>
      <c r="B953" t="s">
        <v>3241</v>
      </c>
      <c r="D953" t="b">
        <f>IFERROR(VLOOKUP(B953,PatData!$A$2:$A$2000,1,),"")&lt;&gt;""</f>
        <v>1</v>
      </c>
      <c r="E953" t="b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1822</v>
      </c>
      <c r="B954" t="s">
        <v>3242</v>
      </c>
      <c r="D954" t="b">
        <f>IFERROR(VLOOKUP(B954,PatData!$A$2:$A$2000,1,),"")&lt;&gt;""</f>
        <v>1</v>
      </c>
      <c r="E954" t="b">
        <v>0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1823</v>
      </c>
      <c r="B955" t="s">
        <v>3243</v>
      </c>
      <c r="D955" t="b">
        <f>IFERROR(VLOOKUP(B955,PatData!$A$2:$A$2000,1,),"")&lt;&gt;""</f>
        <v>1</v>
      </c>
      <c r="E955" t="b">
        <v>0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1824</v>
      </c>
      <c r="B956" t="s">
        <v>3244</v>
      </c>
      <c r="D956" t="b">
        <f>IFERROR(VLOOKUP(B956,PatData!$A$2:$A$2000,1,),"")&lt;&gt;""</f>
        <v>1</v>
      </c>
      <c r="E956" t="b">
        <v>0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1825</v>
      </c>
      <c r="B957" t="s">
        <v>3245</v>
      </c>
      <c r="D957" t="b">
        <f>IFERROR(VLOOKUP(B957,PatData!$A$2:$A$2000,1,),"")&lt;&gt;""</f>
        <v>1</v>
      </c>
      <c r="E957" t="b">
        <v>0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1827</v>
      </c>
      <c r="B958" t="s">
        <v>3246</v>
      </c>
      <c r="D958" t="b">
        <f>IFERROR(VLOOKUP(B958,PatData!$A$2:$A$2000,1,),"")&lt;&gt;""</f>
        <v>1</v>
      </c>
      <c r="E958" t="b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1828</v>
      </c>
      <c r="B959" t="s">
        <v>3247</v>
      </c>
      <c r="D959" t="b">
        <f>IFERROR(VLOOKUP(B959,PatData!$A$2:$A$2000,1,),"")&lt;&gt;""</f>
        <v>1</v>
      </c>
      <c r="E959" t="b">
        <v>0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1835</v>
      </c>
      <c r="B960" t="s">
        <v>3248</v>
      </c>
      <c r="D960" t="b">
        <f>IFERROR(VLOOKUP(B960,PatData!$A$2:$A$2000,1,),"")&lt;&gt;""</f>
        <v>1</v>
      </c>
      <c r="E960" t="b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1846</v>
      </c>
      <c r="B961" t="s">
        <v>3249</v>
      </c>
      <c r="D961" t="b">
        <f>IFERROR(VLOOKUP(B961,PatData!$A$2:$A$2000,1,),"")&lt;&gt;""</f>
        <v>1</v>
      </c>
      <c r="E961" t="b">
        <v>0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1857</v>
      </c>
      <c r="B962" t="s">
        <v>3250</v>
      </c>
      <c r="D962" t="b">
        <f>IFERROR(VLOOKUP(B962,PatData!$A$2:$A$2000,1,),"")&lt;&gt;""</f>
        <v>1</v>
      </c>
      <c r="E962" t="b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1860</v>
      </c>
      <c r="B963" t="s">
        <v>3251</v>
      </c>
      <c r="D963" t="b">
        <f>IFERROR(VLOOKUP(B963,PatData!$A$2:$A$2000,1,),"")&lt;&gt;""</f>
        <v>1</v>
      </c>
      <c r="E963" t="b">
        <v>0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1861</v>
      </c>
      <c r="B964" t="s">
        <v>3252</v>
      </c>
      <c r="D964" t="b">
        <f>IFERROR(VLOOKUP(B964,PatData!$A$2:$A$2000,1,),"")&lt;&gt;""</f>
        <v>1</v>
      </c>
      <c r="E964" t="b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1862</v>
      </c>
      <c r="B965" t="s">
        <v>3253</v>
      </c>
      <c r="D965" t="b">
        <f>IFERROR(VLOOKUP(B965,PatData!$A$2:$A$2000,1,),"")&lt;&gt;""</f>
        <v>1</v>
      </c>
      <c r="E965" t="b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1863</v>
      </c>
      <c r="B966" t="s">
        <v>3254</v>
      </c>
      <c r="D966" t="b">
        <f>IFERROR(VLOOKUP(B966,PatData!$A$2:$A$2000,1,),"")&lt;&gt;""</f>
        <v>1</v>
      </c>
      <c r="E966" t="b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1864</v>
      </c>
      <c r="B967" t="s">
        <v>3255</v>
      </c>
      <c r="D967" t="b">
        <f>IFERROR(VLOOKUP(B967,PatData!$A$2:$A$2000,1,),"")&lt;&gt;""</f>
        <v>1</v>
      </c>
      <c r="E967" t="b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1865</v>
      </c>
      <c r="B968" t="s">
        <v>3256</v>
      </c>
      <c r="D968" t="b">
        <f>IFERROR(VLOOKUP(B968,PatData!$A$2:$A$2000,1,),"")&lt;&gt;""</f>
        <v>1</v>
      </c>
      <c r="E968" t="b">
        <v>0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1836</v>
      </c>
      <c r="B969" t="s">
        <v>3257</v>
      </c>
      <c r="D969" t="b">
        <f>IFERROR(VLOOKUP(B969,PatData!$A$2:$A$2000,1,),"")&lt;&gt;""</f>
        <v>1</v>
      </c>
      <c r="E969" t="b">
        <v>0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1837</v>
      </c>
      <c r="B970" t="s">
        <v>3258</v>
      </c>
      <c r="D970" t="b">
        <f>IFERROR(VLOOKUP(B970,PatData!$A$2:$A$2000,1,),"")&lt;&gt;""</f>
        <v>1</v>
      </c>
      <c r="E970" t="b">
        <v>0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1838</v>
      </c>
      <c r="B971" t="s">
        <v>3259</v>
      </c>
      <c r="D971" t="b">
        <f>IFERROR(VLOOKUP(B971,PatData!$A$2:$A$2000,1,),"")&lt;&gt;""</f>
        <v>1</v>
      </c>
      <c r="E971" t="b">
        <v>0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1839</v>
      </c>
      <c r="B972" t="s">
        <v>3260</v>
      </c>
      <c r="D972" t="b">
        <f>IFERROR(VLOOKUP(B972,PatData!$A$2:$A$2000,1,),"")&lt;&gt;""</f>
        <v>1</v>
      </c>
      <c r="E972" t="b">
        <v>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1840</v>
      </c>
      <c r="B973" t="s">
        <v>3261</v>
      </c>
      <c r="D973" t="b">
        <f>IFERROR(VLOOKUP(B973,PatData!$A$2:$A$2000,1,),"")&lt;&gt;""</f>
        <v>1</v>
      </c>
      <c r="E973" t="b">
        <v>0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1841</v>
      </c>
      <c r="B974" t="s">
        <v>3262</v>
      </c>
      <c r="D974" t="b">
        <f>IFERROR(VLOOKUP(B974,PatData!$A$2:$A$2000,1,),"")&lt;&gt;""</f>
        <v>1</v>
      </c>
      <c r="E974" t="b">
        <v>0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1842</v>
      </c>
      <c r="B975" t="s">
        <v>3263</v>
      </c>
      <c r="D975" t="b">
        <f>IFERROR(VLOOKUP(B975,PatData!$A$2:$A$2000,1,),"")&lt;&gt;""</f>
        <v>1</v>
      </c>
      <c r="E975" t="b">
        <v>0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1843</v>
      </c>
      <c r="B976" t="s">
        <v>3264</v>
      </c>
      <c r="D976" t="b">
        <f>IFERROR(VLOOKUP(B976,PatData!$A$2:$A$2000,1,),"")&lt;&gt;""</f>
        <v>1</v>
      </c>
      <c r="E976" t="b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1844</v>
      </c>
      <c r="B977" t="s">
        <v>3265</v>
      </c>
      <c r="D977" t="b">
        <f>IFERROR(VLOOKUP(B977,PatData!$A$2:$A$2000,1,),"")&lt;&gt;""</f>
        <v>1</v>
      </c>
      <c r="E977" t="b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1845</v>
      </c>
      <c r="B978" t="s">
        <v>3266</v>
      </c>
      <c r="D978" t="b">
        <f>IFERROR(VLOOKUP(B978,PatData!$A$2:$A$2000,1,),"")&lt;&gt;""</f>
        <v>1</v>
      </c>
      <c r="E978" t="b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1847</v>
      </c>
      <c r="B979" t="s">
        <v>3267</v>
      </c>
      <c r="D979" t="b">
        <f>IFERROR(VLOOKUP(B979,PatData!$A$2:$A$2000,1,),"")&lt;&gt;""</f>
        <v>1</v>
      </c>
      <c r="E979" t="b">
        <v>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1848</v>
      </c>
      <c r="B980" t="s">
        <v>3268</v>
      </c>
      <c r="D980" t="b">
        <f>IFERROR(VLOOKUP(B980,PatData!$A$2:$A$2000,1,),"")&lt;&gt;""</f>
        <v>1</v>
      </c>
      <c r="E980" t="b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1849</v>
      </c>
      <c r="B981" t="s">
        <v>3269</v>
      </c>
      <c r="D981" t="b">
        <f>IFERROR(VLOOKUP(B981,PatData!$A$2:$A$2000,1,),"")&lt;&gt;""</f>
        <v>1</v>
      </c>
      <c r="E981" t="b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1850</v>
      </c>
      <c r="B982" t="s">
        <v>3270</v>
      </c>
      <c r="D982" t="b">
        <f>IFERROR(VLOOKUP(B982,PatData!$A$2:$A$2000,1,),"")&lt;&gt;""</f>
        <v>1</v>
      </c>
      <c r="E982" t="b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1851</v>
      </c>
      <c r="B983" t="s">
        <v>3271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1852</v>
      </c>
      <c r="B984" t="s">
        <v>3272</v>
      </c>
      <c r="D984" t="b">
        <f>IFERROR(VLOOKUP(B984,PatData!$A$2:$A$2000,1,),"")&lt;&gt;""</f>
        <v>1</v>
      </c>
      <c r="E984" t="b">
        <v>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1853</v>
      </c>
      <c r="B985" t="s">
        <v>3273</v>
      </c>
      <c r="D985" t="b">
        <f>IFERROR(VLOOKUP(B985,PatData!$A$2:$A$2000,1,),"")&lt;&gt;""</f>
        <v>1</v>
      </c>
      <c r="E985" t="b">
        <v>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1854</v>
      </c>
      <c r="B986" t="s">
        <v>3274</v>
      </c>
      <c r="D986" t="b">
        <f>IFERROR(VLOOKUP(B986,PatData!$A$2:$A$2000,1,),"")&lt;&gt;""</f>
        <v>1</v>
      </c>
      <c r="E986" t="b">
        <v>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1855</v>
      </c>
      <c r="B987" t="s">
        <v>3275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1856</v>
      </c>
      <c r="B988" t="s">
        <v>3276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1858</v>
      </c>
      <c r="B989" t="s">
        <v>3277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1859</v>
      </c>
      <c r="B990" t="s">
        <v>3278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1866</v>
      </c>
      <c r="B991" t="s">
        <v>3279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1877</v>
      </c>
      <c r="B992" t="s">
        <v>3280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1888</v>
      </c>
      <c r="B993" t="s">
        <v>3281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1891</v>
      </c>
      <c r="B994" t="s">
        <v>3282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1892</v>
      </c>
      <c r="B995" t="s">
        <v>3283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1893</v>
      </c>
      <c r="B996" t="s">
        <v>3284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1894</v>
      </c>
      <c r="B997" t="s">
        <v>3285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1895</v>
      </c>
      <c r="B998" t="s">
        <v>3286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1896</v>
      </c>
      <c r="B999" t="s">
        <v>3287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1867</v>
      </c>
      <c r="B1000" t="s">
        <v>3288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1868</v>
      </c>
      <c r="B1001" t="s">
        <v>3289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1869</v>
      </c>
      <c r="B1002" t="s">
        <v>3290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1870</v>
      </c>
      <c r="B1003" t="s">
        <v>3291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1871</v>
      </c>
      <c r="B1004" t="s">
        <v>3292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1872</v>
      </c>
      <c r="B1005" t="s">
        <v>3293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1873</v>
      </c>
      <c r="B1006" t="s">
        <v>3294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1874</v>
      </c>
      <c r="B1007" t="s">
        <v>3295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1875</v>
      </c>
      <c r="B1008" t="s">
        <v>3296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1876</v>
      </c>
      <c r="B1009" t="s">
        <v>3297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1878</v>
      </c>
      <c r="B1010" t="s">
        <v>3298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1879</v>
      </c>
      <c r="B1011" t="s">
        <v>3299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1880</v>
      </c>
      <c r="B1012" t="s">
        <v>3300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1881</v>
      </c>
      <c r="B1013" t="s">
        <v>3301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1882</v>
      </c>
      <c r="B1014" t="s">
        <v>3302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1883</v>
      </c>
      <c r="B1015" t="s">
        <v>3303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1884</v>
      </c>
      <c r="B1016" t="s">
        <v>3304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1885</v>
      </c>
      <c r="B1017" t="s">
        <v>3305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1886</v>
      </c>
      <c r="B1018" t="s">
        <v>3306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1887</v>
      </c>
      <c r="B1019" t="s">
        <v>3307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1889</v>
      </c>
      <c r="B1020" t="s">
        <v>3308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1890</v>
      </c>
      <c r="B1021" t="s">
        <v>3309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1897</v>
      </c>
      <c r="B1022" t="s">
        <v>3310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1908</v>
      </c>
      <c r="B1023" t="s">
        <v>3311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1919</v>
      </c>
      <c r="B1024" t="s">
        <v>3312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1922</v>
      </c>
      <c r="B1025" t="s">
        <v>3313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1923</v>
      </c>
      <c r="B1026" t="s">
        <v>3314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1924</v>
      </c>
      <c r="B1027" t="s">
        <v>3315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1925</v>
      </c>
      <c r="B1028" t="s">
        <v>3316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1926</v>
      </c>
      <c r="B1029" t="s">
        <v>3317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1927</v>
      </c>
      <c r="B1030" t="s">
        <v>3318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1898</v>
      </c>
      <c r="B1031" t="s">
        <v>3319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1899</v>
      </c>
      <c r="B1032" t="s">
        <v>3320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1900</v>
      </c>
      <c r="B1033" t="s">
        <v>3321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1901</v>
      </c>
      <c r="B1034" t="s">
        <v>3322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1902</v>
      </c>
      <c r="B1035" t="s">
        <v>3323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1903</v>
      </c>
      <c r="B1036" t="s">
        <v>3324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1904</v>
      </c>
      <c r="B1037" t="s">
        <v>3325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1905</v>
      </c>
      <c r="B1038" t="s">
        <v>3326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1906</v>
      </c>
      <c r="B1039" t="s">
        <v>3327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1907</v>
      </c>
      <c r="B1040" t="s">
        <v>3328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1909</v>
      </c>
      <c r="B1041" t="s">
        <v>3329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1910</v>
      </c>
      <c r="B1042" t="s">
        <v>3330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1911</v>
      </c>
      <c r="B1043" t="s">
        <v>3331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1912</v>
      </c>
      <c r="B1044" t="s">
        <v>3332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1913</v>
      </c>
      <c r="B1045" t="s">
        <v>3333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1914</v>
      </c>
      <c r="B1046" t="s">
        <v>3334</v>
      </c>
      <c r="D1046" t="b">
        <f>IFERROR(VLOOKUP(B1046,PatData!$A$2:$A$2000,1,),"")&lt;&gt;""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1915</v>
      </c>
      <c r="B1047" t="s">
        <v>3335</v>
      </c>
      <c r="D1047" t="b">
        <f>IFERROR(VLOOKUP(B1047,PatData!$A$2:$A$2000,1,),"")&lt;&gt;""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1916</v>
      </c>
      <c r="B1048" t="s">
        <v>3336</v>
      </c>
      <c r="D1048" t="b">
        <f>IFERROR(VLOOKUP(B1048,PatData!$A$2:$A$2000,1,),"")&lt;&gt;""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1917</v>
      </c>
      <c r="B1049" t="s">
        <v>3337</v>
      </c>
      <c r="D1049" t="b">
        <f>IFERROR(VLOOKUP(B1049,PatData!$A$2:$A$2000,1,),"")&lt;&gt;""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1918</v>
      </c>
      <c r="B1050" t="s">
        <v>3338</v>
      </c>
      <c r="D1050" t="b">
        <f>IFERROR(VLOOKUP(B1050,PatData!$A$2:$A$2000,1,),"")&lt;&gt;""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1920</v>
      </c>
      <c r="B1051" t="s">
        <v>3339</v>
      </c>
      <c r="D1051" t="b">
        <f>IFERROR(VLOOKUP(B1051,PatData!$A$2:$A$2000,1,),"")&lt;&gt;""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1921</v>
      </c>
      <c r="B1052" t="s">
        <v>3340</v>
      </c>
      <c r="D1052" t="b">
        <f>IFERROR(VLOOKUP(B1052,PatData!$A$2:$A$2000,1,),"")&lt;&gt;""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1928</v>
      </c>
      <c r="B1053" t="s">
        <v>3341</v>
      </c>
      <c r="D1053" t="b">
        <f>IFERROR(VLOOKUP(B1053,PatData!$A$2:$A$2000,1,),"")&lt;&gt;""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1939</v>
      </c>
      <c r="B1054" t="s">
        <v>3342</v>
      </c>
      <c r="D1054" t="b">
        <f>IFERROR(VLOOKUP(B1054,PatData!$A$2:$A$2000,1,),"")&lt;&gt;""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1950</v>
      </c>
      <c r="B1055" t="s">
        <v>3343</v>
      </c>
      <c r="D1055" t="b">
        <f>IFERROR(VLOOKUP(B1055,PatData!$A$2:$A$2000,1,),"")&lt;&gt;""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1953</v>
      </c>
      <c r="B1056" t="s">
        <v>3344</v>
      </c>
      <c r="D1056" t="b">
        <f>IFERROR(VLOOKUP(B1056,PatData!$A$2:$A$2000,1,),"")&lt;&gt;""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1954</v>
      </c>
      <c r="B1057" t="s">
        <v>3345</v>
      </c>
      <c r="D1057" t="b">
        <f>IFERROR(VLOOKUP(B1057,PatData!$A$2:$A$2000,1,),"")&lt;&gt;""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1955</v>
      </c>
      <c r="B1058" t="s">
        <v>3346</v>
      </c>
      <c r="D1058" t="b">
        <f>IFERROR(VLOOKUP(B1058,PatData!$A$2:$A$2000,1,),"")&lt;&gt;""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1956</v>
      </c>
      <c r="B1059" t="s">
        <v>3347</v>
      </c>
      <c r="D1059" t="b">
        <f>IFERROR(VLOOKUP(B1059,PatData!$A$2:$A$2000,1,),"")&lt;&gt;""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1957</v>
      </c>
      <c r="B1060" t="s">
        <v>3348</v>
      </c>
      <c r="D1060" t="b">
        <f>IFERROR(VLOOKUP(B1060,PatData!$A$2:$A$2000,1,),"")&lt;&gt;""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1958</v>
      </c>
      <c r="B1061" t="s">
        <v>3349</v>
      </c>
      <c r="D1061" t="b">
        <f>IFERROR(VLOOKUP(B1061,PatData!$A$2:$A$2000,1,),"")&lt;&gt;""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1929</v>
      </c>
      <c r="B1062" t="s">
        <v>3350</v>
      </c>
      <c r="D1062" t="b">
        <f>IFERROR(VLOOKUP(B1062,PatData!$A$2:$A$2000,1,),"")&lt;&gt;""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1930</v>
      </c>
      <c r="B1063" t="s">
        <v>3351</v>
      </c>
      <c r="D1063" t="b">
        <f>IFERROR(VLOOKUP(B1063,PatData!$A$2:$A$2000,1,),"")&lt;&gt;""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1931</v>
      </c>
      <c r="B1064" t="s">
        <v>3352</v>
      </c>
      <c r="D1064" t="b">
        <f>IFERROR(VLOOKUP(B1064,PatData!$A$2:$A$2000,1,),"")&lt;&gt;""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1932</v>
      </c>
      <c r="B1065" t="s">
        <v>3353</v>
      </c>
      <c r="D1065" t="b">
        <f>IFERROR(VLOOKUP(B1065,PatData!$A$2:$A$2000,1,),"")&lt;&gt;""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1933</v>
      </c>
      <c r="B1066" t="s">
        <v>3354</v>
      </c>
      <c r="D1066" t="b">
        <f>IFERROR(VLOOKUP(B1066,PatData!$A$2:$A$2000,1,),"")&lt;&gt;""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1934</v>
      </c>
      <c r="B1067" t="s">
        <v>3355</v>
      </c>
      <c r="D1067" t="b">
        <f>IFERROR(VLOOKUP(B1067,PatData!$A$2:$A$2000,1,),"")&lt;&gt;""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1935</v>
      </c>
      <c r="B1068" t="s">
        <v>3356</v>
      </c>
      <c r="D1068" t="b">
        <f>IFERROR(VLOOKUP(B1068,PatData!$A$2:$A$2000,1,),"")&lt;&gt;""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1936</v>
      </c>
      <c r="B1069" t="s">
        <v>3357</v>
      </c>
      <c r="D1069" t="b">
        <f>IFERROR(VLOOKUP(B1069,PatData!$A$2:$A$2000,1,),"")&lt;&gt;""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1937</v>
      </c>
      <c r="B1070" t="s">
        <v>3358</v>
      </c>
      <c r="D1070" t="b">
        <f>IFERROR(VLOOKUP(B1070,PatData!$A$2:$A$2000,1,),"")&lt;&gt;""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1938</v>
      </c>
      <c r="B1071" t="s">
        <v>3359</v>
      </c>
      <c r="D1071" t="b">
        <f>IFERROR(VLOOKUP(B1071,PatData!$A$2:$A$2000,1,),"")&lt;&gt;""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1940</v>
      </c>
      <c r="B1072" t="s">
        <v>3360</v>
      </c>
      <c r="D1072" t="b">
        <f>IFERROR(VLOOKUP(B1072,PatData!$A$2:$A$2000,1,),"")&lt;&gt;""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1941</v>
      </c>
      <c r="B1073" t="s">
        <v>3361</v>
      </c>
      <c r="D1073" t="b">
        <f>IFERROR(VLOOKUP(B1073,PatData!$A$2:$A$2000,1,),"")&lt;&gt;""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1942</v>
      </c>
      <c r="B1074" t="s">
        <v>3362</v>
      </c>
      <c r="D1074" t="b">
        <f>IFERROR(VLOOKUP(B1074,PatData!$A$2:$A$2000,1,),"")&lt;&gt;""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1943</v>
      </c>
      <c r="B1075" t="s">
        <v>3363</v>
      </c>
      <c r="D1075" t="b">
        <f>IFERROR(VLOOKUP(B1075,PatData!$A$2:$A$2000,1,),"")&lt;&gt;""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1944</v>
      </c>
      <c r="B1076" t="s">
        <v>3364</v>
      </c>
      <c r="D1076" t="b">
        <f>IFERROR(VLOOKUP(B1076,PatData!$A$2:$A$2000,1,),"")&lt;&gt;""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1945</v>
      </c>
      <c r="B1077" t="s">
        <v>3365</v>
      </c>
      <c r="D1077" t="b">
        <f>IFERROR(VLOOKUP(B1077,PatData!$A$2:$A$2000,1,),"")&lt;&gt;""</f>
        <v>1</v>
      </c>
      <c r="E1077" t="b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1946</v>
      </c>
      <c r="B1078" t="s">
        <v>3366</v>
      </c>
      <c r="D1078" t="b">
        <f>IFERROR(VLOOKUP(B1078,PatData!$A$2:$A$2000,1,),"")&lt;&gt;""</f>
        <v>1</v>
      </c>
      <c r="E1078" t="b">
        <v>0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1947</v>
      </c>
      <c r="B1079" t="s">
        <v>3367</v>
      </c>
      <c r="D1079" t="b">
        <f>IFERROR(VLOOKUP(B1079,PatData!$A$2:$A$2000,1,),"")&lt;&gt;""</f>
        <v>1</v>
      </c>
      <c r="E1079" t="b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1948</v>
      </c>
      <c r="B1080" t="s">
        <v>3368</v>
      </c>
      <c r="D1080" t="b">
        <f>IFERROR(VLOOKUP(B1080,PatData!$A$2:$A$2000,1,),"")&lt;&gt;""</f>
        <v>1</v>
      </c>
      <c r="E1080" t="b">
        <v>0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1949</v>
      </c>
      <c r="B1081" t="s">
        <v>3369</v>
      </c>
      <c r="D1081" t="b">
        <f>IFERROR(VLOOKUP(B1081,PatData!$A$2:$A$2000,1,),"")&lt;&gt;""</f>
        <v>1</v>
      </c>
      <c r="E1081" t="b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1951</v>
      </c>
      <c r="B1082" t="s">
        <v>3370</v>
      </c>
      <c r="D1082" t="b">
        <f>IFERROR(VLOOKUP(B1082,PatData!$A$2:$A$2000,1,),"")&lt;&gt;""</f>
        <v>1</v>
      </c>
      <c r="E1082" t="b">
        <v>0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1952</v>
      </c>
      <c r="B1083" t="s">
        <v>3371</v>
      </c>
      <c r="D1083" t="b">
        <f>IFERROR(VLOOKUP(B1083,PatData!$A$2:$A$2000,1,),"")&lt;&gt;""</f>
        <v>1</v>
      </c>
      <c r="E1083" t="b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1959</v>
      </c>
      <c r="B1084" t="s">
        <v>3372</v>
      </c>
      <c r="D1084" t="b">
        <f>IFERROR(VLOOKUP(B1084,PatData!$A$2:$A$2000,1,),"")&lt;&gt;""</f>
        <v>1</v>
      </c>
      <c r="E1084" t="b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1970</v>
      </c>
      <c r="B1085" t="s">
        <v>3373</v>
      </c>
      <c r="D1085" t="b">
        <f>IFERROR(VLOOKUP(B1085,PatData!$A$2:$A$2000,1,),"")&lt;&gt;""</f>
        <v>1</v>
      </c>
      <c r="E1085" t="b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1981</v>
      </c>
      <c r="B1086" t="s">
        <v>3374</v>
      </c>
      <c r="D1086" t="b">
        <f>IFERROR(VLOOKUP(B1086,PatData!$A$2:$A$2000,1,),"")&lt;&gt;""</f>
        <v>1</v>
      </c>
      <c r="E1086" t="b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1984</v>
      </c>
      <c r="B1087" t="s">
        <v>3375</v>
      </c>
      <c r="D1087" t="b">
        <f>IFERROR(VLOOKUP(B1087,PatData!$A$2:$A$2000,1,),"")&lt;&gt;""</f>
        <v>1</v>
      </c>
      <c r="E1087" t="b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1985</v>
      </c>
      <c r="B1088" t="s">
        <v>3376</v>
      </c>
      <c r="D1088" t="b">
        <f>IFERROR(VLOOKUP(B1088,PatData!$A$2:$A$2000,1,),"")&lt;&gt;""</f>
        <v>1</v>
      </c>
      <c r="E1088" t="b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1986</v>
      </c>
      <c r="B1089" t="s">
        <v>3377</v>
      </c>
      <c r="D1089" t="b">
        <f>IFERROR(VLOOKUP(B1089,PatData!$A$2:$A$2000,1,),"")&lt;&gt;""</f>
        <v>1</v>
      </c>
      <c r="E1089" t="b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1987</v>
      </c>
      <c r="B1090" t="s">
        <v>3378</v>
      </c>
      <c r="D1090" t="b">
        <f>IFERROR(VLOOKUP(B1090,PatData!$A$2:$A$2000,1,),"")&lt;&gt;""</f>
        <v>1</v>
      </c>
      <c r="E1090" t="b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1988</v>
      </c>
      <c r="B1091" t="s">
        <v>3379</v>
      </c>
      <c r="D1091" t="b">
        <f>IFERROR(VLOOKUP(B1091,PatData!$A$2:$A$2000,1,),"")&lt;&gt;""</f>
        <v>1</v>
      </c>
      <c r="E1091" t="b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1989</v>
      </c>
      <c r="B1092" t="s">
        <v>3380</v>
      </c>
      <c r="D1092" t="b">
        <f>IFERROR(VLOOKUP(B1092,PatData!$A$2:$A$2000,1,),"")&lt;&gt;""</f>
        <v>1</v>
      </c>
      <c r="E1092" t="b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1960</v>
      </c>
      <c r="B1093" t="s">
        <v>3381</v>
      </c>
      <c r="D1093" t="b">
        <f>IFERROR(VLOOKUP(B1093,PatData!$A$2:$A$2000,1,),"")&lt;&gt;""</f>
        <v>1</v>
      </c>
      <c r="E1093" t="b">
        <v>0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1961</v>
      </c>
      <c r="B1094" t="s">
        <v>3382</v>
      </c>
      <c r="D1094" t="b">
        <f>IFERROR(VLOOKUP(B1094,PatData!$A$2:$A$2000,1,),"")&lt;&gt;""</f>
        <v>1</v>
      </c>
      <c r="E1094" t="b">
        <v>0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1962</v>
      </c>
      <c r="B1095" t="s">
        <v>3383</v>
      </c>
      <c r="D1095" t="b">
        <f>IFERROR(VLOOKUP(B1095,PatData!$A$2:$A$2000,1,),"")&lt;&gt;""</f>
        <v>1</v>
      </c>
      <c r="E1095" t="b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1963</v>
      </c>
      <c r="B1096" t="s">
        <v>3384</v>
      </c>
      <c r="D1096" t="b">
        <f>IFERROR(VLOOKUP(B1096,PatData!$A$2:$A$2000,1,),"")&lt;&gt;""</f>
        <v>1</v>
      </c>
      <c r="E1096" t="b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1964</v>
      </c>
      <c r="B1097" t="s">
        <v>3385</v>
      </c>
      <c r="D1097" t="b">
        <f>IFERROR(VLOOKUP(B1097,PatData!$A$2:$A$2000,1,),"")&lt;&gt;""</f>
        <v>1</v>
      </c>
      <c r="E1097" t="b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1965</v>
      </c>
      <c r="B1098" t="s">
        <v>3386</v>
      </c>
      <c r="D1098" t="b">
        <f>IFERROR(VLOOKUP(B1098,PatData!$A$2:$A$2000,1,),"")&lt;&gt;""</f>
        <v>1</v>
      </c>
      <c r="E1098" t="b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1966</v>
      </c>
      <c r="B1099" t="s">
        <v>3387</v>
      </c>
      <c r="D1099" t="b">
        <f>IFERROR(VLOOKUP(B1099,PatData!$A$2:$A$2000,1,),"")&lt;&gt;""</f>
        <v>1</v>
      </c>
      <c r="E1099" t="b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1967</v>
      </c>
      <c r="B1100" t="s">
        <v>3388</v>
      </c>
      <c r="D1100" t="b">
        <f>IFERROR(VLOOKUP(B1100,PatData!$A$2:$A$2000,1,),"")&lt;&gt;""</f>
        <v>1</v>
      </c>
      <c r="E1100" t="b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1968</v>
      </c>
      <c r="B1101" t="s">
        <v>3389</v>
      </c>
      <c r="D1101" t="b">
        <f>IFERROR(VLOOKUP(B1101,PatData!$A$2:$A$2000,1,),"")&lt;&gt;""</f>
        <v>1</v>
      </c>
      <c r="E1101" t="b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1969</v>
      </c>
      <c r="B1102" t="s">
        <v>3390</v>
      </c>
      <c r="D1102" t="b">
        <f>IFERROR(VLOOKUP(B1102,PatData!$A$2:$A$2000,1,),"")&lt;&gt;""</f>
        <v>1</v>
      </c>
      <c r="E1102" t="b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1971</v>
      </c>
      <c r="B1103" t="s">
        <v>3391</v>
      </c>
      <c r="D1103" t="b">
        <f>IFERROR(VLOOKUP(B1103,PatData!$A$2:$A$2000,1,),"")&lt;&gt;""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1972</v>
      </c>
      <c r="B1104" t="s">
        <v>3392</v>
      </c>
      <c r="D1104" t="b">
        <f>IFERROR(VLOOKUP(B1104,PatData!$A$2:$A$2000,1,),"")&lt;&gt;""</f>
        <v>1</v>
      </c>
      <c r="E1104" t="b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1973</v>
      </c>
      <c r="B1105" t="s">
        <v>3393</v>
      </c>
      <c r="D1105" t="b">
        <f>IFERROR(VLOOKUP(B1105,PatData!$A$2:$A$2000,1,),"")&lt;&gt;""</f>
        <v>1</v>
      </c>
      <c r="E1105" t="b">
        <v>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1974</v>
      </c>
      <c r="B1106" t="s">
        <v>3394</v>
      </c>
      <c r="D1106" t="b">
        <f>IFERROR(VLOOKUP(B1106,PatData!$A$2:$A$2000,1,),"")&lt;&gt;""</f>
        <v>1</v>
      </c>
      <c r="E1106" t="b">
        <v>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1975</v>
      </c>
      <c r="B1107" t="s">
        <v>3395</v>
      </c>
      <c r="D1107" t="b">
        <f>IFERROR(VLOOKUP(B1107,PatData!$A$2:$A$2000,1,),"")&lt;&gt;""</f>
        <v>1</v>
      </c>
      <c r="E1107" t="b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1976</v>
      </c>
      <c r="B1108" t="s">
        <v>3396</v>
      </c>
      <c r="D1108" t="b">
        <f>IFERROR(VLOOKUP(B1108,PatData!$A$2:$A$2000,1,),"")&lt;&gt;""</f>
        <v>1</v>
      </c>
      <c r="E1108" t="b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1977</v>
      </c>
      <c r="B1109" t="s">
        <v>3397</v>
      </c>
      <c r="D1109" t="b">
        <f>IFERROR(VLOOKUP(B1109,PatData!$A$2:$A$2000,1,),"")&lt;&gt;""</f>
        <v>1</v>
      </c>
      <c r="E1109" t="b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1978</v>
      </c>
      <c r="B1110" t="s">
        <v>3398</v>
      </c>
      <c r="D1110" t="b">
        <f>IFERROR(VLOOKUP(B1110,PatData!$A$2:$A$2000,1,),"")&lt;&gt;""</f>
        <v>1</v>
      </c>
      <c r="E1110" t="b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1979</v>
      </c>
      <c r="B1111" t="s">
        <v>3399</v>
      </c>
      <c r="D1111" t="b">
        <f>IFERROR(VLOOKUP(B1111,PatData!$A$2:$A$2000,1,),"")&lt;&gt;""</f>
        <v>1</v>
      </c>
      <c r="E1111" t="b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1980</v>
      </c>
      <c r="B1112" t="s">
        <v>3400</v>
      </c>
      <c r="D1112" t="b">
        <f>IFERROR(VLOOKUP(B1112,PatData!$A$2:$A$2000,1,),"")&lt;&gt;""</f>
        <v>1</v>
      </c>
      <c r="E1112" t="b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1982</v>
      </c>
      <c r="B1113" t="s">
        <v>3401</v>
      </c>
      <c r="D1113" t="b">
        <f>IFERROR(VLOOKUP(B1113,PatData!$A$2:$A$2000,1,),"")&lt;&gt;""</f>
        <v>1</v>
      </c>
      <c r="E1113" t="b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1983</v>
      </c>
      <c r="B1114" t="s">
        <v>3402</v>
      </c>
      <c r="D1114" t="b">
        <f>IFERROR(VLOOKUP(B1114,PatData!$A$2:$A$2000,1,),"")&lt;&gt;""</f>
        <v>1</v>
      </c>
      <c r="E1114" t="b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1990</v>
      </c>
      <c r="B1115" t="s">
        <v>3403</v>
      </c>
      <c r="D1115" t="b">
        <f>IFERROR(VLOOKUP(B1115,PatData!$A$2:$A$2000,1,),"")&lt;&gt;""</f>
        <v>1</v>
      </c>
      <c r="E1115" t="b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2001</v>
      </c>
      <c r="B1116" t="s">
        <v>3404</v>
      </c>
      <c r="D1116" t="b">
        <f>IFERROR(VLOOKUP(B1116,PatData!$A$2:$A$2000,1,),"")&lt;&gt;""</f>
        <v>1</v>
      </c>
      <c r="E1116" t="b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2012</v>
      </c>
      <c r="B1117" t="s">
        <v>3405</v>
      </c>
      <c r="D1117" t="b">
        <f>IFERROR(VLOOKUP(B1117,PatData!$A$2:$A$2000,1,),"")&lt;&gt;""</f>
        <v>1</v>
      </c>
      <c r="E1117" t="b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2015</v>
      </c>
      <c r="B1118" t="s">
        <v>3406</v>
      </c>
      <c r="D1118" t="b">
        <f>IFERROR(VLOOKUP(B1118,PatData!$A$2:$A$2000,1,),"")&lt;&gt;""</f>
        <v>1</v>
      </c>
      <c r="E1118" t="b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2016</v>
      </c>
      <c r="B1119" t="s">
        <v>3407</v>
      </c>
      <c r="D1119" t="b">
        <f>IFERROR(VLOOKUP(B1119,PatData!$A$2:$A$2000,1,),"")&lt;&gt;""</f>
        <v>1</v>
      </c>
      <c r="E1119" t="b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2017</v>
      </c>
      <c r="B1120" t="s">
        <v>3408</v>
      </c>
      <c r="D1120" t="b">
        <f>IFERROR(VLOOKUP(B1120,PatData!$A$2:$A$2000,1,),"")&lt;&gt;""</f>
        <v>1</v>
      </c>
      <c r="E1120" t="b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2018</v>
      </c>
      <c r="B1121" t="s">
        <v>3409</v>
      </c>
      <c r="D1121" t="b">
        <f>IFERROR(VLOOKUP(B1121,PatData!$A$2:$A$2000,1,),"")&lt;&gt;""</f>
        <v>1</v>
      </c>
      <c r="E1121" t="b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2019</v>
      </c>
      <c r="B1122" t="s">
        <v>3410</v>
      </c>
      <c r="D1122" t="b">
        <f>IFERROR(VLOOKUP(B1122,PatData!$A$2:$A$2000,1,),"")&lt;&gt;""</f>
        <v>1</v>
      </c>
      <c r="E1122" t="b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2020</v>
      </c>
      <c r="B1123" t="s">
        <v>3411</v>
      </c>
      <c r="D1123" t="b">
        <f>IFERROR(VLOOKUP(B1123,PatData!$A$2:$A$2000,1,),"")&lt;&gt;""</f>
        <v>1</v>
      </c>
      <c r="E1123" t="b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1991</v>
      </c>
      <c r="B1124" t="s">
        <v>3412</v>
      </c>
      <c r="D1124" t="b">
        <f>IFERROR(VLOOKUP(B1124,PatData!$A$2:$A$2000,1,),"")&lt;&gt;""</f>
        <v>1</v>
      </c>
      <c r="E1124" t="b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1992</v>
      </c>
      <c r="B1125" t="s">
        <v>3413</v>
      </c>
      <c r="D1125" t="b">
        <f>IFERROR(VLOOKUP(B1125,PatData!$A$2:$A$2000,1,),"")&lt;&gt;""</f>
        <v>1</v>
      </c>
      <c r="E1125" t="b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1993</v>
      </c>
      <c r="B1126" t="s">
        <v>3414</v>
      </c>
      <c r="D1126" t="b">
        <f>IFERROR(VLOOKUP(B1126,PatData!$A$2:$A$2000,1,),"")&lt;&gt;""</f>
        <v>1</v>
      </c>
      <c r="E1126" t="b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1994</v>
      </c>
      <c r="B1127" t="s">
        <v>3415</v>
      </c>
      <c r="D1127" t="b">
        <f>IFERROR(VLOOKUP(B1127,PatData!$A$2:$A$2000,1,),"")&lt;&gt;""</f>
        <v>1</v>
      </c>
      <c r="E1127" t="b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1995</v>
      </c>
      <c r="B1128" t="s">
        <v>3416</v>
      </c>
      <c r="D1128" t="b">
        <f>IFERROR(VLOOKUP(B1128,PatData!$A$2:$A$2000,1,),"")&lt;&gt;""</f>
        <v>1</v>
      </c>
      <c r="E1128" t="b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1996</v>
      </c>
      <c r="B1129" t="s">
        <v>3417</v>
      </c>
      <c r="D1129" t="b">
        <f>IFERROR(VLOOKUP(B1129,PatData!$A$2:$A$2000,1,),"")&lt;&gt;""</f>
        <v>1</v>
      </c>
      <c r="E1129" t="b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1997</v>
      </c>
      <c r="B1130" t="s">
        <v>3418</v>
      </c>
      <c r="D1130" t="b">
        <f>IFERROR(VLOOKUP(B1130,PatData!$A$2:$A$2000,1,),"")&lt;&gt;""</f>
        <v>1</v>
      </c>
      <c r="E1130" t="b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1998</v>
      </c>
      <c r="B1131" t="s">
        <v>3419</v>
      </c>
      <c r="D1131" t="b">
        <f>IFERROR(VLOOKUP(B1131,PatData!$A$2:$A$2000,1,),"")&lt;&gt;""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1999</v>
      </c>
      <c r="B1132" t="s">
        <v>3420</v>
      </c>
      <c r="D1132" t="b">
        <f>IFERROR(VLOOKUP(B1132,PatData!$A$2:$A$2000,1,),"")&lt;&gt;""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2000</v>
      </c>
      <c r="B1133" t="s">
        <v>3421</v>
      </c>
      <c r="D1133" t="b">
        <f>IFERROR(VLOOKUP(B1133,PatData!$A$2:$A$2000,1,),"")&lt;&gt;""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2002</v>
      </c>
      <c r="B1134" t="s">
        <v>3422</v>
      </c>
      <c r="D1134" t="b">
        <f>IFERROR(VLOOKUP(B1134,PatData!$A$2:$A$2000,1,),"")&lt;&gt;""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2003</v>
      </c>
      <c r="B1135" t="s">
        <v>3423</v>
      </c>
      <c r="D1135" t="b">
        <f>IFERROR(VLOOKUP(B1135,PatData!$A$2:$A$2000,1,),"")&lt;&gt;""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2004</v>
      </c>
      <c r="B1136" t="s">
        <v>3424</v>
      </c>
      <c r="D1136" t="b">
        <f>IFERROR(VLOOKUP(B1136,PatData!$A$2:$A$2000,1,),"")&lt;&gt;""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2005</v>
      </c>
      <c r="B1137" t="s">
        <v>3425</v>
      </c>
      <c r="D1137" t="b">
        <f>IFERROR(VLOOKUP(B1137,PatData!$A$2:$A$2000,1,),"")&lt;&gt;""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2006</v>
      </c>
      <c r="B1138" t="s">
        <v>3426</v>
      </c>
      <c r="D1138" t="b">
        <f>IFERROR(VLOOKUP(B1138,PatData!$A$2:$A$2000,1,),"")&lt;&gt;""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2007</v>
      </c>
      <c r="B1139" t="s">
        <v>3427</v>
      </c>
      <c r="D1139" t="b">
        <f>IFERROR(VLOOKUP(B1139,PatData!$A$2:$A$2000,1,),"")&lt;&gt;""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2008</v>
      </c>
      <c r="B1140" t="s">
        <v>3428</v>
      </c>
      <c r="D1140" t="b">
        <f>IFERROR(VLOOKUP(B1140,PatData!$A$2:$A$2000,1,),"")&lt;&gt;""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2009</v>
      </c>
      <c r="B1141" t="s">
        <v>3429</v>
      </c>
      <c r="D1141" t="b">
        <f>IFERROR(VLOOKUP(B1141,PatData!$A$2:$A$2000,1,),"")&lt;&gt;""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2010</v>
      </c>
      <c r="B1142" t="s">
        <v>3430</v>
      </c>
      <c r="D1142" t="b">
        <f>IFERROR(VLOOKUP(B1142,PatData!$A$2:$A$2000,1,),"")&lt;&gt;""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2011</v>
      </c>
      <c r="B1143" t="s">
        <v>3431</v>
      </c>
      <c r="D1143" t="b">
        <f>IFERROR(VLOOKUP(B1143,PatData!$A$2:$A$2000,1,),"")&lt;&gt;""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2013</v>
      </c>
      <c r="B1144" t="s">
        <v>3432</v>
      </c>
      <c r="D1144" t="b">
        <f>IFERROR(VLOOKUP(B1144,PatData!$A$2:$A$2000,1,),"")&lt;&gt;""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2014</v>
      </c>
      <c r="B1145" t="s">
        <v>3433</v>
      </c>
      <c r="D1145" t="b">
        <f>IFERROR(VLOOKUP(B1145,PatData!$A$2:$A$2000,1,),"")&lt;&gt;""</f>
        <v>1</v>
      </c>
      <c r="E1145" t="b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2021</v>
      </c>
      <c r="B1146" t="s">
        <v>3434</v>
      </c>
      <c r="D1146" t="b">
        <f>IFERROR(VLOOKUP(B1146,PatData!$A$2:$A$2000,1,),"")&lt;&gt;""</f>
        <v>1</v>
      </c>
      <c r="E1146" t="b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2032</v>
      </c>
      <c r="B1147" t="s">
        <v>3435</v>
      </c>
      <c r="D1147" t="b">
        <f>IFERROR(VLOOKUP(B1147,PatData!$A$2:$A$2000,1,),"")&lt;&gt;""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2043</v>
      </c>
      <c r="B1148" t="s">
        <v>3436</v>
      </c>
      <c r="D1148" t="b">
        <f>IFERROR(VLOOKUP(B1148,PatData!$A$2:$A$2000,1,),"")&lt;&gt;""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2046</v>
      </c>
      <c r="B1149" t="s">
        <v>3437</v>
      </c>
      <c r="D1149" t="b">
        <f>IFERROR(VLOOKUP(B1149,PatData!$A$2:$A$2000,1,),"")&lt;&gt;""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2047</v>
      </c>
      <c r="B1150" t="s">
        <v>3438</v>
      </c>
      <c r="D1150" t="b">
        <f>IFERROR(VLOOKUP(B1150,PatData!$A$2:$A$2000,1,),"")&lt;&gt;""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2048</v>
      </c>
      <c r="B1151" t="s">
        <v>3439</v>
      </c>
      <c r="D1151" t="b">
        <f>IFERROR(VLOOKUP(B1151,PatData!$A$2:$A$2000,1,),"")&lt;&gt;""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2049</v>
      </c>
      <c r="B1152" t="s">
        <v>3440</v>
      </c>
      <c r="D1152" t="b">
        <f>IFERROR(VLOOKUP(B1152,PatData!$A$2:$A$2000,1,),"")&lt;&gt;""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2050</v>
      </c>
      <c r="B1153" t="s">
        <v>3441</v>
      </c>
      <c r="D1153" t="b">
        <f>IFERROR(VLOOKUP(B1153,PatData!$A$2:$A$2000,1,),"")&lt;&gt;""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2051</v>
      </c>
      <c r="B1154" t="s">
        <v>3442</v>
      </c>
      <c r="D1154" t="b">
        <f>IFERROR(VLOOKUP(B1154,PatData!$A$2:$A$2000,1,),"")&lt;&gt;""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2022</v>
      </c>
      <c r="B1155" t="s">
        <v>3443</v>
      </c>
      <c r="D1155" t="b">
        <f>IFERROR(VLOOKUP(B1155,PatData!$A$2:$A$2000,1,),"")&lt;&gt;""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2023</v>
      </c>
      <c r="B1156" t="s">
        <v>3444</v>
      </c>
      <c r="D1156" t="b">
        <f>IFERROR(VLOOKUP(B1156,PatData!$A$2:$A$2000,1,),"")&lt;&gt;""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2024</v>
      </c>
      <c r="B1157" t="s">
        <v>3445</v>
      </c>
      <c r="D1157" t="b">
        <f>IFERROR(VLOOKUP(B1157,PatData!$A$2:$A$2000,1,),"")&lt;&gt;""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2025</v>
      </c>
      <c r="B1158" t="s">
        <v>3446</v>
      </c>
      <c r="D1158" t="b">
        <f>IFERROR(VLOOKUP(B1158,PatData!$A$2:$A$2000,1,),"")&lt;&gt;""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2026</v>
      </c>
      <c r="B1159" t="s">
        <v>3447</v>
      </c>
      <c r="D1159" t="b">
        <f>IFERROR(VLOOKUP(B1159,PatData!$A$2:$A$2000,1,),"")&lt;&gt;""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2027</v>
      </c>
      <c r="B1160" t="s">
        <v>3448</v>
      </c>
      <c r="D1160" t="b">
        <f>IFERROR(VLOOKUP(B1160,PatData!$A$2:$A$2000,1,),"")&lt;&gt;""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2028</v>
      </c>
      <c r="B1161" t="s">
        <v>3449</v>
      </c>
      <c r="D1161" t="b">
        <f>IFERROR(VLOOKUP(B1161,PatData!$A$2:$A$2000,1,),"")&lt;&gt;""</f>
        <v>1</v>
      </c>
      <c r="E1161" t="b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2029</v>
      </c>
      <c r="B1162" t="s">
        <v>3450</v>
      </c>
      <c r="D1162" t="b">
        <f>IFERROR(VLOOKUP(B1162,PatData!$A$2:$A$2000,1,),"")&lt;&gt;""</f>
        <v>1</v>
      </c>
      <c r="E1162" t="b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2030</v>
      </c>
      <c r="B1163" t="s">
        <v>3451</v>
      </c>
      <c r="D1163" t="b">
        <f>IFERROR(VLOOKUP(B1163,PatData!$A$2:$A$2000,1,),"")&lt;&gt;""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2031</v>
      </c>
      <c r="B1164" t="s">
        <v>3452</v>
      </c>
      <c r="D1164" t="b">
        <f>IFERROR(VLOOKUP(B1164,PatData!$A$2:$A$2000,1,),"")&lt;&gt;""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2033</v>
      </c>
      <c r="B1165" t="s">
        <v>3453</v>
      </c>
      <c r="D1165" t="b">
        <f>IFERROR(VLOOKUP(B1165,PatData!$A$2:$A$2000,1,),"")&lt;&gt;""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2034</v>
      </c>
      <c r="B1166" t="s">
        <v>3454</v>
      </c>
      <c r="D1166" t="b">
        <f>IFERROR(VLOOKUP(B1166,PatData!$A$2:$A$2000,1,),"")&lt;&gt;""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2035</v>
      </c>
      <c r="B1167" t="s">
        <v>3455</v>
      </c>
      <c r="D1167" t="b">
        <f>IFERROR(VLOOKUP(B1167,PatData!$A$2:$A$2000,1,),"")&lt;&gt;""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2036</v>
      </c>
      <c r="B1168" t="s">
        <v>3456</v>
      </c>
      <c r="D1168" t="b">
        <f>IFERROR(VLOOKUP(B1168,PatData!$A$2:$A$2000,1,),"")&lt;&gt;""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2037</v>
      </c>
      <c r="B1169" t="s">
        <v>3457</v>
      </c>
      <c r="D1169" t="b">
        <f>IFERROR(VLOOKUP(B1169,PatData!$A$2:$A$2000,1,),"")&lt;&gt;""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2038</v>
      </c>
      <c r="B1170" t="s">
        <v>3458</v>
      </c>
      <c r="D1170" t="b">
        <f>IFERROR(VLOOKUP(B1170,PatData!$A$2:$A$2000,1,),"")&lt;&gt;""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2039</v>
      </c>
      <c r="B1171" t="s">
        <v>3459</v>
      </c>
      <c r="D1171" t="b">
        <f>IFERROR(VLOOKUP(B1171,PatData!$A$2:$A$2000,1,),"")&lt;&gt;""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2040</v>
      </c>
      <c r="B1172" t="s">
        <v>3460</v>
      </c>
      <c r="D1172" t="b">
        <f>IFERROR(VLOOKUP(B1172,PatData!$A$2:$A$2000,1,),"")&lt;&gt;""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2041</v>
      </c>
      <c r="B1173" t="s">
        <v>3461</v>
      </c>
      <c r="D1173" t="b">
        <f>IFERROR(VLOOKUP(B1173,PatData!$A$2:$A$2000,1,),"")&lt;&gt;""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2042</v>
      </c>
      <c r="B1174" t="s">
        <v>3462</v>
      </c>
      <c r="D1174" t="b">
        <f>IFERROR(VLOOKUP(B1174,PatData!$A$2:$A$2000,1,),"")&lt;&gt;""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2044</v>
      </c>
      <c r="B1175" t="s">
        <v>3463</v>
      </c>
      <c r="D1175" t="b">
        <f>IFERROR(VLOOKUP(B1175,PatData!$A$2:$A$2000,1,),"")&lt;&gt;""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2045</v>
      </c>
      <c r="B1176" t="s">
        <v>3464</v>
      </c>
      <c r="D1176" t="b">
        <f>IFERROR(VLOOKUP(B1176,PatData!$A$2:$A$2000,1,),"")&lt;&gt;""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2052</v>
      </c>
      <c r="B1177" t="s">
        <v>3465</v>
      </c>
      <c r="D1177" t="b">
        <f>IFERROR(VLOOKUP(B1177,PatData!$A$2:$A$2000,1,),"")&lt;&gt;""</f>
        <v>1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2053</v>
      </c>
      <c r="B1178" t="s">
        <v>3466</v>
      </c>
      <c r="D1178" t="b">
        <f>IFERROR(VLOOKUP(B1178,PatData!$A$2:$A$2000,1,),"")&lt;&gt;""</f>
        <v>1</v>
      </c>
      <c r="E1178" t="b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2064</v>
      </c>
      <c r="B1179" t="s">
        <v>3467</v>
      </c>
      <c r="D1179" t="b">
        <f>IFERROR(VLOOKUP(B1179,PatData!$A$2:$A$2000,1,),"")&lt;&gt;""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2075</v>
      </c>
      <c r="B1180" t="s">
        <v>3468</v>
      </c>
      <c r="D1180" t="b">
        <f>IFERROR(VLOOKUP(B1180,PatData!$A$2:$A$2000,1,),"")&lt;&gt;""</f>
        <v>1</v>
      </c>
      <c r="E1180" t="b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2079</v>
      </c>
      <c r="B1181" t="s">
        <v>3469</v>
      </c>
      <c r="D1181" t="b">
        <f>IFERROR(VLOOKUP(B1181,PatData!$A$2:$A$2000,1,),"")&lt;&gt;""</f>
        <v>1</v>
      </c>
      <c r="E1181" t="b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2080</v>
      </c>
      <c r="B1182" t="s">
        <v>3470</v>
      </c>
      <c r="D1182" t="b">
        <f>IFERROR(VLOOKUP(B1182,PatData!$A$2:$A$2000,1,),"")&lt;&gt;""</f>
        <v>1</v>
      </c>
      <c r="E1182" t="b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2081</v>
      </c>
      <c r="B1183" t="s">
        <v>3471</v>
      </c>
      <c r="D1183" t="b">
        <f>IFERROR(VLOOKUP(B1183,PatData!$A$2:$A$2000,1,),"")&lt;&gt;""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2082</v>
      </c>
      <c r="B1184" t="s">
        <v>3472</v>
      </c>
      <c r="D1184" t="b">
        <f>IFERROR(VLOOKUP(B1184,PatData!$A$2:$A$2000,1,),"")&lt;&gt;""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2083</v>
      </c>
      <c r="B1185" t="s">
        <v>3473</v>
      </c>
      <c r="D1185" t="b">
        <f>IFERROR(VLOOKUP(B1185,PatData!$A$2:$A$2000,1,),"")&lt;&gt;""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2084</v>
      </c>
      <c r="B1186" t="s">
        <v>3474</v>
      </c>
      <c r="D1186" t="b">
        <f>IFERROR(VLOOKUP(B1186,PatData!$A$2:$A$2000,1,),"")&lt;&gt;""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2054</v>
      </c>
      <c r="B1187" t="s">
        <v>3475</v>
      </c>
      <c r="D1187" t="b">
        <f>IFERROR(VLOOKUP(B1187,PatData!$A$2:$A$2000,1,),"")&lt;&gt;""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2055</v>
      </c>
      <c r="B1188" t="s">
        <v>3476</v>
      </c>
      <c r="D1188" t="b">
        <f>IFERROR(VLOOKUP(B1188,PatData!$A$2:$A$2000,1,),"")&lt;&gt;""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2056</v>
      </c>
      <c r="B1189" t="s">
        <v>3477</v>
      </c>
      <c r="D1189" t="b">
        <f>IFERROR(VLOOKUP(B1189,PatData!$A$2:$A$2000,1,),"")&lt;&gt;""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2057</v>
      </c>
      <c r="B1190" t="s">
        <v>3478</v>
      </c>
      <c r="D1190" t="b">
        <f>IFERROR(VLOOKUP(B1190,PatData!$A$2:$A$2000,1,),"")&lt;&gt;""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2058</v>
      </c>
      <c r="B1191" t="s">
        <v>3479</v>
      </c>
      <c r="D1191" t="b">
        <f>IFERROR(VLOOKUP(B1191,PatData!$A$2:$A$2000,1,),"")&lt;&gt;""</f>
        <v>1</v>
      </c>
      <c r="E1191" t="b">
        <v>0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2059</v>
      </c>
      <c r="B1192" t="s">
        <v>3480</v>
      </c>
      <c r="D1192" t="b">
        <f>IFERROR(VLOOKUP(B1192,PatData!$A$2:$A$2000,1,),"")&lt;&gt;""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2060</v>
      </c>
      <c r="B1193" t="s">
        <v>3481</v>
      </c>
      <c r="D1193" t="b">
        <f>IFERROR(VLOOKUP(B1193,PatData!$A$2:$A$2000,1,),"")&lt;&gt;""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2061</v>
      </c>
      <c r="B1194" t="s">
        <v>3482</v>
      </c>
      <c r="D1194" t="b">
        <f>IFERROR(VLOOKUP(B1194,PatData!$A$2:$A$2000,1,),"")&lt;&gt;""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2062</v>
      </c>
      <c r="B1195" t="s">
        <v>3483</v>
      </c>
      <c r="D1195" t="b">
        <f>IFERROR(VLOOKUP(B1195,PatData!$A$2:$A$2000,1,),"")&lt;&gt;""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2063</v>
      </c>
      <c r="B1196" t="s">
        <v>3484</v>
      </c>
      <c r="D1196" t="b">
        <f>IFERROR(VLOOKUP(B1196,PatData!$A$2:$A$2000,1,),"")&lt;&gt;""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2065</v>
      </c>
      <c r="B1197" t="s">
        <v>3485</v>
      </c>
      <c r="D1197" t="b">
        <f>IFERROR(VLOOKUP(B1197,PatData!$A$2:$A$2000,1,),"")&lt;&gt;""</f>
        <v>1</v>
      </c>
      <c r="E1197" t="b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2066</v>
      </c>
      <c r="B1198" t="s">
        <v>3486</v>
      </c>
      <c r="D1198" t="b">
        <f>IFERROR(VLOOKUP(B1198,PatData!$A$2:$A$2000,1,),"")&lt;&gt;""</f>
        <v>1</v>
      </c>
      <c r="E1198" t="b">
        <v>0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2067</v>
      </c>
      <c r="B1199" t="s">
        <v>3487</v>
      </c>
      <c r="D1199" t="b">
        <f>IFERROR(VLOOKUP(B1199,PatData!$A$2:$A$2000,1,),"")&lt;&gt;""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2068</v>
      </c>
      <c r="B1200" t="s">
        <v>3488</v>
      </c>
      <c r="D1200" t="b">
        <f>IFERROR(VLOOKUP(B1200,PatData!$A$2:$A$2000,1,),"")&lt;&gt;""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2069</v>
      </c>
      <c r="B1201" t="s">
        <v>3489</v>
      </c>
      <c r="D1201" t="b">
        <f>IFERROR(VLOOKUP(B1201,PatData!$A$2:$A$2000,1,),"")&lt;&gt;""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2070</v>
      </c>
      <c r="B1202" t="s">
        <v>3490</v>
      </c>
      <c r="D1202" t="b">
        <f>IFERROR(VLOOKUP(B1202,PatData!$A$2:$A$2000,1,),"")&lt;&gt;""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2071</v>
      </c>
      <c r="B1203" t="s">
        <v>3491</v>
      </c>
      <c r="D1203" t="b">
        <f>IFERROR(VLOOKUP(B1203,PatData!$A$2:$A$2000,1,),"")&lt;&gt;""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2072</v>
      </c>
      <c r="B1204" t="s">
        <v>3492</v>
      </c>
      <c r="D1204" t="b">
        <f>IFERROR(VLOOKUP(B1204,PatData!$A$2:$A$2000,1,),"")&lt;&gt;""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2073</v>
      </c>
      <c r="B1205" t="s">
        <v>3493</v>
      </c>
      <c r="D1205" t="b">
        <f>IFERROR(VLOOKUP(B1205,PatData!$A$2:$A$2000,1,),"")&lt;&gt;""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2074</v>
      </c>
      <c r="B1206" t="s">
        <v>3494</v>
      </c>
      <c r="D1206" t="b">
        <f>IFERROR(VLOOKUP(B1206,PatData!$A$2:$A$2000,1,),"")&lt;&gt;""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2076</v>
      </c>
      <c r="B1207" t="s">
        <v>3495</v>
      </c>
      <c r="D1207" t="b">
        <f>IFERROR(VLOOKUP(B1207,PatData!$A$2:$A$2000,1,),"")&lt;&gt;""</f>
        <v>1</v>
      </c>
      <c r="E1207" t="b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2077</v>
      </c>
      <c r="B1208" t="s">
        <v>3496</v>
      </c>
      <c r="D1208" t="b">
        <f>IFERROR(VLOOKUP(B1208,PatData!$A$2:$A$2000,1,),"")&lt;&gt;""</f>
        <v>1</v>
      </c>
      <c r="E1208" t="b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2078</v>
      </c>
      <c r="B1209" t="s">
        <v>3497</v>
      </c>
      <c r="D1209" t="b">
        <f>IFERROR(VLOOKUP(B1209,PatData!$A$2:$A$2000,1,),"")&lt;&gt;""</f>
        <v>1</v>
      </c>
      <c r="E1209" t="b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4549</v>
      </c>
      <c r="B1210" t="s">
        <v>3798</v>
      </c>
      <c r="D1210" t="b">
        <f>IFERROR(VLOOKUP(B1210,PatData!$A$2:$A$2000,1,),"")&lt;&gt;""</f>
        <v>1</v>
      </c>
      <c r="E1210">
        <v>0</v>
      </c>
      <c r="F1210" t="b">
        <v>0</v>
      </c>
      <c r="G1210" t="b">
        <v>1</v>
      </c>
      <c r="H1210" t="b">
        <v>0</v>
      </c>
      <c r="I1210" t="b">
        <v>0</v>
      </c>
    </row>
    <row r="1211" spans="1:9" x14ac:dyDescent="0.2">
      <c r="A1211" t="s">
        <v>4550</v>
      </c>
      <c r="B1211" t="s">
        <v>4551</v>
      </c>
      <c r="D1211" t="b">
        <f>IFERROR(VLOOKUP(B1211,PatData!$A$2:$A$2000,1,),"")&lt;&gt;""</f>
        <v>1</v>
      </c>
      <c r="E1211">
        <v>0</v>
      </c>
      <c r="F1211" t="b">
        <v>0</v>
      </c>
      <c r="G1211" t="b">
        <v>1</v>
      </c>
      <c r="H1211" t="b">
        <v>0</v>
      </c>
      <c r="I1211" t="b">
        <v>0</v>
      </c>
    </row>
    <row r="1212" spans="1:9" x14ac:dyDescent="0.2">
      <c r="A1212" t="s">
        <v>4552</v>
      </c>
      <c r="B1212" t="s">
        <v>3800</v>
      </c>
      <c r="D1212" t="b">
        <f>IFERROR(VLOOKUP(B1212,PatData!$A$2:$A$2000,1,),"")&lt;&gt;""</f>
        <v>1</v>
      </c>
      <c r="E1212">
        <v>0</v>
      </c>
      <c r="F1212" t="b">
        <v>0</v>
      </c>
      <c r="G1212" t="b">
        <v>1</v>
      </c>
      <c r="H1212" t="b">
        <v>0</v>
      </c>
      <c r="I1212" t="b">
        <v>0</v>
      </c>
    </row>
    <row r="1213" spans="1:9" x14ac:dyDescent="0.2">
      <c r="A1213" t="s">
        <v>4553</v>
      </c>
      <c r="B1213" t="s">
        <v>3801</v>
      </c>
      <c r="D1213" t="b">
        <f>IFERROR(VLOOKUP(B1213,PatData!$A$2:$A$2000,1,),"")&lt;&gt;""</f>
        <v>1</v>
      </c>
      <c r="E1213">
        <v>0</v>
      </c>
      <c r="F1213" t="b">
        <v>0</v>
      </c>
      <c r="G1213" t="b">
        <v>1</v>
      </c>
      <c r="H1213" t="b">
        <v>0</v>
      </c>
      <c r="I1213" t="b">
        <v>0</v>
      </c>
    </row>
    <row r="1214" spans="1:9" x14ac:dyDescent="0.2">
      <c r="A1214" t="s">
        <v>4554</v>
      </c>
      <c r="B1214" t="s">
        <v>3797</v>
      </c>
      <c r="D1214" t="b">
        <f>IFERROR(VLOOKUP(B1214,PatData!$A$2:$A$2000,1,),"")&lt;&gt;""</f>
        <v>1</v>
      </c>
      <c r="E1214">
        <v>1462</v>
      </c>
      <c r="F1214" t="b">
        <v>0</v>
      </c>
      <c r="G1214" t="b">
        <v>1</v>
      </c>
      <c r="H1214" t="b">
        <v>0</v>
      </c>
      <c r="I1214" t="b">
        <v>0</v>
      </c>
    </row>
    <row r="1215" spans="1:9" x14ac:dyDescent="0.2">
      <c r="A1215" t="s">
        <v>4555</v>
      </c>
      <c r="B1215" t="s">
        <v>3799</v>
      </c>
      <c r="D1215" t="b">
        <f>IFERROR(VLOOKUP(B1215,PatData!$A$2:$A$2000,1,),"")&lt;&gt;""</f>
        <v>1</v>
      </c>
      <c r="E1215">
        <v>0</v>
      </c>
      <c r="F1215" t="b">
        <v>0</v>
      </c>
      <c r="G1215" t="b">
        <v>1</v>
      </c>
      <c r="H1215" t="b">
        <v>0</v>
      </c>
      <c r="I1215" t="b">
        <v>0</v>
      </c>
    </row>
    <row r="1216" spans="1:9" x14ac:dyDescent="0.2">
      <c r="A1216" t="s">
        <v>4556</v>
      </c>
      <c r="B1216" t="s">
        <v>2304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0</v>
      </c>
      <c r="I1216" t="b">
        <v>1</v>
      </c>
    </row>
    <row r="1217" spans="1:9" x14ac:dyDescent="0.2">
      <c r="A1217" t="s">
        <v>4557</v>
      </c>
      <c r="B1217" t="s">
        <v>2305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0</v>
      </c>
      <c r="I1217" t="b">
        <v>1</v>
      </c>
    </row>
    <row r="1218" spans="1:9" x14ac:dyDescent="0.2">
      <c r="A1218" t="s">
        <v>4558</v>
      </c>
      <c r="B1218" t="s">
        <v>2306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0</v>
      </c>
      <c r="I1218" t="b">
        <v>1</v>
      </c>
    </row>
    <row r="1219" spans="1:9" x14ac:dyDescent="0.2">
      <c r="A1219" t="s">
        <v>4559</v>
      </c>
      <c r="B1219" t="s">
        <v>2307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0</v>
      </c>
      <c r="I1219" t="b">
        <v>1</v>
      </c>
    </row>
    <row r="1220" spans="1:9" x14ac:dyDescent="0.2">
      <c r="A1220" t="s">
        <v>4560</v>
      </c>
      <c r="B1220" t="s">
        <v>2308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0</v>
      </c>
      <c r="I1220" t="b">
        <v>1</v>
      </c>
    </row>
    <row r="1221" spans="1:9" x14ac:dyDescent="0.2">
      <c r="A1221" t="s">
        <v>4561</v>
      </c>
      <c r="B1221" t="s">
        <v>2309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0</v>
      </c>
      <c r="I1221" t="b">
        <v>1</v>
      </c>
    </row>
    <row r="1222" spans="1:9" x14ac:dyDescent="0.2">
      <c r="A1222" t="s">
        <v>4562</v>
      </c>
      <c r="B1222" t="s">
        <v>2310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0</v>
      </c>
      <c r="I1222" t="b">
        <v>1</v>
      </c>
    </row>
    <row r="1223" spans="1:9" x14ac:dyDescent="0.2">
      <c r="A1223" t="s">
        <v>4563</v>
      </c>
      <c r="B1223" t="s">
        <v>2311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0</v>
      </c>
      <c r="I1223" t="b">
        <v>1</v>
      </c>
    </row>
    <row r="1224" spans="1:9" x14ac:dyDescent="0.2">
      <c r="A1224" t="s">
        <v>4564</v>
      </c>
      <c r="B1224" t="s">
        <v>2312</v>
      </c>
      <c r="D1224" t="b">
        <f>IFERROR(VLOOKUP(B1224,PatData!$A$2:$A$2000,1,),"")&lt;&gt;""</f>
        <v>1</v>
      </c>
      <c r="E1224" t="b">
        <v>0</v>
      </c>
      <c r="F1224" t="b">
        <v>0</v>
      </c>
      <c r="G1224" t="b">
        <v>1</v>
      </c>
      <c r="H1224" t="b">
        <v>0</v>
      </c>
      <c r="I1224" t="b">
        <v>1</v>
      </c>
    </row>
    <row r="1225" spans="1:9" x14ac:dyDescent="0.2">
      <c r="A1225" t="s">
        <v>4565</v>
      </c>
      <c r="B1225" t="s">
        <v>2313</v>
      </c>
      <c r="D1225" t="b">
        <f>IFERROR(VLOOKUP(B1225,PatData!$A$2:$A$2000,1,),"")&lt;&gt;""</f>
        <v>1</v>
      </c>
      <c r="E1225" t="b">
        <v>0</v>
      </c>
      <c r="F1225" t="b">
        <v>0</v>
      </c>
      <c r="G1225" t="b">
        <v>1</v>
      </c>
      <c r="H1225" t="b">
        <v>0</v>
      </c>
      <c r="I1225" t="b">
        <v>1</v>
      </c>
    </row>
    <row r="1226" spans="1:9" x14ac:dyDescent="0.2">
      <c r="A1226" t="s">
        <v>4566</v>
      </c>
      <c r="B1226" t="s">
        <v>2314</v>
      </c>
      <c r="D1226" t="b">
        <f>IFERROR(VLOOKUP(B1226,PatData!$A$2:$A$2000,1,),"")&lt;&gt;""</f>
        <v>1</v>
      </c>
      <c r="E1226" t="b">
        <v>0</v>
      </c>
      <c r="F1226" t="b">
        <v>0</v>
      </c>
      <c r="G1226" t="b">
        <v>1</v>
      </c>
      <c r="H1226" t="b">
        <v>0</v>
      </c>
      <c r="I1226" t="b">
        <v>1</v>
      </c>
    </row>
    <row r="1227" spans="1:9" x14ac:dyDescent="0.2">
      <c r="A1227" t="s">
        <v>4567</v>
      </c>
      <c r="B1227" t="s">
        <v>2315</v>
      </c>
      <c r="D1227" t="b">
        <f>IFERROR(VLOOKUP(B1227,PatData!$A$2:$A$2000,1,),"")&lt;&gt;""</f>
        <v>1</v>
      </c>
      <c r="E1227" t="b">
        <v>0</v>
      </c>
      <c r="F1227" t="b">
        <v>0</v>
      </c>
      <c r="G1227" t="b">
        <v>1</v>
      </c>
      <c r="H1227" t="b">
        <v>0</v>
      </c>
      <c r="I1227" t="b">
        <v>1</v>
      </c>
    </row>
    <row r="1228" spans="1:9" x14ac:dyDescent="0.2">
      <c r="A1228" t="s">
        <v>4568</v>
      </c>
      <c r="B1228" t="s">
        <v>2316</v>
      </c>
      <c r="D1228" t="b">
        <f>IFERROR(VLOOKUP(B1228,PatData!$A$2:$A$2000,1,),"")&lt;&gt;""</f>
        <v>1</v>
      </c>
      <c r="E1228" t="b">
        <v>0</v>
      </c>
      <c r="F1228" t="b">
        <v>0</v>
      </c>
      <c r="G1228" t="b">
        <v>1</v>
      </c>
      <c r="H1228" t="b">
        <v>0</v>
      </c>
      <c r="I1228" t="b">
        <v>1</v>
      </c>
    </row>
    <row r="1229" spans="1:9" x14ac:dyDescent="0.2">
      <c r="A1229" t="s">
        <v>4569</v>
      </c>
      <c r="B1229" t="s">
        <v>2317</v>
      </c>
      <c r="D1229" t="b">
        <f>IFERROR(VLOOKUP(B1229,PatData!$A$2:$A$2000,1,),"")&lt;&gt;""</f>
        <v>1</v>
      </c>
      <c r="E1229" t="b">
        <v>0</v>
      </c>
      <c r="F1229" t="b">
        <v>0</v>
      </c>
      <c r="G1229" t="b">
        <v>1</v>
      </c>
      <c r="H1229" t="b">
        <v>0</v>
      </c>
      <c r="I1229" t="b">
        <v>1</v>
      </c>
    </row>
    <row r="1230" spans="1:9" x14ac:dyDescent="0.2">
      <c r="A1230" t="s">
        <v>4570</v>
      </c>
      <c r="B1230" t="s">
        <v>2318</v>
      </c>
      <c r="D1230" t="b">
        <f>IFERROR(VLOOKUP(B1230,PatData!$A$2:$A$2000,1,),"")&lt;&gt;""</f>
        <v>1</v>
      </c>
      <c r="E1230" t="b">
        <v>0</v>
      </c>
      <c r="F1230" t="b">
        <v>0</v>
      </c>
      <c r="G1230" t="b">
        <v>1</v>
      </c>
      <c r="H1230" t="b">
        <v>0</v>
      </c>
      <c r="I1230" t="b">
        <v>1</v>
      </c>
    </row>
    <row r="1231" spans="1:9" x14ac:dyDescent="0.2">
      <c r="A1231" t="s">
        <v>4571</v>
      </c>
      <c r="B1231" t="s">
        <v>2319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2">
      <c r="A1232" t="s">
        <v>4572</v>
      </c>
      <c r="B1232" t="s">
        <v>2320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2">
      <c r="A1233" t="s">
        <v>4573</v>
      </c>
      <c r="B1233" t="s">
        <v>2321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2">
      <c r="A1234" t="s">
        <v>4574</v>
      </c>
      <c r="B1234" t="s">
        <v>2322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2">
      <c r="A1235" t="s">
        <v>4575</v>
      </c>
      <c r="B1235" t="s">
        <v>2323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2">
      <c r="A1236" t="s">
        <v>4576</v>
      </c>
      <c r="B1236" t="s">
        <v>2324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2">
      <c r="A1237" t="s">
        <v>4577</v>
      </c>
      <c r="B1237" t="s">
        <v>2325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2">
      <c r="A1238" t="s">
        <v>4578</v>
      </c>
      <c r="B1238" t="s">
        <v>2326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2">
      <c r="A1239" t="s">
        <v>4579</v>
      </c>
      <c r="B1239" t="s">
        <v>2327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2">
      <c r="A1240" t="s">
        <v>4580</v>
      </c>
      <c r="B1240" t="s">
        <v>2328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2">
      <c r="A1241" t="s">
        <v>4581</v>
      </c>
      <c r="B1241" t="s">
        <v>2329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2">
      <c r="A1242" t="s">
        <v>4582</v>
      </c>
      <c r="B1242" t="s">
        <v>2330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2">
      <c r="A1243" t="s">
        <v>4583</v>
      </c>
      <c r="B1243" t="s">
        <v>2331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2">
      <c r="A1244" t="s">
        <v>4584</v>
      </c>
      <c r="B1244" t="s">
        <v>2332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2">
      <c r="A1245" t="s">
        <v>4585</v>
      </c>
      <c r="B1245" t="s">
        <v>2333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2">
      <c r="A1246" t="s">
        <v>4586</v>
      </c>
      <c r="B1246" t="s">
        <v>2334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2">
      <c r="A1247" t="s">
        <v>4587</v>
      </c>
      <c r="B1247" t="s">
        <v>2335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2">
      <c r="A1248" t="s">
        <v>4588</v>
      </c>
      <c r="B1248" t="s">
        <v>2336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2">
      <c r="A1249" t="s">
        <v>4589</v>
      </c>
      <c r="B1249" t="s">
        <v>2337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2">
      <c r="A1250" t="s">
        <v>4590</v>
      </c>
      <c r="B1250" t="s">
        <v>2338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2">
      <c r="A1251" t="s">
        <v>4591</v>
      </c>
      <c r="B1251" t="s">
        <v>2339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2">
      <c r="A1252" t="s">
        <v>4592</v>
      </c>
      <c r="B1252" t="s">
        <v>2340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2">
      <c r="A1253" t="s">
        <v>4593</v>
      </c>
      <c r="B1253" t="s">
        <v>2341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2">
      <c r="A1254" t="s">
        <v>4594</v>
      </c>
      <c r="B1254" t="s">
        <v>2342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2">
      <c r="A1255" t="s">
        <v>4595</v>
      </c>
      <c r="B1255" t="s">
        <v>2343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2">
      <c r="A1256" t="s">
        <v>4596</v>
      </c>
      <c r="B1256" t="s">
        <v>2344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2">
      <c r="A1257" t="s">
        <v>4597</v>
      </c>
      <c r="B1257" t="s">
        <v>2345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2">
      <c r="A1258" t="s">
        <v>4598</v>
      </c>
      <c r="B1258" t="s">
        <v>2346</v>
      </c>
      <c r="D1258" t="b">
        <f>IFERROR(VLOOKUP(B1258,PatData!$A$2:$A$2000,1,),"")&lt;&gt;""</f>
        <v>1</v>
      </c>
      <c r="E1258">
        <v>0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2">
      <c r="A1259" t="s">
        <v>4599</v>
      </c>
      <c r="B1259" t="s">
        <v>2347</v>
      </c>
      <c r="D1259" t="b">
        <f>IFERROR(VLOOKUP(B1259,PatData!$A$2:$A$2000,1,),"")&lt;&gt;""</f>
        <v>1</v>
      </c>
      <c r="E1259">
        <v>0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2">
      <c r="A1260" t="s">
        <v>4600</v>
      </c>
      <c r="B1260" t="s">
        <v>2348</v>
      </c>
      <c r="D1260" t="b">
        <f>IFERROR(VLOOKUP(B1260,PatData!$A$2:$A$2000,1,),"")&lt;&gt;""</f>
        <v>1</v>
      </c>
      <c r="E1260">
        <v>0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2">
      <c r="A1261" t="s">
        <v>4601</v>
      </c>
      <c r="B1261" t="s">
        <v>2349</v>
      </c>
      <c r="D1261" t="b">
        <f>IFERROR(VLOOKUP(B1261,PatData!$A$2:$A$2000,1,),"")&lt;&gt;""</f>
        <v>1</v>
      </c>
      <c r="E1261">
        <v>0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2">
      <c r="A1262" t="s">
        <v>4602</v>
      </c>
      <c r="B1262" t="s">
        <v>2350</v>
      </c>
      <c r="D1262" t="b">
        <f>IFERROR(VLOOKUP(B1262,PatData!$A$2:$A$2000,1,),"")&lt;&gt;""</f>
        <v>1</v>
      </c>
      <c r="E1262">
        <v>0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2">
      <c r="A1263" t="s">
        <v>4603</v>
      </c>
      <c r="B1263" t="s">
        <v>2351</v>
      </c>
      <c r="D1263" t="b">
        <f>IFERROR(VLOOKUP(B1263,PatData!$A$2:$A$2000,1,),"")&lt;&gt;""</f>
        <v>1</v>
      </c>
      <c r="E1263">
        <v>0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2">
      <c r="A1264" t="s">
        <v>4604</v>
      </c>
      <c r="B1264" t="s">
        <v>2352</v>
      </c>
      <c r="D1264" t="b">
        <f>IFERROR(VLOOKUP(B1264,PatData!$A$2:$A$2000,1,),"")&lt;&gt;""</f>
        <v>1</v>
      </c>
      <c r="E1264">
        <v>0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2">
      <c r="A1265" t="s">
        <v>4605</v>
      </c>
      <c r="B1265" t="s">
        <v>2353</v>
      </c>
      <c r="D1265" t="b">
        <f>IFERROR(VLOOKUP(B1265,PatData!$A$2:$A$2000,1,),"")&lt;&gt;""</f>
        <v>1</v>
      </c>
      <c r="E1265">
        <v>0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2">
      <c r="A1266" t="s">
        <v>4606</v>
      </c>
      <c r="B1266" t="s">
        <v>2354</v>
      </c>
      <c r="D1266" t="b">
        <f>IFERROR(VLOOKUP(B1266,PatData!$A$2:$A$2000,1,),"")&lt;&gt;""</f>
        <v>1</v>
      </c>
      <c r="E1266">
        <v>0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2">
      <c r="A1267" t="s">
        <v>4607</v>
      </c>
      <c r="B1267" t="s">
        <v>2355</v>
      </c>
      <c r="D1267" t="b">
        <f>IFERROR(VLOOKUP(B1267,PatData!$A$2:$A$2000,1,),"")&lt;&gt;""</f>
        <v>1</v>
      </c>
      <c r="F1267" t="b">
        <v>0</v>
      </c>
      <c r="G1267" t="b">
        <v>1</v>
      </c>
      <c r="H1267" t="b">
        <v>0</v>
      </c>
      <c r="I1267" t="b">
        <v>1</v>
      </c>
    </row>
    <row r="1268" spans="1:9" x14ac:dyDescent="0.2">
      <c r="A1268" t="s">
        <v>4608</v>
      </c>
      <c r="B1268" t="s">
        <v>2356</v>
      </c>
      <c r="D1268" t="b">
        <f>IFERROR(VLOOKUP(B1268,PatData!$A$2:$A$2000,1,),"")&lt;&gt;""</f>
        <v>1</v>
      </c>
      <c r="E1268">
        <v>0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2">
      <c r="A1269" t="s">
        <v>4609</v>
      </c>
      <c r="B1269" t="s">
        <v>2357</v>
      </c>
      <c r="D1269" t="b">
        <f>IFERROR(VLOOKUP(B1269,PatData!$A$2:$A$2000,1,),"")&lt;&gt;""</f>
        <v>1</v>
      </c>
      <c r="E1269">
        <v>1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2">
      <c r="A1270" t="s">
        <v>4610</v>
      </c>
      <c r="B1270" t="s">
        <v>2358</v>
      </c>
      <c r="D1270" t="b">
        <f>IFERROR(VLOOKUP(B1270,PatData!$A$2:$A$2000,1,),"")&lt;&gt;""</f>
        <v>1</v>
      </c>
      <c r="E1270">
        <v>1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2">
      <c r="A1271" t="s">
        <v>4611</v>
      </c>
      <c r="B1271" t="s">
        <v>2359</v>
      </c>
      <c r="D1271" t="b">
        <f>IFERROR(VLOOKUP(B1271,PatData!$A$2:$A$2000,1,),"")&lt;&gt;""</f>
        <v>1</v>
      </c>
      <c r="E1271">
        <v>1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2">
      <c r="A1272" t="s">
        <v>4612</v>
      </c>
      <c r="B1272" t="s">
        <v>2360</v>
      </c>
      <c r="D1272" t="b">
        <f>IFERROR(VLOOKUP(B1272,PatData!$A$2:$A$2000,1,),"")&lt;&gt;""</f>
        <v>1</v>
      </c>
      <c r="E1272">
        <v>1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2">
      <c r="A1273" t="s">
        <v>4613</v>
      </c>
      <c r="B1273" t="s">
        <v>2361</v>
      </c>
      <c r="D1273" t="b">
        <f>IFERROR(VLOOKUP(B1273,PatData!$A$2:$A$2000,1,),"")&lt;&gt;""</f>
        <v>1</v>
      </c>
      <c r="E1273">
        <v>1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2">
      <c r="A1274" t="s">
        <v>4614</v>
      </c>
      <c r="B1274" t="s">
        <v>2362</v>
      </c>
      <c r="D1274" t="b">
        <f>IFERROR(VLOOKUP(B1274,PatData!$A$2:$A$2000,1,),"")&lt;&gt;""</f>
        <v>1</v>
      </c>
      <c r="E1274">
        <v>1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2">
      <c r="A1275" t="s">
        <v>4615</v>
      </c>
      <c r="B1275" t="s">
        <v>2363</v>
      </c>
      <c r="D1275" t="b">
        <f>IFERROR(VLOOKUP(B1275,PatData!$A$2:$A$2000,1,),"")&lt;&gt;""</f>
        <v>1</v>
      </c>
      <c r="E1275">
        <v>1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2">
      <c r="A1276" t="s">
        <v>4616</v>
      </c>
      <c r="B1276" t="s">
        <v>2364</v>
      </c>
      <c r="D1276" t="b">
        <f>IFERROR(VLOOKUP(B1276,PatData!$A$2:$A$2000,1,),"")&lt;&gt;""</f>
        <v>1</v>
      </c>
      <c r="E1276">
        <v>1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2">
      <c r="A1277" t="s">
        <v>4617</v>
      </c>
      <c r="B1277" t="s">
        <v>2365</v>
      </c>
      <c r="D1277" t="b">
        <f>IFERROR(VLOOKUP(B1277,PatData!$A$2:$A$2000,1,),"")&lt;&gt;""</f>
        <v>1</v>
      </c>
      <c r="E1277">
        <v>1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2">
      <c r="A1278" t="s">
        <v>4618</v>
      </c>
      <c r="B1278" t="s">
        <v>2366</v>
      </c>
      <c r="D1278" t="b">
        <f>IFERROR(VLOOKUP(B1278,PatData!$A$2:$A$2000,1,),"")&lt;&gt;""</f>
        <v>1</v>
      </c>
      <c r="E1278">
        <v>1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2">
      <c r="A1279" t="s">
        <v>4619</v>
      </c>
      <c r="B1279" t="s">
        <v>3498</v>
      </c>
      <c r="D1279" t="b">
        <f>IFERROR(VLOOKUP(B1279,PatData!$A$2:$A$2000,1,),"")&lt;&gt;""</f>
        <v>1</v>
      </c>
      <c r="F1279" t="b">
        <v>0</v>
      </c>
      <c r="G1279" t="b">
        <v>1</v>
      </c>
      <c r="H1279" t="b">
        <v>0</v>
      </c>
      <c r="I1279" t="b">
        <v>1</v>
      </c>
    </row>
    <row r="1280" spans="1:9" x14ac:dyDescent="0.2">
      <c r="A1280" t="s">
        <v>4619</v>
      </c>
      <c r="B1280" t="s">
        <v>2367</v>
      </c>
      <c r="D1280" t="b">
        <f>IFERROR(VLOOKUP(B1280,PatData!$A$2:$A$2000,1,),"")&lt;&gt;""</f>
        <v>1</v>
      </c>
      <c r="F1280" t="b">
        <v>0</v>
      </c>
      <c r="G1280" t="b">
        <v>1</v>
      </c>
      <c r="H1280" t="b">
        <v>0</v>
      </c>
      <c r="I1280" t="b">
        <v>1</v>
      </c>
    </row>
    <row r="1281" spans="1:9" x14ac:dyDescent="0.2">
      <c r="A1281" t="s">
        <v>4620</v>
      </c>
      <c r="B1281" t="s">
        <v>2368</v>
      </c>
      <c r="D1281" t="b">
        <f>IFERROR(VLOOKUP(B1281,PatData!$A$2:$A$2000,1,),"")&lt;&gt;""</f>
        <v>1</v>
      </c>
      <c r="E1281">
        <v>0</v>
      </c>
      <c r="F1281" t="b">
        <v>0</v>
      </c>
      <c r="G1281" t="b">
        <v>1</v>
      </c>
      <c r="H1281" t="b">
        <v>0</v>
      </c>
      <c r="I1281" t="b">
        <v>1</v>
      </c>
    </row>
    <row r="1282" spans="1:9" x14ac:dyDescent="0.2">
      <c r="A1282" t="s">
        <v>4607</v>
      </c>
      <c r="B1282" t="s">
        <v>2183</v>
      </c>
      <c r="D1282" t="b">
        <f>IFERROR(VLOOKUP(B1282,PatData!$A$2:$A$2000,1,),"")&lt;&gt;""</f>
        <v>1</v>
      </c>
      <c r="F1282" t="b">
        <v>0</v>
      </c>
      <c r="G1282" t="b">
        <v>1</v>
      </c>
      <c r="H1282" t="b">
        <v>0</v>
      </c>
      <c r="I1282" t="b">
        <v>1</v>
      </c>
    </row>
    <row r="1283" spans="1:9" x14ac:dyDescent="0.2">
      <c r="A1283" t="s">
        <v>1333</v>
      </c>
      <c r="B1283" t="s">
        <v>3499</v>
      </c>
      <c r="D1283" t="b">
        <f>IFERROR(VLOOKUP(B1283,PatData!$A$2:$A$2000,1,),"")&lt;&gt;""</f>
        <v>1</v>
      </c>
      <c r="E1283">
        <v>1</v>
      </c>
      <c r="F1283" t="b">
        <v>0</v>
      </c>
      <c r="G1283" t="b">
        <v>1</v>
      </c>
      <c r="H1283" t="b">
        <v>0</v>
      </c>
      <c r="I1283" t="b">
        <v>1</v>
      </c>
    </row>
    <row r="1284" spans="1:9" x14ac:dyDescent="0.2">
      <c r="A1284" t="s">
        <v>1334</v>
      </c>
      <c r="B1284" t="s">
        <v>3500</v>
      </c>
      <c r="D1284" t="b">
        <f>IFERROR(VLOOKUP(B1284,PatData!$A$2:$A$2000,1,),"")&lt;&gt;""</f>
        <v>1</v>
      </c>
      <c r="E1284">
        <v>1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2">
      <c r="A1285" t="s">
        <v>1335</v>
      </c>
      <c r="B1285" t="s">
        <v>3501</v>
      </c>
      <c r="D1285" t="b">
        <f>IFERROR(VLOOKUP(B1285,PatData!$A$2:$A$2000,1,),"")&lt;&gt;""</f>
        <v>1</v>
      </c>
      <c r="E1285"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2">
      <c r="A1286" t="s">
        <v>1336</v>
      </c>
      <c r="B1286" t="s">
        <v>3502</v>
      </c>
      <c r="D1286" t="b">
        <f>IFERROR(VLOOKUP(B1286,PatData!$A$2:$A$2000,1,),"")&lt;&gt;""</f>
        <v>1</v>
      </c>
      <c r="E1286"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2">
      <c r="A1287" t="s">
        <v>1337</v>
      </c>
      <c r="B1287" t="s">
        <v>3503</v>
      </c>
      <c r="D1287" t="b">
        <f>IFERROR(VLOOKUP(B1287,PatData!$A$2:$A$2000,1,),"")&lt;&gt;""</f>
        <v>1</v>
      </c>
      <c r="E1287"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2">
      <c r="A1288" t="s">
        <v>1338</v>
      </c>
      <c r="B1288" t="s">
        <v>3504</v>
      </c>
      <c r="D1288" t="b">
        <f>IFERROR(VLOOKUP(B1288,PatData!$A$2:$A$2000,1,),"")&lt;&gt;""</f>
        <v>1</v>
      </c>
      <c r="E1288"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2">
      <c r="A1289" t="s">
        <v>1339</v>
      </c>
      <c r="B1289" t="s">
        <v>3505</v>
      </c>
      <c r="D1289" t="b">
        <f>IFERROR(VLOOKUP(B1289,PatData!$A$2:$A$2000,1,),"")&lt;&gt;""</f>
        <v>1</v>
      </c>
      <c r="E1289"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2">
      <c r="A1290" t="s">
        <v>1340</v>
      </c>
      <c r="B1290" t="s">
        <v>3506</v>
      </c>
      <c r="D1290" t="b">
        <f>IFERROR(VLOOKUP(B1290,PatData!$A$2:$A$2000,1,),"")&lt;&gt;""</f>
        <v>1</v>
      </c>
      <c r="E1290"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2">
      <c r="A1291" t="s">
        <v>5158</v>
      </c>
      <c r="B1291" t="s">
        <v>3507</v>
      </c>
      <c r="D1291" t="b">
        <f>IFERROR(VLOOKUP(B1291,PatData!$A$2:$A$2000,1,),"")&lt;&gt;""</f>
        <v>1</v>
      </c>
      <c r="F1291" t="b">
        <v>0</v>
      </c>
      <c r="G1291" t="b">
        <v>1</v>
      </c>
      <c r="H1291" t="b">
        <v>0</v>
      </c>
      <c r="I1291" t="b">
        <v>1</v>
      </c>
    </row>
    <row r="1292" spans="1:9" x14ac:dyDescent="0.2">
      <c r="A1292" t="s">
        <v>1341</v>
      </c>
      <c r="B1292" t="s">
        <v>3508</v>
      </c>
      <c r="D1292" t="b">
        <f>IFERROR(VLOOKUP(B1292,PatData!$A$2:$A$2000,1,),"")&lt;&gt;""</f>
        <v>1</v>
      </c>
      <c r="E1292">
        <v>1</v>
      </c>
      <c r="F1292" t="b">
        <v>0</v>
      </c>
      <c r="G1292" t="b">
        <v>1</v>
      </c>
      <c r="H1292" t="b">
        <v>0</v>
      </c>
      <c r="I1292" t="b">
        <v>1</v>
      </c>
    </row>
    <row r="1293" spans="1:9" x14ac:dyDescent="0.2">
      <c r="A1293" t="s">
        <v>1342</v>
      </c>
      <c r="B1293" t="s">
        <v>3509</v>
      </c>
      <c r="D1293" t="b">
        <f>IFERROR(VLOOKUP(B1293,PatData!$A$2:$A$2000,1,),"")&lt;&gt;""</f>
        <v>1</v>
      </c>
      <c r="E1293">
        <v>0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2">
      <c r="A1294" t="s">
        <v>1343</v>
      </c>
      <c r="B1294" t="s">
        <v>3510</v>
      </c>
      <c r="D1294" t="b">
        <f>IFERROR(VLOOKUP(B1294,PatData!$A$2:$A$2000,1,),"")&lt;&gt;""</f>
        <v>1</v>
      </c>
      <c r="E1294">
        <v>0</v>
      </c>
      <c r="F1294" t="b">
        <v>0</v>
      </c>
      <c r="G1294" t="b">
        <v>1</v>
      </c>
      <c r="H1294" t="b">
        <v>0</v>
      </c>
      <c r="I1294" t="b">
        <v>1</v>
      </c>
    </row>
    <row r="1295" spans="1:9" x14ac:dyDescent="0.2">
      <c r="A1295" t="s">
        <v>1344</v>
      </c>
      <c r="B1295" t="s">
        <v>3511</v>
      </c>
      <c r="D1295" t="b">
        <f>IFERROR(VLOOKUP(B1295,PatData!$A$2:$A$2000,1,),"")&lt;&gt;""</f>
        <v>1</v>
      </c>
      <c r="E1295">
        <v>0</v>
      </c>
      <c r="F1295" t="b">
        <v>0</v>
      </c>
      <c r="G1295" t="b">
        <v>1</v>
      </c>
      <c r="H1295" t="b">
        <v>0</v>
      </c>
      <c r="I1295" t="b">
        <v>1</v>
      </c>
    </row>
    <row r="1296" spans="1:9" x14ac:dyDescent="0.2">
      <c r="A1296" t="s">
        <v>1345</v>
      </c>
      <c r="B1296" t="s">
        <v>3512</v>
      </c>
      <c r="D1296" t="b">
        <f>IFERROR(VLOOKUP(B1296,PatData!$A$2:$A$2000,1,),"")&lt;&gt;""</f>
        <v>1</v>
      </c>
      <c r="E1296">
        <v>0</v>
      </c>
      <c r="F1296" t="b">
        <v>0</v>
      </c>
      <c r="G1296" t="b">
        <v>1</v>
      </c>
      <c r="H1296" t="b">
        <v>0</v>
      </c>
      <c r="I1296" t="b">
        <v>1</v>
      </c>
    </row>
    <row r="1297" spans="1:9" x14ac:dyDescent="0.2">
      <c r="A1297" t="s">
        <v>1346</v>
      </c>
      <c r="B1297" t="s">
        <v>3513</v>
      </c>
      <c r="D1297" t="b">
        <f>IFERROR(VLOOKUP(B1297,PatData!$A$2:$A$2000,1,),"")&lt;&gt;""</f>
        <v>1</v>
      </c>
      <c r="E1297">
        <v>0</v>
      </c>
      <c r="F1297" t="b">
        <v>0</v>
      </c>
      <c r="G1297" t="b">
        <v>1</v>
      </c>
      <c r="H1297" t="b">
        <v>0</v>
      </c>
      <c r="I1297" t="b">
        <v>1</v>
      </c>
    </row>
    <row r="1298" spans="1:9" x14ac:dyDescent="0.2">
      <c r="A1298" t="s">
        <v>1347</v>
      </c>
      <c r="B1298" t="s">
        <v>3514</v>
      </c>
      <c r="D1298" t="b">
        <f>IFERROR(VLOOKUP(B1298,PatData!$A$2:$A$2000,1,),"")&lt;&gt;""</f>
        <v>1</v>
      </c>
      <c r="E1298">
        <v>0</v>
      </c>
      <c r="F1298" t="b">
        <v>0</v>
      </c>
      <c r="G1298" t="b">
        <v>1</v>
      </c>
      <c r="H1298" t="b">
        <v>0</v>
      </c>
      <c r="I1298" t="b">
        <v>1</v>
      </c>
    </row>
    <row r="1299" spans="1:9" x14ac:dyDescent="0.2">
      <c r="A1299" t="s">
        <v>1348</v>
      </c>
      <c r="B1299" t="s">
        <v>3515</v>
      </c>
      <c r="D1299" t="b">
        <f>IFERROR(VLOOKUP(B1299,PatData!$A$2:$A$2000,1,),"")&lt;&gt;""</f>
        <v>1</v>
      </c>
      <c r="E1299">
        <v>0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2">
      <c r="A1300" t="s">
        <v>1349</v>
      </c>
      <c r="B1300" t="s">
        <v>3516</v>
      </c>
      <c r="D1300" t="b">
        <f>IFERROR(VLOOKUP(B1300,PatData!$A$2:$A$2000,1,),"")&lt;&gt;""</f>
        <v>1</v>
      </c>
      <c r="E1300">
        <v>0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2">
      <c r="A1301" t="s">
        <v>1350</v>
      </c>
      <c r="B1301" t="s">
        <v>3517</v>
      </c>
      <c r="D1301" t="b">
        <f>IFERROR(VLOOKUP(B1301,PatData!$A$2:$A$2000,1,),"")&lt;&gt;""</f>
        <v>1</v>
      </c>
      <c r="E1301">
        <v>0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2">
      <c r="A1302" t="s">
        <v>1351</v>
      </c>
      <c r="B1302" t="s">
        <v>3518</v>
      </c>
      <c r="D1302" t="b">
        <f>IFERROR(VLOOKUP(B1302,PatData!$A$2:$A$2000,1,),"")&lt;&gt;""</f>
        <v>1</v>
      </c>
      <c r="E1302">
        <v>0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2">
      <c r="A1303" t="s">
        <v>1352</v>
      </c>
      <c r="B1303" t="s">
        <v>3519</v>
      </c>
      <c r="D1303" t="b">
        <f>IFERROR(VLOOKUP(B1303,PatData!$A$2:$A$2000,1,),"")&lt;&gt;""</f>
        <v>1</v>
      </c>
      <c r="E1303">
        <v>0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2">
      <c r="A1304" t="s">
        <v>1353</v>
      </c>
      <c r="B1304" t="s">
        <v>3520</v>
      </c>
      <c r="D1304" t="b">
        <f>IFERROR(VLOOKUP(B1304,PatData!$A$2:$A$2000,1,),"")&lt;&gt;""</f>
        <v>1</v>
      </c>
      <c r="E1304">
        <v>0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2">
      <c r="A1305" t="s">
        <v>1354</v>
      </c>
      <c r="B1305" t="s">
        <v>3521</v>
      </c>
      <c r="D1305" t="b">
        <f>IFERROR(VLOOKUP(B1305,PatData!$A$2:$A$2000,1,),"")&lt;&gt;""</f>
        <v>1</v>
      </c>
      <c r="E1305">
        <v>0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2">
      <c r="A1306" t="s">
        <v>1355</v>
      </c>
      <c r="B1306" t="s">
        <v>3522</v>
      </c>
      <c r="D1306" t="b">
        <f>IFERROR(VLOOKUP(B1306,PatData!$A$2:$A$2000,1,),"")&lt;&gt;""</f>
        <v>1</v>
      </c>
      <c r="E1306">
        <v>0</v>
      </c>
      <c r="F1306" t="b">
        <v>0</v>
      </c>
      <c r="G1306" t="b">
        <v>1</v>
      </c>
      <c r="H1306" t="b">
        <v>0</v>
      </c>
      <c r="I1306" t="b">
        <v>1</v>
      </c>
    </row>
    <row r="1307" spans="1:9" x14ac:dyDescent="0.2">
      <c r="A1307" t="s">
        <v>1356</v>
      </c>
      <c r="B1307" t="s">
        <v>3523</v>
      </c>
      <c r="D1307" t="b">
        <f>IFERROR(VLOOKUP(B1307,PatData!$A$2:$A$2000,1,),"")&lt;&gt;""</f>
        <v>1</v>
      </c>
      <c r="E1307">
        <v>0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2">
      <c r="A1308" t="s">
        <v>1357</v>
      </c>
      <c r="B1308" t="s">
        <v>3524</v>
      </c>
      <c r="D1308" t="b">
        <f>IFERROR(VLOOKUP(B1308,PatData!$A$2:$A$2000,1,),"")&lt;&gt;""</f>
        <v>1</v>
      </c>
      <c r="E1308">
        <v>0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2">
      <c r="A1309" t="s">
        <v>1358</v>
      </c>
      <c r="B1309" t="s">
        <v>1212</v>
      </c>
      <c r="D1309" t="b">
        <f>IFERROR(VLOOKUP(B1309,PatData!$A$2:$A$2000,1,),"")&lt;&gt;""</f>
        <v>1</v>
      </c>
      <c r="E1309">
        <v>1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2">
      <c r="A1310" t="s">
        <v>1359</v>
      </c>
      <c r="B1310" t="s">
        <v>1213</v>
      </c>
      <c r="D1310" t="b">
        <f>IFERROR(VLOOKUP(B1310,PatData!$A$2:$A$2000,1,),"")&lt;&gt;""</f>
        <v>1</v>
      </c>
      <c r="E1310">
        <v>1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2">
      <c r="A1311" t="s">
        <v>1360</v>
      </c>
      <c r="B1311" t="s">
        <v>1214</v>
      </c>
      <c r="D1311" t="b">
        <f>IFERROR(VLOOKUP(B1311,PatData!$A$2:$A$2000,1,),"")&lt;&gt;""</f>
        <v>1</v>
      </c>
      <c r="E1311">
        <v>1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2">
      <c r="A1312" t="s">
        <v>1361</v>
      </c>
      <c r="B1312" t="s">
        <v>1215</v>
      </c>
      <c r="D1312" t="b">
        <f>IFERROR(VLOOKUP(B1312,PatData!$A$2:$A$2000,1,),"")&lt;&gt;""</f>
        <v>1</v>
      </c>
      <c r="E1312">
        <v>1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2">
      <c r="A1313" t="s">
        <v>1362</v>
      </c>
      <c r="B1313" t="s">
        <v>1216</v>
      </c>
      <c r="D1313" t="b">
        <f>IFERROR(VLOOKUP(B1313,PatData!$A$2:$A$2000,1,),"")&lt;&gt;""</f>
        <v>1</v>
      </c>
      <c r="E1313">
        <v>1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2">
      <c r="A1314" t="s">
        <v>1363</v>
      </c>
      <c r="B1314" t="s">
        <v>1217</v>
      </c>
      <c r="D1314" t="b">
        <f>IFERROR(VLOOKUP(B1314,PatData!$A$2:$A$2000,1,),"")&lt;&gt;""</f>
        <v>1</v>
      </c>
      <c r="E1314">
        <v>1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2">
      <c r="A1315" t="s">
        <v>5159</v>
      </c>
      <c r="B1315" t="s">
        <v>3525</v>
      </c>
      <c r="D1315" t="b">
        <f>IFERROR(VLOOKUP(B1315,PatData!$A$2:$A$2000,1,),"")&lt;&gt;""</f>
        <v>1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2">
      <c r="A1316" t="s">
        <v>1364</v>
      </c>
      <c r="B1316" t="s">
        <v>3526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2">
      <c r="A1317" t="s">
        <v>1365</v>
      </c>
      <c r="B1317" t="s">
        <v>3527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2">
      <c r="A1318" t="s">
        <v>1366</v>
      </c>
      <c r="B1318" t="s">
        <v>3528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2">
      <c r="A1319" t="s">
        <v>1367</v>
      </c>
      <c r="B1319" t="s">
        <v>3529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2">
      <c r="A1320" t="s">
        <v>1368</v>
      </c>
      <c r="B1320" t="s">
        <v>3530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2">
      <c r="A1321" t="s">
        <v>1369</v>
      </c>
      <c r="B1321" t="s">
        <v>3531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2">
      <c r="A1322" t="s">
        <v>1370</v>
      </c>
      <c r="B1322" t="s">
        <v>3532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2">
      <c r="A1323" t="s">
        <v>1371</v>
      </c>
      <c r="B1323" t="s">
        <v>3533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2">
      <c r="A1324" t="s">
        <v>1372</v>
      </c>
      <c r="B1324" t="s">
        <v>3534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2">
      <c r="A1325" t="s">
        <v>1373</v>
      </c>
      <c r="B1325" t="s">
        <v>3535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2">
      <c r="A1326" t="s">
        <v>1374</v>
      </c>
      <c r="B1326" t="s">
        <v>3536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2">
      <c r="A1327" t="s">
        <v>1375</v>
      </c>
      <c r="B1327" t="s">
        <v>3537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2">
      <c r="A1328" t="s">
        <v>1376</v>
      </c>
      <c r="B1328" t="s">
        <v>3538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2">
      <c r="A1329" t="s">
        <v>1377</v>
      </c>
      <c r="B1329" t="s">
        <v>3539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2">
      <c r="A1330" t="s">
        <v>1378</v>
      </c>
      <c r="B1330" t="s">
        <v>3540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2">
      <c r="A1331" t="s">
        <v>1379</v>
      </c>
      <c r="B1331" t="s">
        <v>3541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2">
      <c r="A1332" t="s">
        <v>1380</v>
      </c>
      <c r="B1332" t="s">
        <v>3542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2">
      <c r="A1333" t="s">
        <v>1381</v>
      </c>
      <c r="B1333" t="s">
        <v>3543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2">
      <c r="A1334" t="s">
        <v>1382</v>
      </c>
      <c r="B1334" t="s">
        <v>3544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2">
      <c r="A1335" t="s">
        <v>1383</v>
      </c>
      <c r="B1335" t="s">
        <v>3545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2">
      <c r="A1336" t="s">
        <v>1384</v>
      </c>
      <c r="B1336" t="s">
        <v>3546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2">
      <c r="A1337" t="s">
        <v>1385</v>
      </c>
      <c r="B1337" t="s">
        <v>3547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2">
      <c r="A1338" t="s">
        <v>1386</v>
      </c>
      <c r="B1338" t="s">
        <v>3548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2">
      <c r="A1339" t="s">
        <v>1387</v>
      </c>
      <c r="B1339" t="s">
        <v>3549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2">
      <c r="A1340" t="s">
        <v>1388</v>
      </c>
      <c r="B1340" t="s">
        <v>3550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2">
      <c r="A1341" t="s">
        <v>1389</v>
      </c>
      <c r="B1341" t="s">
        <v>3551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2">
      <c r="A1342" t="s">
        <v>1390</v>
      </c>
      <c r="B1342" t="s">
        <v>3552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2">
      <c r="A1343" t="s">
        <v>1391</v>
      </c>
      <c r="B1343" t="s">
        <v>3553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2">
      <c r="A1344" t="s">
        <v>1392</v>
      </c>
      <c r="B1344" t="s">
        <v>3554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2">
      <c r="A1345" t="s">
        <v>1393</v>
      </c>
      <c r="B1345" t="s">
        <v>3555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2">
      <c r="A1346" t="s">
        <v>1394</v>
      </c>
      <c r="B1346" t="s">
        <v>3556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2">
      <c r="A1347" t="s">
        <v>1395</v>
      </c>
      <c r="B1347" t="s">
        <v>3557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2">
      <c r="A1348" t="s">
        <v>1396</v>
      </c>
      <c r="B1348" t="s">
        <v>3558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2">
      <c r="A1349" t="s">
        <v>1397</v>
      </c>
      <c r="B1349" t="s">
        <v>3559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2">
      <c r="A1350" t="s">
        <v>1398</v>
      </c>
      <c r="B1350" t="s">
        <v>3560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2">
      <c r="A1351" t="s">
        <v>1399</v>
      </c>
      <c r="B1351" t="s">
        <v>3561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2">
      <c r="A1352" t="s">
        <v>1400</v>
      </c>
      <c r="B1352" t="s">
        <v>3562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2">
      <c r="A1353" t="s">
        <v>1401</v>
      </c>
      <c r="B1353" t="s">
        <v>3563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2">
      <c r="A1354" t="s">
        <v>1402</v>
      </c>
      <c r="B1354" t="s">
        <v>3564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2">
      <c r="A1355" t="s">
        <v>1403</v>
      </c>
      <c r="B1355" t="s">
        <v>3565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2">
      <c r="A1356" t="s">
        <v>1404</v>
      </c>
      <c r="B1356" t="s">
        <v>3566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2">
      <c r="A1357" t="s">
        <v>1405</v>
      </c>
      <c r="B1357" t="s">
        <v>3567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2">
      <c r="A1358" t="s">
        <v>1406</v>
      </c>
      <c r="B1358" t="s">
        <v>3568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2">
      <c r="A1359" t="s">
        <v>1407</v>
      </c>
      <c r="B1359" t="s">
        <v>3569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2">
      <c r="A1360" t="s">
        <v>1408</v>
      </c>
      <c r="B1360" t="s">
        <v>3570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2">
      <c r="A1361" t="s">
        <v>1409</v>
      </c>
      <c r="B1361" t="s">
        <v>3571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2">
      <c r="A1362" t="s">
        <v>1410</v>
      </c>
      <c r="B1362" t="s">
        <v>3572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2">
      <c r="A1363" t="s">
        <v>1411</v>
      </c>
      <c r="B1363" t="s">
        <v>3573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2">
      <c r="A1364" t="s">
        <v>1412</v>
      </c>
      <c r="B1364" t="s">
        <v>3574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2">
      <c r="A1365" t="s">
        <v>1413</v>
      </c>
      <c r="B1365" t="s">
        <v>3575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2">
      <c r="A1366" t="s">
        <v>1414</v>
      </c>
      <c r="B1366" t="s">
        <v>3576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2">
      <c r="A1367" t="s">
        <v>1415</v>
      </c>
      <c r="B1367" t="s">
        <v>3577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2">
      <c r="A1368" t="s">
        <v>1416</v>
      </c>
      <c r="B1368" t="s">
        <v>3578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2">
      <c r="A1369" t="s">
        <v>1417</v>
      </c>
      <c r="B1369" t="s">
        <v>3579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2">
      <c r="A1370" t="s">
        <v>1418</v>
      </c>
      <c r="B1370" t="s">
        <v>3580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2">
      <c r="A1371" t="s">
        <v>1419</v>
      </c>
      <c r="B1371" t="s">
        <v>3581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2">
      <c r="A1372" t="s">
        <v>1420</v>
      </c>
      <c r="B1372" t="s">
        <v>3582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2">
      <c r="A1373" t="s">
        <v>1421</v>
      </c>
      <c r="B1373" t="s">
        <v>3583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2">
      <c r="A1374" t="s">
        <v>1422</v>
      </c>
      <c r="B1374" t="s">
        <v>3584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2">
      <c r="A1375" t="s">
        <v>1423</v>
      </c>
      <c r="B1375" t="s">
        <v>3585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2">
      <c r="A1376" t="s">
        <v>1424</v>
      </c>
      <c r="B1376" t="s">
        <v>3586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2">
      <c r="A1377" t="s">
        <v>1425</v>
      </c>
      <c r="B1377" t="s">
        <v>3587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2">
      <c r="A1378" t="s">
        <v>1426</v>
      </c>
      <c r="B1378" t="s">
        <v>3588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2">
      <c r="A1379" t="s">
        <v>1427</v>
      </c>
      <c r="B1379" t="s">
        <v>3589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2">
      <c r="A1380" t="s">
        <v>1428</v>
      </c>
      <c r="B1380" t="s">
        <v>3590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2">
      <c r="A1381" t="s">
        <v>1429</v>
      </c>
      <c r="B1381" t="s">
        <v>3591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2">
      <c r="A1382" t="s">
        <v>1430</v>
      </c>
      <c r="B1382" t="s">
        <v>3592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2">
      <c r="A1383" t="s">
        <v>1431</v>
      </c>
      <c r="B1383" t="s">
        <v>3593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2">
      <c r="A1384" t="s">
        <v>1432</v>
      </c>
      <c r="B1384" t="s">
        <v>3594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2">
      <c r="A1385" t="s">
        <v>1433</v>
      </c>
      <c r="B1385" t="s">
        <v>3595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2">
      <c r="A1386" t="s">
        <v>1434</v>
      </c>
      <c r="B1386" t="s">
        <v>3596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2">
      <c r="A1387" t="s">
        <v>1435</v>
      </c>
      <c r="B1387" t="s">
        <v>3597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2">
      <c r="A1388" t="s">
        <v>1436</v>
      </c>
      <c r="B1388" t="s">
        <v>3598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2">
      <c r="A1389" t="s">
        <v>1437</v>
      </c>
      <c r="B1389" t="s">
        <v>3599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2">
      <c r="A1390" t="s">
        <v>1438</v>
      </c>
      <c r="B1390" t="s">
        <v>3600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2">
      <c r="A1391" t="s">
        <v>1439</v>
      </c>
      <c r="B1391" t="s">
        <v>3601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2">
      <c r="A1392" t="s">
        <v>1440</v>
      </c>
      <c r="B1392" t="s">
        <v>3602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2">
      <c r="A1393" t="s">
        <v>1441</v>
      </c>
      <c r="B1393" t="s">
        <v>3603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2">
      <c r="A1394" t="s">
        <v>1442</v>
      </c>
      <c r="B1394" t="s">
        <v>3604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2">
      <c r="A1395" t="s">
        <v>1443</v>
      </c>
      <c r="B1395" t="s">
        <v>3605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2">
      <c r="A1396" t="s">
        <v>1444</v>
      </c>
      <c r="B1396" t="s">
        <v>3606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2">
      <c r="A1397" t="s">
        <v>1445</v>
      </c>
      <c r="B1397" t="s">
        <v>3607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2">
      <c r="A1398" t="s">
        <v>1446</v>
      </c>
      <c r="B1398" t="s">
        <v>3608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2">
      <c r="A1399" t="s">
        <v>1447</v>
      </c>
      <c r="B1399" t="s">
        <v>3609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2">
      <c r="A1400" t="s">
        <v>1448</v>
      </c>
      <c r="B1400" t="s">
        <v>3610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2">
      <c r="A1401" t="s">
        <v>1449</v>
      </c>
      <c r="B1401" t="s">
        <v>3611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2">
      <c r="A1402" t="s">
        <v>1450</v>
      </c>
      <c r="B1402" t="s">
        <v>3612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2">
      <c r="A1403" t="s">
        <v>1451</v>
      </c>
      <c r="B1403" t="s">
        <v>3613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2">
      <c r="A1404" t="s">
        <v>1452</v>
      </c>
      <c r="B1404" t="s">
        <v>3614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2">
      <c r="A1405" t="s">
        <v>1453</v>
      </c>
      <c r="B1405" t="s">
        <v>3615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2">
      <c r="A1406" t="s">
        <v>1454</v>
      </c>
      <c r="B1406" t="s">
        <v>3616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2">
      <c r="A1407" t="s">
        <v>1455</v>
      </c>
      <c r="B1407" t="s">
        <v>3617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2">
      <c r="A1408" t="s">
        <v>1456</v>
      </c>
      <c r="B1408" t="s">
        <v>3618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2">
      <c r="A1409" t="s">
        <v>1457</v>
      </c>
      <c r="B1409" t="s">
        <v>3619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2">
      <c r="A1410" t="s">
        <v>1458</v>
      </c>
      <c r="B1410" t="s">
        <v>3620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2">
      <c r="A1411" t="s">
        <v>1459</v>
      </c>
      <c r="B1411" t="s">
        <v>3621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2">
      <c r="A1412" t="s">
        <v>1460</v>
      </c>
      <c r="B1412" t="s">
        <v>3622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2">
      <c r="A1413" t="s">
        <v>1461</v>
      </c>
      <c r="B1413" t="s">
        <v>3623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2">
      <c r="A1414" t="s">
        <v>1462</v>
      </c>
      <c r="B1414" t="s">
        <v>3624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2">
      <c r="A1415" t="s">
        <v>1463</v>
      </c>
      <c r="B1415" t="s">
        <v>3625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2">
      <c r="A1416" t="s">
        <v>1464</v>
      </c>
      <c r="B1416" t="s">
        <v>3626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2">
      <c r="A1417" t="s">
        <v>1465</v>
      </c>
      <c r="B1417" t="s">
        <v>3627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2">
      <c r="A1418" t="s">
        <v>1466</v>
      </c>
      <c r="B1418" t="s">
        <v>3628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2">
      <c r="A1419" t="s">
        <v>1467</v>
      </c>
      <c r="B1419" t="s">
        <v>3629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2">
      <c r="A1420" t="s">
        <v>1468</v>
      </c>
      <c r="B1420" t="s">
        <v>3630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2">
      <c r="A1421" t="s">
        <v>1469</v>
      </c>
      <c r="B1421" t="s">
        <v>3631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2">
      <c r="A1422" t="s">
        <v>1470</v>
      </c>
      <c r="B1422" t="s">
        <v>3632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2">
      <c r="A1423" t="s">
        <v>1471</v>
      </c>
      <c r="B1423" t="s">
        <v>3633</v>
      </c>
      <c r="D1423" t="b">
        <f>IFERROR(VLOOKUP(B1423,PatData!$A$2:$A$2000,1,),"")&lt;&gt;""</f>
        <v>1</v>
      </c>
      <c r="E1423" t="b">
        <v>0</v>
      </c>
      <c r="F1423" t="b">
        <v>0</v>
      </c>
      <c r="G1423" t="b">
        <v>1</v>
      </c>
      <c r="H1423" t="b">
        <v>0</v>
      </c>
      <c r="I1423" t="b">
        <v>1</v>
      </c>
    </row>
    <row r="1424" spans="1:9" x14ac:dyDescent="0.2">
      <c r="A1424" t="s">
        <v>1472</v>
      </c>
      <c r="B1424" t="s">
        <v>3634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2">
      <c r="A1425" t="s">
        <v>1473</v>
      </c>
      <c r="B1425" t="s">
        <v>3635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2">
      <c r="A1426" t="s">
        <v>1474</v>
      </c>
      <c r="B1426" t="s">
        <v>3636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2">
      <c r="A1427" t="s">
        <v>1475</v>
      </c>
      <c r="B1427" t="s">
        <v>3637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2">
      <c r="A1428" t="s">
        <v>1476</v>
      </c>
      <c r="B1428" t="s">
        <v>3638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2">
      <c r="A1429" t="s">
        <v>1477</v>
      </c>
      <c r="B1429" t="s">
        <v>3639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2">
      <c r="A1430" t="s">
        <v>1478</v>
      </c>
      <c r="B1430" t="s">
        <v>3640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2">
      <c r="A1431" t="s">
        <v>1479</v>
      </c>
      <c r="B1431" t="s">
        <v>3641</v>
      </c>
      <c r="D1431" t="b">
        <f>IFERROR(VLOOKUP(B1431,PatData!$A$2:$A$2000,1,),"")&lt;&gt;""</f>
        <v>1</v>
      </c>
      <c r="E1431" t="b">
        <v>0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2">
      <c r="A1432" t="s">
        <v>1480</v>
      </c>
      <c r="B1432" t="s">
        <v>3642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2">
      <c r="A1433" t="s">
        <v>1481</v>
      </c>
      <c r="B1433" t="s">
        <v>3643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2">
      <c r="A1434" t="s">
        <v>1482</v>
      </c>
      <c r="B1434" t="s">
        <v>3644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2">
      <c r="A1435" t="s">
        <v>1483</v>
      </c>
      <c r="B1435" t="s">
        <v>3645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2">
      <c r="A1436" t="s">
        <v>1484</v>
      </c>
      <c r="B1436" t="s">
        <v>3646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2">
      <c r="A1437" t="s">
        <v>1485</v>
      </c>
      <c r="B1437" t="s">
        <v>3647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0</v>
      </c>
      <c r="I1437" t="b">
        <v>1</v>
      </c>
    </row>
    <row r="1438" spans="1:9" x14ac:dyDescent="0.2">
      <c r="A1438" t="s">
        <v>1486</v>
      </c>
      <c r="B1438" t="s">
        <v>3648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2">
      <c r="A1439" t="s">
        <v>1487</v>
      </c>
      <c r="B1439" t="s">
        <v>3649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2">
      <c r="A1440" t="s">
        <v>1488</v>
      </c>
      <c r="B1440" t="s">
        <v>3650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2">
      <c r="A1441" t="s">
        <v>5066</v>
      </c>
      <c r="B1441" t="s">
        <v>3651</v>
      </c>
      <c r="D1441" t="b">
        <f>IFERROR(VLOOKUP(B1441,PatData!$A$2:$A$2000,1,),"")&lt;&gt;""</f>
        <v>1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2">
      <c r="A1442" t="s">
        <v>1489</v>
      </c>
      <c r="B1442" t="s">
        <v>3652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2">
      <c r="A1443" t="s">
        <v>1490</v>
      </c>
      <c r="B1443" t="s">
        <v>3653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2">
      <c r="A1444" t="s">
        <v>1491</v>
      </c>
      <c r="B1444" t="s">
        <v>3654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2">
      <c r="A1445" t="s">
        <v>1492</v>
      </c>
      <c r="B1445" t="s">
        <v>3655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2">
      <c r="A1446" t="s">
        <v>1493</v>
      </c>
      <c r="B1446" t="s">
        <v>3656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2">
      <c r="A1447" t="s">
        <v>1494</v>
      </c>
      <c r="B1447" t="s">
        <v>3657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2">
      <c r="A1448" t="s">
        <v>1495</v>
      </c>
      <c r="B1448" t="s">
        <v>3658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2">
      <c r="A1449" t="s">
        <v>1496</v>
      </c>
      <c r="B1449" t="s">
        <v>3659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2">
      <c r="A1450" t="s">
        <v>1497</v>
      </c>
      <c r="B1450" t="s">
        <v>3660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2">
      <c r="A1451" t="s">
        <v>1498</v>
      </c>
      <c r="B1451" t="s">
        <v>3661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2">
      <c r="A1452" t="s">
        <v>1499</v>
      </c>
      <c r="B1452" t="s">
        <v>3662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2">
      <c r="A1453" t="s">
        <v>1500</v>
      </c>
      <c r="B1453" t="s">
        <v>3663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2">
      <c r="A1454" t="s">
        <v>1501</v>
      </c>
      <c r="B1454" t="s">
        <v>3664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2">
      <c r="A1455" t="s">
        <v>1502</v>
      </c>
      <c r="B1455" t="s">
        <v>3665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2">
      <c r="A1456" t="s">
        <v>1503</v>
      </c>
      <c r="B1456" t="s">
        <v>3666</v>
      </c>
      <c r="D1456" t="b">
        <f>IFERROR(VLOOKUP(B1456,PatData!$A$2:$A$2000,1,),"")&lt;&gt;""</f>
        <v>1</v>
      </c>
      <c r="E1456" t="b">
        <v>0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2">
      <c r="A1457" t="s">
        <v>1504</v>
      </c>
      <c r="B1457" t="s">
        <v>3667</v>
      </c>
      <c r="D1457" t="b">
        <f>IFERROR(VLOOKUP(B1457,PatData!$A$2:$A$2000,1,),"")&lt;&gt;""</f>
        <v>1</v>
      </c>
      <c r="E1457" t="b">
        <v>0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2">
      <c r="A1458" t="s">
        <v>1505</v>
      </c>
      <c r="B1458" t="s">
        <v>3668</v>
      </c>
      <c r="D1458" t="b">
        <f>IFERROR(VLOOKUP(B1458,PatData!$A$2:$A$2000,1,),"")&lt;&gt;""</f>
        <v>1</v>
      </c>
      <c r="E1458" t="b">
        <v>0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2">
      <c r="A1459" t="s">
        <v>1506</v>
      </c>
      <c r="B1459" t="s">
        <v>3669</v>
      </c>
      <c r="D1459" t="b">
        <f>IFERROR(VLOOKUP(B1459,PatData!$A$2:$A$2000,1,),"")&lt;&gt;""</f>
        <v>1</v>
      </c>
      <c r="E1459" t="b">
        <v>0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2">
      <c r="A1460" t="s">
        <v>1507</v>
      </c>
      <c r="B1460" t="s">
        <v>3670</v>
      </c>
      <c r="D1460" t="b">
        <f>IFERROR(VLOOKUP(B1460,PatData!$A$2:$A$2000,1,),"")&lt;&gt;""</f>
        <v>1</v>
      </c>
      <c r="E1460" t="b">
        <v>0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2">
      <c r="A1461" t="s">
        <v>1508</v>
      </c>
      <c r="B1461" t="s">
        <v>3671</v>
      </c>
      <c r="D1461" t="b">
        <f>IFERROR(VLOOKUP(B1461,PatData!$A$2:$A$2000,1,),"")&lt;&gt;""</f>
        <v>1</v>
      </c>
      <c r="E1461" t="b">
        <v>0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2">
      <c r="A1462" t="s">
        <v>1509</v>
      </c>
      <c r="B1462" t="s">
        <v>3672</v>
      </c>
      <c r="D1462" t="b">
        <f>IFERROR(VLOOKUP(B1462,PatData!$A$2:$A$2000,1,),"")&lt;&gt;""</f>
        <v>1</v>
      </c>
      <c r="E1462" t="b">
        <v>0</v>
      </c>
      <c r="F1462" t="b">
        <v>0</v>
      </c>
      <c r="G1462" t="b">
        <v>1</v>
      </c>
      <c r="H1462" t="b">
        <v>0</v>
      </c>
      <c r="I1462" t="b">
        <v>1</v>
      </c>
    </row>
    <row r="1463" spans="1:9" x14ac:dyDescent="0.2">
      <c r="A1463" t="s">
        <v>1510</v>
      </c>
      <c r="B1463" t="s">
        <v>3673</v>
      </c>
      <c r="D1463" t="b">
        <f>IFERROR(VLOOKUP(B1463,PatData!$A$2:$A$2000,1,),"")&lt;&gt;""</f>
        <v>1</v>
      </c>
      <c r="E1463" t="b">
        <v>0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2">
      <c r="A1464" t="s">
        <v>1511</v>
      </c>
      <c r="B1464" t="s">
        <v>3674</v>
      </c>
      <c r="D1464" t="b">
        <f>IFERROR(VLOOKUP(B1464,PatData!$A$2:$A$2000,1,),"")&lt;&gt;""</f>
        <v>1</v>
      </c>
      <c r="E1464" t="b">
        <v>0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2">
      <c r="A1465" t="s">
        <v>1512</v>
      </c>
      <c r="B1465" t="s">
        <v>3675</v>
      </c>
      <c r="D1465" t="b">
        <f>IFERROR(VLOOKUP(B1465,PatData!$A$2:$A$2000,1,),"")&lt;&gt;""</f>
        <v>1</v>
      </c>
      <c r="E1465" t="b">
        <v>0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2">
      <c r="A1466" t="s">
        <v>1513</v>
      </c>
      <c r="B1466" t="s">
        <v>3676</v>
      </c>
      <c r="D1466" t="b">
        <f>IFERROR(VLOOKUP(B1466,PatData!$A$2:$A$2000,1,),"")&lt;&gt;""</f>
        <v>1</v>
      </c>
      <c r="E1466" t="b">
        <v>0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2">
      <c r="A1467" t="s">
        <v>1514</v>
      </c>
      <c r="B1467" t="s">
        <v>3677</v>
      </c>
      <c r="D1467" t="b">
        <f>IFERROR(VLOOKUP(B1467,PatData!$A$2:$A$2000,1,),"")&lt;&gt;""</f>
        <v>1</v>
      </c>
      <c r="E1467" t="b">
        <v>0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2">
      <c r="A1468" t="s">
        <v>1515</v>
      </c>
      <c r="B1468" t="s">
        <v>3678</v>
      </c>
      <c r="D1468" t="b">
        <f>IFERROR(VLOOKUP(B1468,PatData!$A$2:$A$2000,1,),"")&lt;&gt;""</f>
        <v>1</v>
      </c>
      <c r="E1468" t="b">
        <v>0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2">
      <c r="A1469" t="s">
        <v>1516</v>
      </c>
      <c r="B1469" t="s">
        <v>3679</v>
      </c>
      <c r="D1469" t="b">
        <f>IFERROR(VLOOKUP(B1469,PatData!$A$2:$A$2000,1,),"")&lt;&gt;""</f>
        <v>1</v>
      </c>
      <c r="E1469" t="b">
        <v>0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2">
      <c r="A1470" t="s">
        <v>1517</v>
      </c>
      <c r="B1470" t="s">
        <v>3680</v>
      </c>
      <c r="D1470" t="b">
        <f>IFERROR(VLOOKUP(B1470,PatData!$A$2:$A$2000,1,),"")&lt;&gt;""</f>
        <v>1</v>
      </c>
      <c r="E1470" t="b">
        <v>0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2">
      <c r="A1471" t="s">
        <v>1518</v>
      </c>
      <c r="B1471" t="s">
        <v>3681</v>
      </c>
      <c r="D1471" t="b">
        <f>IFERROR(VLOOKUP(B1471,PatData!$A$2:$A$2000,1,),"")&lt;&gt;""</f>
        <v>1</v>
      </c>
      <c r="E1471" t="b">
        <v>0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2">
      <c r="A1472" t="s">
        <v>1519</v>
      </c>
      <c r="B1472" t="s">
        <v>3682</v>
      </c>
      <c r="D1472" t="b">
        <f>IFERROR(VLOOKUP(B1472,PatData!$A$2:$A$2000,1,),"")&lt;&gt;""</f>
        <v>1</v>
      </c>
      <c r="E1472" t="b">
        <v>0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2">
      <c r="A1473" t="s">
        <v>1520</v>
      </c>
      <c r="B1473" t="s">
        <v>3683</v>
      </c>
      <c r="D1473" t="b">
        <f>IFERROR(VLOOKUP(B1473,PatData!$A$2:$A$2000,1,),"")&lt;&gt;""</f>
        <v>1</v>
      </c>
      <c r="E1473" t="b">
        <v>0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2">
      <c r="A1474" t="s">
        <v>1521</v>
      </c>
      <c r="B1474" t="s">
        <v>3684</v>
      </c>
      <c r="D1474" t="b">
        <f>IFERROR(VLOOKUP(B1474,PatData!$A$2:$A$2000,1,),"")&lt;&gt;""</f>
        <v>1</v>
      </c>
      <c r="E1474">
        <v>1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2">
      <c r="A1475" t="s">
        <v>1522</v>
      </c>
      <c r="B1475" t="s">
        <v>3685</v>
      </c>
      <c r="D1475" t="b">
        <f>IFERROR(VLOOKUP(B1475,PatData!$A$2:$A$2000,1,),"")&lt;&gt;""</f>
        <v>1</v>
      </c>
      <c r="E1475">
        <v>1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2">
      <c r="A1476" t="s">
        <v>1523</v>
      </c>
      <c r="B1476" t="s">
        <v>3686</v>
      </c>
      <c r="D1476" t="b">
        <f>IFERROR(VLOOKUP(B1476,PatData!$A$2:$A$2000,1,),"")&lt;&gt;""</f>
        <v>1</v>
      </c>
      <c r="E1476">
        <v>1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2">
      <c r="A1477" t="s">
        <v>1524</v>
      </c>
      <c r="B1477" t="s">
        <v>3687</v>
      </c>
      <c r="D1477" t="b">
        <f>IFERROR(VLOOKUP(B1477,PatData!$A$2:$A$2000,1,),"")&lt;&gt;""</f>
        <v>1</v>
      </c>
      <c r="E1477">
        <v>1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2">
      <c r="A1478" t="s">
        <v>1525</v>
      </c>
      <c r="B1478" t="s">
        <v>3688</v>
      </c>
      <c r="D1478" t="b">
        <f>IFERROR(VLOOKUP(B1478,PatData!$A$2:$A$2000,1,),"")&lt;&gt;""</f>
        <v>1</v>
      </c>
      <c r="E1478">
        <v>1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2">
      <c r="A1479" t="s">
        <v>1526</v>
      </c>
      <c r="B1479" t="s">
        <v>3689</v>
      </c>
      <c r="D1479" t="b">
        <f>IFERROR(VLOOKUP(B1479,PatData!$A$2:$A$2000,1,),"")&lt;&gt;""</f>
        <v>1</v>
      </c>
      <c r="E1479">
        <v>1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2">
      <c r="A1480" t="s">
        <v>1527</v>
      </c>
      <c r="B1480" t="s">
        <v>3690</v>
      </c>
      <c r="D1480" t="b">
        <f>IFERROR(VLOOKUP(B1480,PatData!$A$2:$A$2000,1,),"")&lt;&gt;""</f>
        <v>1</v>
      </c>
      <c r="E1480">
        <v>1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2">
      <c r="A1481" t="s">
        <v>1528</v>
      </c>
      <c r="B1481" t="s">
        <v>3691</v>
      </c>
      <c r="D1481" t="b">
        <f>IFERROR(VLOOKUP(B1481,PatData!$A$2:$A$2000,1,),"")&lt;&gt;""</f>
        <v>1</v>
      </c>
      <c r="E1481">
        <v>1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2">
      <c r="A1482" t="s">
        <v>1529</v>
      </c>
      <c r="B1482" t="s">
        <v>3692</v>
      </c>
      <c r="D1482" t="b">
        <f>IFERROR(VLOOKUP(B1482,PatData!$A$2:$A$2000,1,),"")&lt;&gt;""</f>
        <v>1</v>
      </c>
      <c r="E1482">
        <v>1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2">
      <c r="A1483" t="s">
        <v>1530</v>
      </c>
      <c r="B1483" t="s">
        <v>3693</v>
      </c>
      <c r="D1483" t="b">
        <f>IFERROR(VLOOKUP(B1483,PatData!$A$2:$A$2000,1,),"")&lt;&gt;""</f>
        <v>1</v>
      </c>
      <c r="E1483"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2">
      <c r="A1484" t="s">
        <v>1531</v>
      </c>
      <c r="B1484" t="s">
        <v>3694</v>
      </c>
      <c r="D1484" t="b">
        <f>IFERROR(VLOOKUP(B1484,PatData!$A$2:$A$2000,1,),"")&lt;&gt;""</f>
        <v>1</v>
      </c>
      <c r="E1484"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2">
      <c r="A1485" t="s">
        <v>1532</v>
      </c>
      <c r="B1485" t="s">
        <v>3695</v>
      </c>
      <c r="D1485" t="b">
        <f>IFERROR(VLOOKUP(B1485,PatData!$A$2:$A$2000,1,),"")&lt;&gt;""</f>
        <v>1</v>
      </c>
      <c r="E1485"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2">
      <c r="A1486" t="s">
        <v>1533</v>
      </c>
      <c r="B1486" t="s">
        <v>3696</v>
      </c>
      <c r="D1486" t="b">
        <f>IFERROR(VLOOKUP(B1486,PatData!$A$2:$A$2000,1,),"")&lt;&gt;""</f>
        <v>1</v>
      </c>
      <c r="E1486">
        <v>1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2">
      <c r="A1487" t="s">
        <v>1534</v>
      </c>
      <c r="B1487" t="s">
        <v>3697</v>
      </c>
      <c r="D1487" t="b">
        <f>IFERROR(VLOOKUP(B1487,PatData!$A$2:$A$2000,1,),"")&lt;&gt;""</f>
        <v>1</v>
      </c>
      <c r="E1487">
        <v>1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2">
      <c r="A1488" t="s">
        <v>1535</v>
      </c>
      <c r="B1488" t="s">
        <v>3698</v>
      </c>
      <c r="D1488" t="b">
        <f>IFERROR(VLOOKUP(B1488,PatData!$A$2:$A$2000,1,),"")&lt;&gt;""</f>
        <v>1</v>
      </c>
      <c r="E1488">
        <v>1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2">
      <c r="A1489" t="s">
        <v>4842</v>
      </c>
      <c r="B1489" t="s">
        <v>4843</v>
      </c>
      <c r="D1489" t="b">
        <f>IFERROR(VLOOKUP(B1489,PatData!$A$2:$A$2000,1,),"")&lt;&gt;""</f>
        <v>1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2">
      <c r="A1490" t="s">
        <v>4844</v>
      </c>
      <c r="B1490" t="s">
        <v>4845</v>
      </c>
      <c r="D1490" t="b">
        <f>IFERROR(VLOOKUP(B1490,PatData!$A$2:$A$2000,1,),"")&lt;&gt;""</f>
        <v>1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2">
      <c r="A1491" t="s">
        <v>4846</v>
      </c>
      <c r="B1491" t="s">
        <v>4847</v>
      </c>
      <c r="D1491" t="b">
        <f>IFERROR(VLOOKUP(B1491,PatData!$A$2:$A$2000,1,),"")&lt;&gt;""</f>
        <v>1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2">
      <c r="A1492" t="s">
        <v>4848</v>
      </c>
      <c r="B1492" t="s">
        <v>4849</v>
      </c>
      <c r="D1492" t="b">
        <f>IFERROR(VLOOKUP(B1492,PatData!$A$2:$A$2000,1,),"")&lt;&gt;""</f>
        <v>1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2">
      <c r="A1493" t="s">
        <v>4850</v>
      </c>
      <c r="B1493" t="s">
        <v>4851</v>
      </c>
      <c r="D1493" t="b">
        <f>IFERROR(VLOOKUP(B1493,PatData!$A$2:$A$2000,1,),"")&lt;&gt;""</f>
        <v>1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2">
      <c r="A1494" t="s">
        <v>1536</v>
      </c>
      <c r="B1494" t="s">
        <v>3699</v>
      </c>
      <c r="D1494" t="b">
        <f>IFERROR(VLOOKUP(B1494,PatData!$A$2:$A$2000,1,),"")&lt;&gt;""</f>
        <v>1</v>
      </c>
      <c r="E1494">
        <v>1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2">
      <c r="A1495" t="s">
        <v>1537</v>
      </c>
      <c r="B1495" t="s">
        <v>3700</v>
      </c>
      <c r="D1495" t="b">
        <f>IFERROR(VLOOKUP(B1495,PatData!$A$2:$A$2000,1,),"")&lt;&gt;""</f>
        <v>1</v>
      </c>
      <c r="E1495">
        <v>1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2">
      <c r="A1496" t="s">
        <v>1538</v>
      </c>
      <c r="B1496" t="s">
        <v>3701</v>
      </c>
      <c r="D1496" t="b">
        <f>IFERROR(VLOOKUP(B1496,PatData!$A$2:$A$2000,1,),"")&lt;&gt;""</f>
        <v>1</v>
      </c>
      <c r="E1496">
        <v>1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2">
      <c r="A1497" t="s">
        <v>1539</v>
      </c>
      <c r="B1497" t="s">
        <v>3702</v>
      </c>
      <c r="D1497" t="b">
        <f>IFERROR(VLOOKUP(B1497,PatData!$A$2:$A$2000,1,),"")&lt;&gt;""</f>
        <v>1</v>
      </c>
      <c r="E1497">
        <v>1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2">
      <c r="A1498" t="s">
        <v>1540</v>
      </c>
      <c r="B1498" t="s">
        <v>3703</v>
      </c>
      <c r="D1498" t="b">
        <f>IFERROR(VLOOKUP(B1498,PatData!$A$2:$A$2000,1,),"")&lt;&gt;""</f>
        <v>1</v>
      </c>
      <c r="E1498">
        <v>1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2">
      <c r="A1499" t="s">
        <v>1541</v>
      </c>
      <c r="B1499" t="s">
        <v>3704</v>
      </c>
      <c r="D1499" t="b">
        <f>IFERROR(VLOOKUP(B1499,PatData!$A$2:$A$2000,1,),"")&lt;&gt;""</f>
        <v>1</v>
      </c>
      <c r="E1499">
        <v>1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2">
      <c r="A1500" t="s">
        <v>1542</v>
      </c>
      <c r="B1500" t="s">
        <v>3705</v>
      </c>
      <c r="D1500" t="b">
        <f>IFERROR(VLOOKUP(B1500,PatData!$A$2:$A$2000,1,),"")&lt;&gt;""</f>
        <v>1</v>
      </c>
      <c r="E1500">
        <v>1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2">
      <c r="A1501" t="s">
        <v>1543</v>
      </c>
      <c r="B1501" t="s">
        <v>3706</v>
      </c>
      <c r="D1501" t="b">
        <f>IFERROR(VLOOKUP(B1501,PatData!$A$2:$A$2000,1,),"")&lt;&gt;""</f>
        <v>1</v>
      </c>
      <c r="E1501">
        <v>1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2">
      <c r="A1502" t="s">
        <v>1544</v>
      </c>
      <c r="B1502" t="s">
        <v>3707</v>
      </c>
      <c r="D1502" t="b">
        <f>IFERROR(VLOOKUP(B1502,PatData!$A$2:$A$2000,1,),"")&lt;&gt;""</f>
        <v>1</v>
      </c>
      <c r="E1502">
        <v>1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2">
      <c r="A1503" t="s">
        <v>1545</v>
      </c>
      <c r="B1503" t="s">
        <v>3708</v>
      </c>
      <c r="D1503" t="b">
        <f>IFERROR(VLOOKUP(B1503,PatData!$A$2:$A$2000,1,),"")&lt;&gt;""</f>
        <v>1</v>
      </c>
      <c r="E1503">
        <v>1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1546</v>
      </c>
      <c r="B1504" t="s">
        <v>3709</v>
      </c>
      <c r="D1504" t="b">
        <f>IFERROR(VLOOKUP(B1504,PatData!$A$2:$A$2000,1,),"")&lt;&gt;""</f>
        <v>1</v>
      </c>
      <c r="E1504">
        <v>1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1547</v>
      </c>
      <c r="B1505" t="s">
        <v>3710</v>
      </c>
      <c r="D1505" t="b">
        <f>IFERROR(VLOOKUP(B1505,PatData!$A$2:$A$2000,1,),"")&lt;&gt;""</f>
        <v>1</v>
      </c>
      <c r="E1505">
        <v>1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1548</v>
      </c>
      <c r="B1506" t="s">
        <v>3711</v>
      </c>
      <c r="D1506" t="b">
        <f>IFERROR(VLOOKUP(B1506,PatData!$A$2:$A$2000,1,),"")&lt;&gt;""</f>
        <v>1</v>
      </c>
      <c r="E1506">
        <v>1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1549</v>
      </c>
      <c r="B1507" t="s">
        <v>3712</v>
      </c>
      <c r="D1507" t="b">
        <f>IFERROR(VLOOKUP(B1507,PatData!$A$2:$A$2000,1,),"")&lt;&gt;""</f>
        <v>1</v>
      </c>
      <c r="E1507">
        <v>1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1550</v>
      </c>
      <c r="B1508" t="s">
        <v>3713</v>
      </c>
      <c r="D1508" t="b">
        <f>IFERROR(VLOOKUP(B1508,PatData!$A$2:$A$2000,1,),"")&lt;&gt;""</f>
        <v>1</v>
      </c>
      <c r="E1508">
        <v>1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4852</v>
      </c>
      <c r="B1509" t="s">
        <v>4853</v>
      </c>
      <c r="D1509" t="b">
        <f>IFERROR(VLOOKUP(B1509,PatData!$A$2:$A$2000,1,),"")&lt;&gt;""</f>
        <v>1</v>
      </c>
      <c r="E1509">
        <v>1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4854</v>
      </c>
      <c r="B1510" t="s">
        <v>4855</v>
      </c>
      <c r="D1510" t="b">
        <f>IFERROR(VLOOKUP(B1510,PatData!$A$2:$A$2000,1,),"")&lt;&gt;""</f>
        <v>1</v>
      </c>
      <c r="E1510">
        <v>1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4856</v>
      </c>
      <c r="B1511" t="s">
        <v>4857</v>
      </c>
      <c r="D1511" t="b">
        <f>IFERROR(VLOOKUP(B1511,PatData!$A$2:$A$2000,1,),"")&lt;&gt;""</f>
        <v>1</v>
      </c>
      <c r="E1511">
        <v>1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4858</v>
      </c>
      <c r="B1512" t="s">
        <v>4859</v>
      </c>
      <c r="D1512" t="b">
        <f>IFERROR(VLOOKUP(B1512,PatData!$A$2:$A$2000,1,),"")&lt;&gt;""</f>
        <v>1</v>
      </c>
      <c r="E1512">
        <v>1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4860</v>
      </c>
      <c r="B1513" t="s">
        <v>4861</v>
      </c>
      <c r="D1513" t="b">
        <f>IFERROR(VLOOKUP(B1513,PatData!$A$2:$A$2000,1,),"")&lt;&gt;""</f>
        <v>1</v>
      </c>
      <c r="E1513">
        <v>1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1551</v>
      </c>
      <c r="B1514" t="s">
        <v>3714</v>
      </c>
      <c r="D1514" t="b">
        <f>IFERROR(VLOOKUP(B1514,PatData!$A$2:$A$2000,1,),"")&lt;&gt;""</f>
        <v>1</v>
      </c>
      <c r="E1514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1552</v>
      </c>
      <c r="B1515" t="s">
        <v>3715</v>
      </c>
      <c r="D1515" t="b">
        <f>IFERROR(VLOOKUP(B1515,PatData!$A$2:$A$2000,1,),"")&lt;&gt;""</f>
        <v>1</v>
      </c>
      <c r="E1515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1553</v>
      </c>
      <c r="B1516" t="s">
        <v>3716</v>
      </c>
      <c r="D1516" t="b">
        <f>IFERROR(VLOOKUP(B1516,PatData!$A$2:$A$2000,1,),"")&lt;&gt;""</f>
        <v>1</v>
      </c>
      <c r="E1516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1554</v>
      </c>
      <c r="B1517" t="s">
        <v>3717</v>
      </c>
      <c r="D1517" t="b">
        <f>IFERROR(VLOOKUP(B1517,PatData!$A$2:$A$2000,1,),"")&lt;&gt;""</f>
        <v>1</v>
      </c>
      <c r="E1517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1555</v>
      </c>
      <c r="B1518" t="s">
        <v>3718</v>
      </c>
      <c r="D1518" t="b">
        <f>IFERROR(VLOOKUP(B1518,PatData!$A$2:$A$2000,1,),"")&lt;&gt;""</f>
        <v>1</v>
      </c>
      <c r="E1518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1556</v>
      </c>
      <c r="B1519" t="s">
        <v>3719</v>
      </c>
      <c r="D1519" t="b">
        <f>IFERROR(VLOOKUP(B1519,PatData!$A$2:$A$2000,1,),"")&lt;&gt;""</f>
        <v>1</v>
      </c>
      <c r="E1519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1557</v>
      </c>
      <c r="B1520" t="s">
        <v>3720</v>
      </c>
      <c r="D1520" t="b">
        <f>IFERROR(VLOOKUP(B1520,PatData!$A$2:$A$2000,1,),"")&lt;&gt;""</f>
        <v>1</v>
      </c>
      <c r="E1520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1558</v>
      </c>
      <c r="B1521" t="s">
        <v>3721</v>
      </c>
      <c r="D1521" t="b">
        <f>IFERROR(VLOOKUP(B1521,PatData!$A$2:$A$2000,1,),"")&lt;&gt;""</f>
        <v>1</v>
      </c>
      <c r="E1521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1559</v>
      </c>
      <c r="B1522" t="s">
        <v>3722</v>
      </c>
      <c r="D1522" t="b">
        <f>IFERROR(VLOOKUP(B1522,PatData!$A$2:$A$2000,1,),"")&lt;&gt;""</f>
        <v>1</v>
      </c>
      <c r="E1522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1560</v>
      </c>
      <c r="B1523" t="s">
        <v>3723</v>
      </c>
      <c r="D1523" t="b">
        <f>IFERROR(VLOOKUP(B1523,PatData!$A$2:$A$2000,1,),"")&lt;&gt;""</f>
        <v>1</v>
      </c>
      <c r="E1523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1561</v>
      </c>
      <c r="B1524" t="s">
        <v>3724</v>
      </c>
      <c r="D1524" t="b">
        <f>IFERROR(VLOOKUP(B1524,PatData!$A$2:$A$2000,1,),"")&lt;&gt;""</f>
        <v>1</v>
      </c>
      <c r="E1524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1562</v>
      </c>
      <c r="B1525" t="s">
        <v>3725</v>
      </c>
      <c r="D1525" t="b">
        <f>IFERROR(VLOOKUP(B1525,PatData!$A$2:$A$2000,1,),"")&lt;&gt;""</f>
        <v>1</v>
      </c>
      <c r="E1525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1563</v>
      </c>
      <c r="B1526" t="s">
        <v>3726</v>
      </c>
      <c r="D1526" t="b">
        <f>IFERROR(VLOOKUP(B1526,PatData!$A$2:$A$2000,1,),"")&lt;&gt;""</f>
        <v>1</v>
      </c>
      <c r="E1526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1564</v>
      </c>
      <c r="B1527" t="s">
        <v>3727</v>
      </c>
      <c r="D1527" t="b">
        <f>IFERROR(VLOOKUP(B1527,PatData!$A$2:$A$2000,1,),"")&lt;&gt;""</f>
        <v>1</v>
      </c>
      <c r="E1527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1565</v>
      </c>
      <c r="B1528" t="s">
        <v>3728</v>
      </c>
      <c r="D1528" t="b">
        <f>IFERROR(VLOOKUP(B1528,PatData!$A$2:$A$2000,1,),"")&lt;&gt;""</f>
        <v>1</v>
      </c>
      <c r="E1528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4862</v>
      </c>
      <c r="B1529" t="s">
        <v>4863</v>
      </c>
      <c r="D1529" t="b">
        <f>IFERROR(VLOOKUP(B1529,PatData!$A$2:$A$2000,1,),"")&lt;&gt;""</f>
        <v>1</v>
      </c>
      <c r="E1529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4864</v>
      </c>
      <c r="B1530" t="s">
        <v>4865</v>
      </c>
      <c r="D1530" t="b">
        <f>IFERROR(VLOOKUP(B1530,PatData!$A$2:$A$2000,1,),"")&lt;&gt;""</f>
        <v>1</v>
      </c>
      <c r="E1530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4866</v>
      </c>
      <c r="B1531" t="s">
        <v>4867</v>
      </c>
      <c r="D1531" t="b">
        <f>IFERROR(VLOOKUP(B1531,PatData!$A$2:$A$2000,1,),"")&lt;&gt;""</f>
        <v>1</v>
      </c>
      <c r="E1531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4868</v>
      </c>
      <c r="B1532" t="s">
        <v>4869</v>
      </c>
      <c r="D1532" t="b">
        <f>IFERROR(VLOOKUP(B1532,PatData!$A$2:$A$2000,1,),"")&lt;&gt;""</f>
        <v>1</v>
      </c>
      <c r="E1532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4870</v>
      </c>
      <c r="B1533" t="s">
        <v>4871</v>
      </c>
      <c r="D1533" t="b">
        <f>IFERROR(VLOOKUP(B1533,PatData!$A$2:$A$2000,1,),"")&lt;&gt;""</f>
        <v>1</v>
      </c>
      <c r="E1533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5067</v>
      </c>
      <c r="B1534" t="s">
        <v>3729</v>
      </c>
      <c r="D1534" t="b">
        <f>IFERROR(VLOOKUP(B1534,PatData!$A$2:$A$2000,1,),"")&lt;&gt;""</f>
        <v>1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1566</v>
      </c>
      <c r="B1535" t="s">
        <v>3730</v>
      </c>
      <c r="D1535" t="b">
        <f>IFERROR(VLOOKUP(B1535,PatData!$A$2:$A$2000,1,),"")&lt;&gt;""</f>
        <v>1</v>
      </c>
      <c r="E1535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1567</v>
      </c>
      <c r="B1536" t="s">
        <v>3731</v>
      </c>
      <c r="D1536" t="b">
        <f>IFERROR(VLOOKUP(B1536,PatData!$A$2:$A$2000,1,),"")&lt;&gt;""</f>
        <v>1</v>
      </c>
      <c r="E1536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1568</v>
      </c>
      <c r="B1537" t="s">
        <v>3732</v>
      </c>
      <c r="D1537" t="b">
        <f>IFERROR(VLOOKUP(B1537,PatData!$A$2:$A$2000,1,),"")&lt;&gt;""</f>
        <v>1</v>
      </c>
      <c r="E1537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1569</v>
      </c>
      <c r="B1538" t="s">
        <v>3733</v>
      </c>
      <c r="D1538" t="b">
        <f>IFERROR(VLOOKUP(B1538,PatData!$A$2:$A$2000,1,),"")&lt;&gt;""</f>
        <v>1</v>
      </c>
      <c r="E1538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1570</v>
      </c>
      <c r="B1539" t="s">
        <v>3734</v>
      </c>
      <c r="D1539" t="b">
        <f>IFERROR(VLOOKUP(B1539,PatData!$A$2:$A$2000,1,),"")&lt;&gt;""</f>
        <v>1</v>
      </c>
      <c r="E1539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1571</v>
      </c>
      <c r="B1540" t="s">
        <v>3735</v>
      </c>
      <c r="D1540" t="b">
        <f>IFERROR(VLOOKUP(B1540,PatData!$A$2:$A$2000,1,),"")&lt;&gt;""</f>
        <v>1</v>
      </c>
      <c r="E1540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1572</v>
      </c>
      <c r="B1541" t="s">
        <v>3736</v>
      </c>
      <c r="D1541" t="b">
        <f>IFERROR(VLOOKUP(B1541,PatData!$A$2:$A$2000,1,),"")&lt;&gt;""</f>
        <v>1</v>
      </c>
      <c r="E1541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1573</v>
      </c>
      <c r="B1542" t="s">
        <v>3737</v>
      </c>
      <c r="D1542" t="b">
        <f>IFERROR(VLOOKUP(B1542,PatData!$A$2:$A$2000,1,),"")&lt;&gt;""</f>
        <v>1</v>
      </c>
      <c r="E1542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1574</v>
      </c>
      <c r="B1543" t="s">
        <v>3738</v>
      </c>
      <c r="D1543" t="b">
        <f>IFERROR(VLOOKUP(B1543,PatData!$A$2:$A$2000,1,),"")&lt;&gt;""</f>
        <v>1</v>
      </c>
      <c r="E1543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1575</v>
      </c>
      <c r="B1544" t="s">
        <v>3739</v>
      </c>
      <c r="D1544" t="b">
        <f>IFERROR(VLOOKUP(B1544,PatData!$A$2:$A$2000,1,),"")&lt;&gt;""</f>
        <v>1</v>
      </c>
      <c r="E1544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1576</v>
      </c>
      <c r="B1545" t="s">
        <v>3740</v>
      </c>
      <c r="D1545" t="b">
        <f>IFERROR(VLOOKUP(B1545,PatData!$A$2:$A$2000,1,),"")&lt;&gt;""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1577</v>
      </c>
      <c r="B1546" t="s">
        <v>3741</v>
      </c>
      <c r="D1546" t="b">
        <f>IFERROR(VLOOKUP(B1546,PatData!$A$2:$A$2000,1,),"")&lt;&gt;""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1578</v>
      </c>
      <c r="B1547" t="s">
        <v>3742</v>
      </c>
      <c r="D1547" t="b">
        <f>IFERROR(VLOOKUP(B1547,PatData!$A$2:$A$2000,1,),"")&lt;&gt;""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1579</v>
      </c>
      <c r="B1548" t="s">
        <v>3743</v>
      </c>
      <c r="D1548" t="b">
        <f>IFERROR(VLOOKUP(B1548,PatData!$A$2:$A$2000,1,),"")&lt;&gt;""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1580</v>
      </c>
      <c r="B1549" t="s">
        <v>3744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4872</v>
      </c>
      <c r="B1550" t="s">
        <v>4873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4874</v>
      </c>
      <c r="B1551" t="s">
        <v>4875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4876</v>
      </c>
      <c r="B1552" t="s">
        <v>4877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4878</v>
      </c>
      <c r="B1553" t="s">
        <v>4879</v>
      </c>
      <c r="D1553" t="b">
        <f>IFERROR(VLOOKUP(B1553,PatData!$A$2:$A$2000,1,),"")&lt;&gt;""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4880</v>
      </c>
      <c r="B1554" t="s">
        <v>4881</v>
      </c>
      <c r="D1554" t="b">
        <f>IFERROR(VLOOKUP(B1554,PatData!$A$2:$A$2000,1,),"")&lt;&gt;""</f>
        <v>1</v>
      </c>
      <c r="E1554">
        <v>0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1581</v>
      </c>
      <c r="B1555" t="s">
        <v>3745</v>
      </c>
      <c r="D1555" t="b">
        <f>IFERROR(VLOOKUP(B1555,PatData!$A$2:$A$2000,1,),"")&lt;&gt;""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1582</v>
      </c>
      <c r="B1556" t="s">
        <v>3746</v>
      </c>
      <c r="D1556" t="b">
        <f>IFERROR(VLOOKUP(B1556,PatData!$A$2:$A$2000,1,),"")&lt;&gt;""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1583</v>
      </c>
      <c r="B1557" t="s">
        <v>3747</v>
      </c>
      <c r="D1557" t="b">
        <f>IFERROR(VLOOKUP(B1557,PatData!$A$2:$A$2000,1,),"")&lt;&gt;""</f>
        <v>1</v>
      </c>
      <c r="E1557">
        <v>0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1584</v>
      </c>
      <c r="B1558" t="s">
        <v>3748</v>
      </c>
      <c r="D1558" t="b">
        <f>IFERROR(VLOOKUP(B1558,PatData!$A$2:$A$2000,1,),"")&lt;&gt;""</f>
        <v>1</v>
      </c>
      <c r="E1558">
        <v>0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1585</v>
      </c>
      <c r="B1559" t="s">
        <v>3749</v>
      </c>
      <c r="D1559" t="b">
        <f>IFERROR(VLOOKUP(B1559,PatData!$A$2:$A$2000,1,),"")&lt;&gt;""</f>
        <v>1</v>
      </c>
      <c r="E1559">
        <v>0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1586</v>
      </c>
      <c r="B1560" t="s">
        <v>3750</v>
      </c>
      <c r="D1560" t="b">
        <f>IFERROR(VLOOKUP(B1560,PatData!$A$2:$A$2000,1,),"")&lt;&gt;""</f>
        <v>1</v>
      </c>
      <c r="E1560">
        <v>0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1587</v>
      </c>
      <c r="B1561" t="s">
        <v>3751</v>
      </c>
      <c r="D1561" t="b">
        <f>IFERROR(VLOOKUP(B1561,PatData!$A$2:$A$2000,1,),"")&lt;&gt;""</f>
        <v>1</v>
      </c>
      <c r="E1561">
        <v>0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1588</v>
      </c>
      <c r="B1562" t="s">
        <v>3752</v>
      </c>
      <c r="D1562" t="b">
        <f>IFERROR(VLOOKUP(B1562,PatData!$A$2:$A$2000,1,),"")&lt;&gt;""</f>
        <v>1</v>
      </c>
      <c r="E1562">
        <v>0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1589</v>
      </c>
      <c r="B1563" t="s">
        <v>3753</v>
      </c>
      <c r="D1563" t="b">
        <f>IFERROR(VLOOKUP(B1563,PatData!$A$2:$A$2000,1,),"")&lt;&gt;""</f>
        <v>1</v>
      </c>
      <c r="E1563">
        <v>0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1590</v>
      </c>
      <c r="B1564" t="s">
        <v>3754</v>
      </c>
      <c r="D1564" t="b">
        <f>IFERROR(VLOOKUP(B1564,PatData!$A$2:$A$2000,1,),"")&lt;&gt;""</f>
        <v>1</v>
      </c>
      <c r="E1564">
        <v>0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1591</v>
      </c>
      <c r="B1565" t="s">
        <v>3755</v>
      </c>
      <c r="D1565" t="b">
        <f>IFERROR(VLOOKUP(B1565,PatData!$A$2:$A$2000,1,),"")&lt;&gt;""</f>
        <v>1</v>
      </c>
      <c r="E1565">
        <v>0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1592</v>
      </c>
      <c r="B1566" t="s">
        <v>3756</v>
      </c>
      <c r="D1566" t="b">
        <f>IFERROR(VLOOKUP(B1566,PatData!$A$2:$A$2000,1,),"")&lt;&gt;""</f>
        <v>1</v>
      </c>
      <c r="E1566">
        <v>0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1593</v>
      </c>
      <c r="B1567" t="s">
        <v>3757</v>
      </c>
      <c r="D1567" t="b">
        <f>IFERROR(VLOOKUP(B1567,PatData!$A$2:$A$2000,1,),"")&lt;&gt;""</f>
        <v>1</v>
      </c>
      <c r="E1567">
        <v>0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1594</v>
      </c>
      <c r="B1568" t="s">
        <v>3758</v>
      </c>
      <c r="D1568" t="b">
        <f>IFERROR(VLOOKUP(B1568,PatData!$A$2:$A$2000,1,),"")&lt;&gt;""</f>
        <v>1</v>
      </c>
      <c r="E1568">
        <v>0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1595</v>
      </c>
      <c r="B1569" t="s">
        <v>3759</v>
      </c>
      <c r="D1569" t="b">
        <f>IFERROR(VLOOKUP(B1569,PatData!$A$2:$A$2000,1,),"")&lt;&gt;""</f>
        <v>1</v>
      </c>
      <c r="E1569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4882</v>
      </c>
      <c r="B1570" t="s">
        <v>4883</v>
      </c>
      <c r="D1570" t="b">
        <f>IFERROR(VLOOKUP(B1570,PatData!$A$2:$A$2000,1,),"")&lt;&gt;""</f>
        <v>1</v>
      </c>
      <c r="E1570">
        <v>0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4884</v>
      </c>
      <c r="B1571" t="s">
        <v>4885</v>
      </c>
      <c r="D1571" t="b">
        <f>IFERROR(VLOOKUP(B1571,PatData!$A$2:$A$2000,1,),"")&lt;&gt;""</f>
        <v>1</v>
      </c>
      <c r="E1571">
        <v>0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4886</v>
      </c>
      <c r="B1572" t="s">
        <v>4887</v>
      </c>
      <c r="D1572" t="b">
        <f>IFERROR(VLOOKUP(B1572,PatData!$A$2:$A$2000,1,),"")&lt;&gt;""</f>
        <v>1</v>
      </c>
      <c r="E1572">
        <v>0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4888</v>
      </c>
      <c r="B1573" t="s">
        <v>4889</v>
      </c>
      <c r="D1573" t="b">
        <f>IFERROR(VLOOKUP(B1573,PatData!$A$2:$A$2000,1,),"")&lt;&gt;""</f>
        <v>1</v>
      </c>
      <c r="E1573">
        <v>0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4890</v>
      </c>
      <c r="B1574" t="s">
        <v>4891</v>
      </c>
      <c r="D1574" t="b">
        <f>IFERROR(VLOOKUP(B1574,PatData!$A$2:$A$2000,1,),"")&lt;&gt;""</f>
        <v>1</v>
      </c>
      <c r="E1574">
        <v>0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5160</v>
      </c>
      <c r="B1575" t="s">
        <v>3760</v>
      </c>
      <c r="D1575" t="b">
        <f>IFERROR(VLOOKUP(B1575,PatData!$A$2:$A$2000,1,),"")&lt;&gt;""</f>
        <v>1</v>
      </c>
      <c r="E1575">
        <v>1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5161</v>
      </c>
      <c r="B1576" t="s">
        <v>3761</v>
      </c>
      <c r="D1576" t="b">
        <f>IFERROR(VLOOKUP(B1576,PatData!$A$2:$A$2000,1,),"")&lt;&gt;""</f>
        <v>1</v>
      </c>
      <c r="E1576">
        <v>1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5162</v>
      </c>
      <c r="B1577" t="s">
        <v>3762</v>
      </c>
      <c r="D1577" t="b">
        <f>IFERROR(VLOOKUP(B1577,PatData!$A$2:$A$2000,1,),"")&lt;&gt;""</f>
        <v>1</v>
      </c>
      <c r="E1577">
        <v>2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5163</v>
      </c>
      <c r="B1578" t="s">
        <v>3763</v>
      </c>
      <c r="D1578" t="b">
        <f>IFERROR(VLOOKUP(B1578,PatData!$A$2:$A$2000,1,),"")&lt;&gt;""</f>
        <v>1</v>
      </c>
      <c r="E1578">
        <v>20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5164</v>
      </c>
      <c r="B1579" t="s">
        <v>3764</v>
      </c>
      <c r="D1579" t="b">
        <f>IFERROR(VLOOKUP(B1579,PatData!$A$2:$A$2000,1,),"")&lt;&gt;""</f>
        <v>1</v>
      </c>
      <c r="E1579">
        <v>30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5165</v>
      </c>
      <c r="B1580" t="s">
        <v>3765</v>
      </c>
      <c r="D1580" t="b">
        <f>IFERROR(VLOOKUP(B1580,PatData!$A$2:$A$2000,1,),"")&lt;&gt;""</f>
        <v>1</v>
      </c>
      <c r="E1580">
        <v>1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5166</v>
      </c>
      <c r="B1581" t="s">
        <v>3766</v>
      </c>
      <c r="D1581" t="b">
        <f>IFERROR(VLOOKUP(B1581,PatData!$A$2:$A$2000,1,),"")&lt;&gt;""</f>
        <v>1</v>
      </c>
      <c r="E1581">
        <v>1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5167</v>
      </c>
      <c r="B1582" t="s">
        <v>3767</v>
      </c>
      <c r="D1582" t="b">
        <f>IFERROR(VLOOKUP(B1582,PatData!$A$2:$A$2000,1,),"")&lt;&gt;""</f>
        <v>1</v>
      </c>
      <c r="E1582">
        <v>10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1794</v>
      </c>
      <c r="B1583" t="s">
        <v>3768</v>
      </c>
      <c r="D1583" t="b">
        <f>IFERROR(VLOOKUP(B1583,PatData!$A$2:$A$2000,1,),"")&lt;&gt;""</f>
        <v>1</v>
      </c>
      <c r="E1583" t="b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1795</v>
      </c>
      <c r="B1584" t="s">
        <v>3769</v>
      </c>
      <c r="D1584" t="b">
        <f>IFERROR(VLOOKUP(B1584,PatData!$A$2:$A$2000,1,),"")&lt;&gt;""</f>
        <v>1</v>
      </c>
      <c r="E1584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1798</v>
      </c>
      <c r="B1585" t="s">
        <v>3770</v>
      </c>
      <c r="D1585" t="b">
        <f>IFERROR(VLOOKUP(B1585,PatData!$A$2:$A$2000,1,),"")&lt;&gt;""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1799</v>
      </c>
      <c r="B1586" t="s">
        <v>3771</v>
      </c>
      <c r="D1586" t="b">
        <f>IFERROR(VLOOKUP(B1586,PatData!$A$2:$A$2000,1,),"")&lt;&gt;""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1800</v>
      </c>
      <c r="B1587" t="s">
        <v>3772</v>
      </c>
      <c r="D1587" t="b">
        <f>IFERROR(VLOOKUP(B1587,PatData!$A$2:$A$2000,1,),"")&lt;&gt;""</f>
        <v>1</v>
      </c>
      <c r="E1587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1801</v>
      </c>
      <c r="B1588" t="s">
        <v>3773</v>
      </c>
      <c r="D1588" t="b">
        <f>IFERROR(VLOOKUP(B1588,PatData!$A$2:$A$2000,1,),"")&lt;&gt;""</f>
        <v>1</v>
      </c>
      <c r="E1588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2167</v>
      </c>
      <c r="B1589" t="s">
        <v>3774</v>
      </c>
      <c r="D1589" t="b">
        <f>IFERROR(VLOOKUP(B1589,PatData!$A$2:$A$2000,1,),"")&lt;&gt;""</f>
        <v>1</v>
      </c>
      <c r="E1589">
        <v>1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1802</v>
      </c>
      <c r="B1590" t="s">
        <v>3775</v>
      </c>
      <c r="D1590" t="b">
        <f>IFERROR(VLOOKUP(B1590,PatData!$A$2:$A$2000,1,),"")&lt;&gt;""</f>
        <v>1</v>
      </c>
      <c r="E1590" t="b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1803</v>
      </c>
      <c r="B1591" t="s">
        <v>3776</v>
      </c>
      <c r="D1591" t="b">
        <f>IFERROR(VLOOKUP(B1591,PatData!$A$2:$A$2000,1,),"")&lt;&gt;""</f>
        <v>1</v>
      </c>
      <c r="E1591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2094</v>
      </c>
      <c r="B1592" t="s">
        <v>3777</v>
      </c>
      <c r="D1592" t="b">
        <f>IFERROR(VLOOKUP(B1592,PatData!$A$2:$A$2000,1,),"")&lt;&gt;""</f>
        <v>1</v>
      </c>
      <c r="E1592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2096</v>
      </c>
      <c r="B1593" t="s">
        <v>3778</v>
      </c>
      <c r="D1593" t="b">
        <f>IFERROR(VLOOKUP(B1593,PatData!$A$2:$A$2000,1,),"")&lt;&gt;""</f>
        <v>1</v>
      </c>
      <c r="E1593" t="b">
        <v>0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2097</v>
      </c>
      <c r="B1594" t="s">
        <v>3779</v>
      </c>
      <c r="D1594" t="b">
        <f>IFERROR(VLOOKUP(B1594,PatData!$A$2:$A$2000,1,),"")&lt;&gt;""</f>
        <v>1</v>
      </c>
      <c r="E1594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2098</v>
      </c>
      <c r="B1595" t="s">
        <v>3780</v>
      </c>
      <c r="D1595" t="b">
        <f>IFERROR(VLOOKUP(B1595,PatData!$A$2:$A$2000,1,),"")&lt;&gt;""</f>
        <v>1</v>
      </c>
      <c r="E1595" t="b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2099</v>
      </c>
      <c r="B1596" t="s">
        <v>3781</v>
      </c>
      <c r="D1596" t="b">
        <f>IFERROR(VLOOKUP(B1596,PatData!$A$2:$A$2000,1,),"")&lt;&gt;""</f>
        <v>1</v>
      </c>
      <c r="E1596" t="b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2100</v>
      </c>
      <c r="B1597" t="s">
        <v>3782</v>
      </c>
      <c r="D1597" t="b">
        <f>IFERROR(VLOOKUP(B1597,PatData!$A$2:$A$2000,1,),"")&lt;&gt;""</f>
        <v>1</v>
      </c>
      <c r="E1597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2101</v>
      </c>
      <c r="B1598" t="s">
        <v>3783</v>
      </c>
      <c r="D1598" t="b">
        <f>IFERROR(VLOOKUP(B1598,PatData!$A$2:$A$2000,1,),"")&lt;&gt;""</f>
        <v>1</v>
      </c>
      <c r="E1598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5068</v>
      </c>
      <c r="B1599" t="s">
        <v>3784</v>
      </c>
      <c r="D1599" t="b">
        <f>IFERROR(VLOOKUP(B1599,PatData!$A$2:$A$2000,1,),"")&lt;&gt;""</f>
        <v>1</v>
      </c>
      <c r="E1599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2103</v>
      </c>
      <c r="B1600" t="s">
        <v>3785</v>
      </c>
      <c r="D1600" t="b">
        <f>IFERROR(VLOOKUP(B1600,PatData!$A$2:$A$2000,1,),"")&lt;&gt;""</f>
        <v>1</v>
      </c>
      <c r="E1600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2130</v>
      </c>
      <c r="B1601" t="s">
        <v>3786</v>
      </c>
      <c r="D1601" t="b">
        <f>IFERROR(VLOOKUP(B1601,PatData!$A$2:$A$2000,1,),"")&lt;&gt;""</f>
        <v>1</v>
      </c>
      <c r="E1601">
        <v>0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2131</v>
      </c>
      <c r="B1602" t="s">
        <v>3787</v>
      </c>
      <c r="D1602" t="b">
        <f>IFERROR(VLOOKUP(B1602,PatData!$A$2:$A$2000,1,),"")&lt;&gt;""</f>
        <v>1</v>
      </c>
      <c r="E1602" t="b">
        <v>0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2132</v>
      </c>
      <c r="B1603" t="s">
        <v>3788</v>
      </c>
      <c r="D1603" t="b">
        <f>IFERROR(VLOOKUP(B1603,PatData!$A$2:$A$2000,1,),"")&lt;&gt;""</f>
        <v>1</v>
      </c>
      <c r="E1603">
        <v>1</v>
      </c>
      <c r="F1603" t="b">
        <v>0</v>
      </c>
      <c r="G1603" t="b">
        <v>1</v>
      </c>
      <c r="H1603" t="b">
        <v>0</v>
      </c>
      <c r="I1603" t="b">
        <v>1</v>
      </c>
    </row>
    <row r="1604" spans="1:9" x14ac:dyDescent="0.2">
      <c r="A1604" t="s">
        <v>2134</v>
      </c>
      <c r="B1604" t="s">
        <v>3789</v>
      </c>
      <c r="D1604" t="b">
        <f>IFERROR(VLOOKUP(B1604,PatData!$A$2:$A$2000,1,),"")&lt;&gt;""</f>
        <v>1</v>
      </c>
      <c r="E1604">
        <v>1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2136</v>
      </c>
      <c r="B1605" t="s">
        <v>3790</v>
      </c>
      <c r="D1605" t="b">
        <f>IFERROR(VLOOKUP(B1605,PatData!$A$2:$A$2000,1,),"")&lt;&gt;""</f>
        <v>1</v>
      </c>
      <c r="E1605">
        <v>0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2135</v>
      </c>
      <c r="B1606" t="s">
        <v>3791</v>
      </c>
      <c r="D1606" t="b">
        <f>IFERROR(VLOOKUP(B1606,PatData!$A$2:$A$2000,1,),"")&lt;&gt;""</f>
        <v>1</v>
      </c>
      <c r="E1606">
        <v>1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2133</v>
      </c>
      <c r="B1607" t="s">
        <v>3792</v>
      </c>
      <c r="D1607" t="b">
        <f>IFERROR(VLOOKUP(B1607,PatData!$A$2:$A$2000,1,),"")&lt;&gt;""</f>
        <v>1</v>
      </c>
      <c r="E1607">
        <v>0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2176</v>
      </c>
      <c r="B1608" t="s">
        <v>3793</v>
      </c>
      <c r="D1608" t="b">
        <f>IFERROR(VLOOKUP(B1608,PatData!$A$2:$A$2000,1,),"")&lt;&gt;""</f>
        <v>1</v>
      </c>
      <c r="E1608" t="b">
        <v>0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2177</v>
      </c>
      <c r="B1609" t="s">
        <v>3794</v>
      </c>
      <c r="D1609" t="b">
        <f>IFERROR(VLOOKUP(B1609,PatData!$A$2:$A$2000,1,),"")&lt;&gt;""</f>
        <v>1</v>
      </c>
      <c r="E1609">
        <v>1</v>
      </c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2175</v>
      </c>
      <c r="B1610" t="s">
        <v>3795</v>
      </c>
      <c r="D1610" t="b">
        <f>IFERROR(VLOOKUP(B1610,PatData!$A$2:$A$2000,1,),"")&lt;&gt;""</f>
        <v>1</v>
      </c>
      <c r="E1610">
        <v>0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e">
        <v>#NAME?</v>
      </c>
      <c r="B1611" t="s">
        <v>1218</v>
      </c>
      <c r="D1611" t="b">
        <f>IFERROR(VLOOKUP(B1611,PatData!$A$2:$A$2000,1,),"")&lt;&gt;""</f>
        <v>0</v>
      </c>
      <c r="E1611">
        <v>0</v>
      </c>
      <c r="F1611" t="b">
        <v>0</v>
      </c>
      <c r="G1611" t="b">
        <v>0</v>
      </c>
      <c r="H1611" t="b">
        <v>0</v>
      </c>
      <c r="I1611" t="b">
        <v>0</v>
      </c>
    </row>
    <row r="1612" spans="1:9" x14ac:dyDescent="0.2">
      <c r="A1612" t="s">
        <v>2105</v>
      </c>
      <c r="B1612" t="s">
        <v>1219</v>
      </c>
      <c r="D1612" t="b">
        <f>IFERROR(VLOOKUP(B1612,PatData!$A$2:$A$2000,1,),"")&lt;&gt;""</f>
        <v>0</v>
      </c>
      <c r="E1612" t="s">
        <v>4621</v>
      </c>
      <c r="F1612" t="b">
        <v>0</v>
      </c>
      <c r="G1612" t="b">
        <v>0</v>
      </c>
      <c r="H1612" t="b">
        <v>0</v>
      </c>
      <c r="I1612" t="b">
        <v>0</v>
      </c>
    </row>
    <row r="1613" spans="1:9" x14ac:dyDescent="0.2">
      <c r="A1613" t="s">
        <v>2106</v>
      </c>
      <c r="B1613" t="s">
        <v>1220</v>
      </c>
      <c r="D1613" t="b">
        <f>IFERROR(VLOOKUP(B1613,PatData!$A$2:$A$2000,1,),"")&lt;&gt;""</f>
        <v>0</v>
      </c>
      <c r="F1613" t="b">
        <v>0</v>
      </c>
      <c r="G1613" t="b">
        <v>0</v>
      </c>
      <c r="H1613" t="b">
        <v>0</v>
      </c>
      <c r="I1613" t="b">
        <v>0</v>
      </c>
    </row>
    <row r="1614" spans="1:9" x14ac:dyDescent="0.2">
      <c r="A1614" t="s">
        <v>2107</v>
      </c>
      <c r="B1614" t="s">
        <v>1221</v>
      </c>
      <c r="D1614" t="b">
        <f>IFERROR(VLOOKUP(B1614,PatData!$A$2:$A$2000,1,),"")&lt;&gt;""</f>
        <v>0</v>
      </c>
      <c r="F1614" t="b">
        <v>0</v>
      </c>
      <c r="G1614" t="b">
        <v>0</v>
      </c>
      <c r="H1614" t="b">
        <v>0</v>
      </c>
      <c r="I1614" t="b">
        <v>0</v>
      </c>
    </row>
    <row r="1615" spans="1:9" x14ac:dyDescent="0.2">
      <c r="A1615" t="s">
        <v>2108</v>
      </c>
      <c r="B1615" t="s">
        <v>1222</v>
      </c>
      <c r="D1615" t="b">
        <f>IFERROR(VLOOKUP(B1615,PatData!$A$2:$A$2000,1,),"")&lt;&gt;""</f>
        <v>0</v>
      </c>
      <c r="E1615" t="s">
        <v>4622</v>
      </c>
      <c r="F1615" t="b">
        <v>0</v>
      </c>
      <c r="G1615" t="b">
        <v>0</v>
      </c>
      <c r="H1615" t="b">
        <v>0</v>
      </c>
      <c r="I1615" t="b">
        <v>0</v>
      </c>
    </row>
    <row r="1616" spans="1:9" x14ac:dyDescent="0.2">
      <c r="A1616" t="s">
        <v>2109</v>
      </c>
      <c r="B1616" t="s">
        <v>1223</v>
      </c>
      <c r="D1616" t="b">
        <f>IFERROR(VLOOKUP(B1616,PatData!$A$2:$A$2000,1,),"")&lt;&gt;""</f>
        <v>0</v>
      </c>
      <c r="E1616" t="s">
        <v>551</v>
      </c>
      <c r="F1616" t="b">
        <v>0</v>
      </c>
      <c r="G1616" t="b">
        <v>0</v>
      </c>
      <c r="H1616" t="b">
        <v>0</v>
      </c>
      <c r="I1616" t="b">
        <v>0</v>
      </c>
    </row>
    <row r="1617" spans="1:9" x14ac:dyDescent="0.2">
      <c r="A1617" t="s">
        <v>2110</v>
      </c>
      <c r="B1617" t="s">
        <v>1224</v>
      </c>
      <c r="D1617" t="b">
        <f>IFERROR(VLOOKUP(B1617,PatData!$A$2:$A$2000,1,),"")&lt;&gt;""</f>
        <v>0</v>
      </c>
      <c r="E1617" t="s">
        <v>4621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2">
      <c r="A1618" t="s">
        <v>2111</v>
      </c>
      <c r="B1618" t="s">
        <v>1225</v>
      </c>
      <c r="D1618" t="b">
        <f>IFERROR(VLOOKUP(B1618,PatData!$A$2:$A$2000,1,),"")&lt;&gt;""</f>
        <v>0</v>
      </c>
      <c r="F1618" t="b">
        <v>0</v>
      </c>
      <c r="G1618" t="b">
        <v>0</v>
      </c>
      <c r="H1618" t="b">
        <v>0</v>
      </c>
      <c r="I1618" t="b">
        <v>0</v>
      </c>
    </row>
    <row r="1619" spans="1:9" x14ac:dyDescent="0.2">
      <c r="A1619" t="s">
        <v>2112</v>
      </c>
      <c r="B1619" t="s">
        <v>1226</v>
      </c>
      <c r="D1619" t="b">
        <f>IFERROR(VLOOKUP(B1619,PatData!$A$2:$A$2000,1,),"")&lt;&gt;""</f>
        <v>0</v>
      </c>
      <c r="E1619" t="s">
        <v>4622</v>
      </c>
      <c r="F1619" t="b">
        <v>0</v>
      </c>
      <c r="G1619" t="b">
        <v>0</v>
      </c>
      <c r="H1619" t="b">
        <v>0</v>
      </c>
      <c r="I1619" t="b">
        <v>0</v>
      </c>
    </row>
    <row r="1620" spans="1:9" x14ac:dyDescent="0.2">
      <c r="A1620" t="s">
        <v>2113</v>
      </c>
      <c r="B1620" t="s">
        <v>1227</v>
      </c>
      <c r="D1620" t="b">
        <f>IFERROR(VLOOKUP(B1620,PatData!$A$2:$A$2000,1,),"")&lt;&gt;""</f>
        <v>0</v>
      </c>
      <c r="E1620" t="s">
        <v>264</v>
      </c>
      <c r="F1620" t="b">
        <v>0</v>
      </c>
      <c r="G1620" t="b">
        <v>0</v>
      </c>
      <c r="H1620" t="b">
        <v>0</v>
      </c>
      <c r="I1620" t="b">
        <v>0</v>
      </c>
    </row>
    <row r="1621" spans="1:9" x14ac:dyDescent="0.2">
      <c r="A1621" t="s">
        <v>2114</v>
      </c>
      <c r="B1621" t="s">
        <v>1228</v>
      </c>
      <c r="D1621" t="b">
        <f>IFERROR(VLOOKUP(B1621,PatData!$A$2:$A$2000,1,),"")&lt;&gt;""</f>
        <v>0</v>
      </c>
      <c r="E1621" t="s">
        <v>264</v>
      </c>
      <c r="F1621" t="b">
        <v>0</v>
      </c>
      <c r="G1621" t="b">
        <v>0</v>
      </c>
      <c r="H1621" t="b">
        <v>0</v>
      </c>
      <c r="I1621" t="b">
        <v>0</v>
      </c>
    </row>
    <row r="1622" spans="1:9" x14ac:dyDescent="0.2">
      <c r="A1622" t="s">
        <v>2115</v>
      </c>
      <c r="B1622" t="s">
        <v>1229</v>
      </c>
      <c r="D1622" t="b">
        <f>IFERROR(VLOOKUP(B1622,PatData!$A$2:$A$2000,1,),"")&lt;&gt;""</f>
        <v>0</v>
      </c>
      <c r="E1622" t="s">
        <v>264</v>
      </c>
      <c r="F1622" t="b">
        <v>0</v>
      </c>
      <c r="G1622" t="b">
        <v>0</v>
      </c>
      <c r="H1622" t="b">
        <v>0</v>
      </c>
      <c r="I1622" t="b">
        <v>0</v>
      </c>
    </row>
    <row r="1623" spans="1:9" x14ac:dyDescent="0.2">
      <c r="A1623" t="s">
        <v>2116</v>
      </c>
      <c r="B1623" t="s">
        <v>1230</v>
      </c>
      <c r="D1623" t="b">
        <f>IFERROR(VLOOKUP(B1623,PatData!$A$2:$A$2000,1,),"")&lt;&gt;""</f>
        <v>0</v>
      </c>
      <c r="E1623" t="s">
        <v>264</v>
      </c>
      <c r="F1623" t="b">
        <v>0</v>
      </c>
      <c r="G1623" t="b">
        <v>0</v>
      </c>
      <c r="H1623" t="b">
        <v>0</v>
      </c>
      <c r="I1623" t="b">
        <v>0</v>
      </c>
    </row>
    <row r="1624" spans="1:9" x14ac:dyDescent="0.2">
      <c r="A1624" t="s">
        <v>2117</v>
      </c>
      <c r="B1624" t="s">
        <v>1231</v>
      </c>
      <c r="D1624" t="b">
        <f>IFERROR(VLOOKUP(B1624,PatData!$A$2:$A$2000,1,),"")&lt;&gt;""</f>
        <v>0</v>
      </c>
      <c r="E1624" t="s">
        <v>264</v>
      </c>
      <c r="F1624" t="b">
        <v>0</v>
      </c>
      <c r="G1624" t="b">
        <v>0</v>
      </c>
      <c r="H1624" t="b">
        <v>0</v>
      </c>
      <c r="I1624" t="b">
        <v>0</v>
      </c>
    </row>
    <row r="1625" spans="1:9" x14ac:dyDescent="0.2">
      <c r="A1625" t="s">
        <v>2118</v>
      </c>
      <c r="B1625" t="s">
        <v>1232</v>
      </c>
      <c r="D1625" t="b">
        <f>IFERROR(VLOOKUP(B1625,PatData!$A$2:$A$2000,1,),"")&lt;&gt;""</f>
        <v>0</v>
      </c>
      <c r="E1625" t="b">
        <v>0</v>
      </c>
      <c r="F1625" t="b">
        <v>0</v>
      </c>
      <c r="G1625" t="b">
        <v>0</v>
      </c>
      <c r="H1625" t="b">
        <v>0</v>
      </c>
      <c r="I1625" t="b">
        <v>0</v>
      </c>
    </row>
    <row r="1626" spans="1:9" x14ac:dyDescent="0.2">
      <c r="A1626" t="s">
        <v>2119</v>
      </c>
      <c r="B1626" t="s">
        <v>1233</v>
      </c>
      <c r="D1626" t="b">
        <f>IFERROR(VLOOKUP(B1626,PatData!$A$2:$A$2000,1,),"")&lt;&gt;""</f>
        <v>0</v>
      </c>
      <c r="E1626">
        <v>0</v>
      </c>
      <c r="F1626" t="b">
        <v>0</v>
      </c>
      <c r="G1626" t="b">
        <v>0</v>
      </c>
      <c r="H1626" t="b">
        <v>0</v>
      </c>
      <c r="I1626" t="b">
        <v>0</v>
      </c>
    </row>
    <row r="1627" spans="1:9" x14ac:dyDescent="0.2">
      <c r="A1627" t="s">
        <v>2120</v>
      </c>
      <c r="B1627" t="s">
        <v>1234</v>
      </c>
      <c r="D1627" t="b">
        <f>IFERROR(VLOOKUP(B1627,PatData!$A$2:$A$2000,1,),"")&lt;&gt;""</f>
        <v>0</v>
      </c>
      <c r="E1627" t="b">
        <v>0</v>
      </c>
      <c r="F1627" t="b">
        <v>0</v>
      </c>
      <c r="G1627" t="b">
        <v>0</v>
      </c>
      <c r="H1627" t="b">
        <v>0</v>
      </c>
      <c r="I1627" t="b">
        <v>0</v>
      </c>
    </row>
    <row r="1628" spans="1:9" x14ac:dyDescent="0.2">
      <c r="A1628" t="s">
        <v>4623</v>
      </c>
      <c r="B1628" t="s">
        <v>1235</v>
      </c>
      <c r="D1628" t="b">
        <f>IFERROR(VLOOKUP(B1628,PatData!$A$2:$A$2000,1,),"")&lt;&gt;""</f>
        <v>0</v>
      </c>
      <c r="E1628" t="b">
        <v>0</v>
      </c>
      <c r="F1628" t="b">
        <v>0</v>
      </c>
      <c r="G1628" t="b">
        <v>0</v>
      </c>
      <c r="H1628" t="b">
        <v>0</v>
      </c>
      <c r="I1628" t="b">
        <v>0</v>
      </c>
    </row>
    <row r="1629" spans="1:9" x14ac:dyDescent="0.2">
      <c r="A1629" t="s">
        <v>4624</v>
      </c>
      <c r="B1629" t="s">
        <v>1236</v>
      </c>
      <c r="D1629" t="b">
        <f>IFERROR(VLOOKUP(B1629,PatData!$A$2:$A$2000,1,),"")&lt;&gt;""</f>
        <v>0</v>
      </c>
      <c r="E1629">
        <v>0</v>
      </c>
      <c r="F1629" t="b">
        <v>0</v>
      </c>
      <c r="G1629" t="b">
        <v>0</v>
      </c>
      <c r="H1629" t="b">
        <v>0</v>
      </c>
      <c r="I1629" t="b">
        <v>0</v>
      </c>
    </row>
    <row r="1630" spans="1:9" x14ac:dyDescent="0.2">
      <c r="A1630" t="s">
        <v>2121</v>
      </c>
      <c r="B1630" t="s">
        <v>1237</v>
      </c>
      <c r="D1630" t="b">
        <f>IFERROR(VLOOKUP(B1630,PatData!$A$2:$A$2000,1,),"")&lt;&gt;""</f>
        <v>0</v>
      </c>
      <c r="E1630" t="b">
        <v>0</v>
      </c>
      <c r="F1630" t="b">
        <v>0</v>
      </c>
      <c r="G1630" t="b">
        <v>0</v>
      </c>
      <c r="H1630" t="b">
        <v>0</v>
      </c>
      <c r="I1630" t="b">
        <v>0</v>
      </c>
    </row>
    <row r="1631" spans="1:9" x14ac:dyDescent="0.2">
      <c r="A1631" t="s">
        <v>2122</v>
      </c>
      <c r="B1631" t="s">
        <v>1238</v>
      </c>
      <c r="D1631" t="b">
        <f>IFERROR(VLOOKUP(B1631,PatData!$A$2:$A$2000,1,),"")&lt;&gt;""</f>
        <v>0</v>
      </c>
      <c r="E1631" t="s">
        <v>1197</v>
      </c>
      <c r="F1631" t="b">
        <v>0</v>
      </c>
      <c r="G1631" t="b">
        <v>0</v>
      </c>
      <c r="H1631" t="b">
        <v>0</v>
      </c>
      <c r="I1631" t="b">
        <v>0</v>
      </c>
    </row>
    <row r="1632" spans="1:9" x14ac:dyDescent="0.2">
      <c r="A1632" t="s">
        <v>2123</v>
      </c>
      <c r="B1632" t="s">
        <v>1239</v>
      </c>
      <c r="D1632" t="b">
        <f>IFERROR(VLOOKUP(B1632,PatData!$A$2:$A$2000,1,),"")&lt;&gt;""</f>
        <v>0</v>
      </c>
      <c r="E1632" t="s">
        <v>5149</v>
      </c>
      <c r="F1632" t="b">
        <v>0</v>
      </c>
      <c r="G1632" t="b">
        <v>0</v>
      </c>
      <c r="H1632" t="b">
        <v>0</v>
      </c>
      <c r="I1632" t="b">
        <v>0</v>
      </c>
    </row>
    <row r="1633" spans="1:9" x14ac:dyDescent="0.2">
      <c r="A1633" t="s">
        <v>2124</v>
      </c>
      <c r="B1633" t="s">
        <v>1240</v>
      </c>
      <c r="D1633" t="b">
        <f>IFERROR(VLOOKUP(B1633,PatData!$A$2:$A$2000,1,),"")&lt;&gt;""</f>
        <v>0</v>
      </c>
      <c r="E1633" t="b">
        <v>1</v>
      </c>
      <c r="F1633" t="b">
        <v>0</v>
      </c>
      <c r="G1633" t="b">
        <v>0</v>
      </c>
      <c r="H1633" t="b">
        <v>0</v>
      </c>
      <c r="I1633" t="b">
        <v>0</v>
      </c>
    </row>
    <row r="1634" spans="1:9" x14ac:dyDescent="0.2">
      <c r="A1634" t="s">
        <v>2125</v>
      </c>
      <c r="B1634" t="s">
        <v>1241</v>
      </c>
      <c r="D1634" t="b">
        <f>IFERROR(VLOOKUP(B1634,PatData!$A$2:$A$2000,1,),"")&lt;&gt;""</f>
        <v>0</v>
      </c>
      <c r="E1634" t="s">
        <v>1195</v>
      </c>
      <c r="F1634" t="b">
        <v>0</v>
      </c>
      <c r="G1634" t="b">
        <v>0</v>
      </c>
      <c r="H1634" t="b">
        <v>0</v>
      </c>
      <c r="I1634" t="b">
        <v>0</v>
      </c>
    </row>
    <row r="1635" spans="1:9" x14ac:dyDescent="0.2">
      <c r="A1635" t="s">
        <v>2126</v>
      </c>
      <c r="B1635" t="s">
        <v>1242</v>
      </c>
      <c r="D1635" t="b">
        <f>IFERROR(VLOOKUP(B1635,PatData!$A$2:$A$2000,1,),"")&lt;&gt;""</f>
        <v>0</v>
      </c>
      <c r="E1635" t="b">
        <v>1</v>
      </c>
      <c r="F1635" t="b">
        <v>0</v>
      </c>
      <c r="G1635" t="b">
        <v>0</v>
      </c>
      <c r="H1635" t="b">
        <v>0</v>
      </c>
      <c r="I1635" t="b">
        <v>0</v>
      </c>
    </row>
    <row r="1636" spans="1:9" x14ac:dyDescent="0.2">
      <c r="A1636" t="s">
        <v>2127</v>
      </c>
      <c r="B1636" t="s">
        <v>1243</v>
      </c>
      <c r="D1636" t="b">
        <f>IFERROR(VLOOKUP(B1636,PatData!$A$2:$A$2000,1,),"")&lt;&gt;""</f>
        <v>0</v>
      </c>
      <c r="E1636" t="s">
        <v>1189</v>
      </c>
      <c r="F1636" t="b">
        <v>0</v>
      </c>
      <c r="G1636" t="b">
        <v>0</v>
      </c>
      <c r="H1636" t="b">
        <v>0</v>
      </c>
      <c r="I1636" t="b">
        <v>0</v>
      </c>
    </row>
    <row r="1637" spans="1:9" x14ac:dyDescent="0.2">
      <c r="A1637" t="s">
        <v>2128</v>
      </c>
      <c r="B1637" t="s">
        <v>1244</v>
      </c>
      <c r="D1637" t="b">
        <f>IFERROR(VLOOKUP(B1637,PatData!$A$2:$A$2000,1,),"")&lt;&gt;""</f>
        <v>0</v>
      </c>
      <c r="E1637" t="s">
        <v>1190</v>
      </c>
      <c r="F1637" t="b">
        <v>0</v>
      </c>
      <c r="G1637" t="b">
        <v>0</v>
      </c>
      <c r="H1637" t="b">
        <v>0</v>
      </c>
      <c r="I1637" t="b">
        <v>0</v>
      </c>
    </row>
    <row r="1638" spans="1:9" x14ac:dyDescent="0.2">
      <c r="A1638" t="s">
        <v>2129</v>
      </c>
      <c r="B1638" t="s">
        <v>1245</v>
      </c>
      <c r="D1638" t="b">
        <f>IFERROR(VLOOKUP(B1638,PatData!$A$2:$A$2000,1,),"")&lt;&gt;""</f>
        <v>0</v>
      </c>
      <c r="E1638" t="s">
        <v>1193</v>
      </c>
      <c r="F1638" t="b">
        <v>0</v>
      </c>
      <c r="G1638" t="b">
        <v>0</v>
      </c>
      <c r="H1638" t="b">
        <v>0</v>
      </c>
      <c r="I1638" t="b">
        <v>0</v>
      </c>
    </row>
    <row r="1639" spans="1:9" x14ac:dyDescent="0.2">
      <c r="A1639" t="s">
        <v>5104</v>
      </c>
      <c r="B1639" t="s">
        <v>2381</v>
      </c>
      <c r="D1639" t="b">
        <f>IFERROR(VLOOKUP(B1639,PatData!$A$2:$A$2000,1,),"")&lt;&gt;""</f>
        <v>0</v>
      </c>
      <c r="E1639" t="s">
        <v>166</v>
      </c>
      <c r="F1639" t="b">
        <v>0</v>
      </c>
      <c r="G1639" t="b">
        <v>0</v>
      </c>
      <c r="H1639" t="b">
        <v>0</v>
      </c>
      <c r="I1639" t="b">
        <v>0</v>
      </c>
    </row>
    <row r="1640" spans="1:9" x14ac:dyDescent="0.2">
      <c r="A1640" t="s">
        <v>3875</v>
      </c>
      <c r="B1640" t="s">
        <v>3876</v>
      </c>
      <c r="D1640" t="b">
        <f>IFERROR(VLOOKUP(B1640,PatData!$A$2:$A$2000,1,),"")&lt;&gt;""</f>
        <v>0</v>
      </c>
      <c r="E1640" t="s">
        <v>3822</v>
      </c>
      <c r="F1640" t="b">
        <v>0</v>
      </c>
      <c r="G1640" t="b">
        <v>0</v>
      </c>
      <c r="H1640" t="b">
        <v>0</v>
      </c>
      <c r="I1640" t="b">
        <v>0</v>
      </c>
    </row>
    <row r="1641" spans="1:9" x14ac:dyDescent="0.2">
      <c r="A1641" t="s">
        <v>1796</v>
      </c>
      <c r="B1641" t="s">
        <v>2382</v>
      </c>
      <c r="D1641" t="b">
        <f>IFERROR(VLOOKUP(B1641,PatData!$A$2:$A$2000,1,),"")&lt;&gt;""</f>
        <v>0</v>
      </c>
      <c r="F1641" t="b">
        <v>0</v>
      </c>
      <c r="G1641" t="b">
        <v>0</v>
      </c>
      <c r="H1641" t="b">
        <v>0</v>
      </c>
      <c r="I1641" t="b">
        <v>0</v>
      </c>
    </row>
    <row r="1642" spans="1:9" x14ac:dyDescent="0.2">
      <c r="A1642" t="s">
        <v>1797</v>
      </c>
      <c r="B1642" t="s">
        <v>2383</v>
      </c>
      <c r="D1642" t="b">
        <f>IFERROR(VLOOKUP(B1642,PatData!$A$2:$A$2000,1,),"")&lt;&gt;""</f>
        <v>0</v>
      </c>
      <c r="F1642" t="b">
        <v>0</v>
      </c>
      <c r="G1642" t="b">
        <v>0</v>
      </c>
      <c r="H1642" t="b">
        <v>0</v>
      </c>
      <c r="I1642" t="b">
        <v>0</v>
      </c>
    </row>
    <row r="1643" spans="1:9" x14ac:dyDescent="0.2">
      <c r="A1643" t="s">
        <v>2091</v>
      </c>
      <c r="B1643" t="s">
        <v>2422</v>
      </c>
      <c r="D1643" t="b">
        <f>IFERROR(VLOOKUP(B1643,PatData!$A$2:$A$2000,1,),"")&lt;&gt;""</f>
        <v>0</v>
      </c>
      <c r="E1643" t="s">
        <v>603</v>
      </c>
      <c r="F1643" t="b">
        <v>0</v>
      </c>
      <c r="G1643" t="b">
        <v>0</v>
      </c>
      <c r="H1643" t="b">
        <v>0</v>
      </c>
      <c r="I1643" t="b">
        <v>0</v>
      </c>
    </row>
    <row r="1644" spans="1:9" x14ac:dyDescent="0.2">
      <c r="A1644" t="s">
        <v>2085</v>
      </c>
      <c r="B1644" t="s">
        <v>2416</v>
      </c>
      <c r="D1644" t="b">
        <f>IFERROR(VLOOKUP(B1644,PatData!$A$2:$A$2000,1,),"")&lt;&gt;""</f>
        <v>0</v>
      </c>
      <c r="F1644" t="b">
        <v>0</v>
      </c>
      <c r="G1644" t="b">
        <v>0</v>
      </c>
      <c r="H1644" t="b">
        <v>0</v>
      </c>
      <c r="I1644" t="b">
        <v>0</v>
      </c>
    </row>
    <row r="1645" spans="1:9" x14ac:dyDescent="0.2">
      <c r="A1645" t="s">
        <v>2086</v>
      </c>
      <c r="B1645" t="s">
        <v>2417</v>
      </c>
      <c r="D1645" t="b">
        <f>IFERROR(VLOOKUP(B1645,PatData!$A$2:$A$2000,1,),"")&lt;&gt;""</f>
        <v>0</v>
      </c>
      <c r="F1645" t="b">
        <v>0</v>
      </c>
      <c r="G1645" t="b">
        <v>0</v>
      </c>
      <c r="H1645" t="b">
        <v>0</v>
      </c>
      <c r="I1645" t="b">
        <v>0</v>
      </c>
    </row>
    <row r="1646" spans="1:9" x14ac:dyDescent="0.2">
      <c r="A1646" t="s">
        <v>2087</v>
      </c>
      <c r="B1646" t="s">
        <v>2418</v>
      </c>
      <c r="D1646" t="b">
        <f>IFERROR(VLOOKUP(B1646,PatData!$A$2:$A$2000,1,),"")&lt;&gt;""</f>
        <v>0</v>
      </c>
      <c r="F1646" t="b">
        <v>0</v>
      </c>
      <c r="G1646" t="b">
        <v>0</v>
      </c>
      <c r="H1646" t="b">
        <v>0</v>
      </c>
      <c r="I1646" t="b">
        <v>0</v>
      </c>
    </row>
    <row r="1647" spans="1:9" x14ac:dyDescent="0.2">
      <c r="A1647" t="s">
        <v>2095</v>
      </c>
      <c r="B1647" t="s">
        <v>3796</v>
      </c>
      <c r="D1647" t="b">
        <f>IFERROR(VLOOKUP(B1647,PatData!$A$2:$A$2000,1,),"")&lt;&gt;""</f>
        <v>0</v>
      </c>
      <c r="F1647" t="b">
        <v>0</v>
      </c>
      <c r="G1647" t="b">
        <v>0</v>
      </c>
      <c r="H1647" t="b">
        <v>0</v>
      </c>
      <c r="I1647" t="b">
        <v>0</v>
      </c>
    </row>
    <row r="1648" spans="1:9" x14ac:dyDescent="0.2">
      <c r="A1648" t="s">
        <v>1606</v>
      </c>
      <c r="B1648" t="s">
        <v>2371</v>
      </c>
      <c r="D1648" t="b">
        <f>IFERROR(VLOOKUP(B1648,PatData!$A$2:$A$2000,1,),"")&lt;&gt;""</f>
        <v>0</v>
      </c>
      <c r="F1648" t="b">
        <v>0</v>
      </c>
      <c r="G1648" t="b">
        <v>0</v>
      </c>
      <c r="H1648" t="b">
        <v>0</v>
      </c>
      <c r="I1648" t="b">
        <v>0</v>
      </c>
    </row>
    <row r="1649" spans="1:9" x14ac:dyDescent="0.2">
      <c r="A1649" t="s">
        <v>1605</v>
      </c>
      <c r="B1649" t="s">
        <v>2372</v>
      </c>
      <c r="D1649" t="b">
        <f>IFERROR(VLOOKUP(B1649,PatData!$A$2:$A$2000,1,),"")&lt;&gt;""</f>
        <v>0</v>
      </c>
      <c r="F1649" t="b">
        <v>0</v>
      </c>
      <c r="G1649" t="b">
        <v>0</v>
      </c>
      <c r="H1649" t="b">
        <v>0</v>
      </c>
      <c r="I1649" t="b">
        <v>0</v>
      </c>
    </row>
    <row r="1650" spans="1:9" x14ac:dyDescent="0.2">
      <c r="A1650" t="s">
        <v>1607</v>
      </c>
      <c r="B1650" t="s">
        <v>2369</v>
      </c>
      <c r="D1650" t="b">
        <f>IFERROR(VLOOKUP(B1650,PatData!$A$2:$A$2000,1,),"")&lt;&gt;""</f>
        <v>0</v>
      </c>
      <c r="F1650" t="b">
        <v>0</v>
      </c>
      <c r="G1650" t="b">
        <v>0</v>
      </c>
      <c r="H1650" t="b">
        <v>0</v>
      </c>
      <c r="I1650" t="b">
        <v>0</v>
      </c>
    </row>
    <row r="1651" spans="1:9" x14ac:dyDescent="0.2">
      <c r="A1651" t="s">
        <v>1608</v>
      </c>
      <c r="B1651" t="s">
        <v>2370</v>
      </c>
      <c r="D1651" t="b">
        <f>IFERROR(VLOOKUP(B1651,PatData!$A$2:$A$2000,1,),"")&lt;&gt;""</f>
        <v>0</v>
      </c>
      <c r="F1651" t="b">
        <v>0</v>
      </c>
      <c r="G1651" t="b">
        <v>0</v>
      </c>
      <c r="H1651" t="b">
        <v>0</v>
      </c>
      <c r="I1651" t="b">
        <v>0</v>
      </c>
    </row>
    <row r="1652" spans="1:9" x14ac:dyDescent="0.2">
      <c r="A1652" t="s">
        <v>1609</v>
      </c>
      <c r="B1652" t="s">
        <v>2373</v>
      </c>
      <c r="D1652" t="b">
        <f>IFERROR(VLOOKUP(B1652,PatData!$A$2:$A$2000,1,),"")&lt;&gt;""</f>
        <v>0</v>
      </c>
      <c r="F1652" t="b">
        <v>0</v>
      </c>
      <c r="G1652" t="b">
        <v>0</v>
      </c>
      <c r="H1652" t="b">
        <v>0</v>
      </c>
      <c r="I1652" t="b">
        <v>0</v>
      </c>
    </row>
    <row r="1653" spans="1:9" x14ac:dyDescent="0.2">
      <c r="A1653" t="s">
        <v>2102</v>
      </c>
      <c r="B1653" t="s">
        <v>2384</v>
      </c>
      <c r="D1653" t="b">
        <f>IFERROR(VLOOKUP(B1653,PatData!$A$2:$A$2000,1,),"")&lt;&gt;""</f>
        <v>0</v>
      </c>
      <c r="F1653" t="b">
        <v>0</v>
      </c>
      <c r="G1653" t="b">
        <v>0</v>
      </c>
      <c r="H1653" t="b">
        <v>0</v>
      </c>
      <c r="I1653" t="b">
        <v>0</v>
      </c>
    </row>
    <row r="1654" spans="1:9" x14ac:dyDescent="0.2">
      <c r="A1654" t="s">
        <v>2088</v>
      </c>
      <c r="B1654" t="s">
        <v>2419</v>
      </c>
      <c r="D1654" t="b">
        <f>IFERROR(VLOOKUP(B1654,PatData!$A$2:$A$2000,1,),"")&lt;&gt;""</f>
        <v>0</v>
      </c>
      <c r="E1654" t="s">
        <v>953</v>
      </c>
      <c r="F1654" t="b">
        <v>0</v>
      </c>
      <c r="G1654" t="b">
        <v>0</v>
      </c>
      <c r="H1654" t="b">
        <v>0</v>
      </c>
      <c r="I1654" t="b">
        <v>0</v>
      </c>
    </row>
    <row r="1655" spans="1:9" x14ac:dyDescent="0.2">
      <c r="A1655" t="s">
        <v>2089</v>
      </c>
      <c r="B1655" t="s">
        <v>2420</v>
      </c>
      <c r="D1655" t="b">
        <f>IFERROR(VLOOKUP(B1655,PatData!$A$2:$A$2000,1,),"")&lt;&gt;""</f>
        <v>0</v>
      </c>
      <c r="E1655" t="s">
        <v>952</v>
      </c>
      <c r="F1655" t="b">
        <v>0</v>
      </c>
      <c r="G1655" t="b">
        <v>0</v>
      </c>
      <c r="H1655" t="b">
        <v>0</v>
      </c>
      <c r="I1655" t="b">
        <v>0</v>
      </c>
    </row>
    <row r="1656" spans="1:9" x14ac:dyDescent="0.2">
      <c r="A1656" t="s">
        <v>2090</v>
      </c>
      <c r="B1656" t="s">
        <v>2421</v>
      </c>
      <c r="D1656" t="b">
        <f>IFERROR(VLOOKUP(B1656,PatData!$A$2:$A$2000,1,),"")&lt;&gt;""</f>
        <v>0</v>
      </c>
      <c r="E1656" t="s">
        <v>296</v>
      </c>
      <c r="F1656" t="b">
        <v>0</v>
      </c>
      <c r="G1656" t="b">
        <v>0</v>
      </c>
      <c r="H1656" t="b">
        <v>0</v>
      </c>
      <c r="I1656" t="b">
        <v>0</v>
      </c>
    </row>
    <row r="1657" spans="1:9" x14ac:dyDescent="0.2">
      <c r="A1657" t="s">
        <v>2104</v>
      </c>
      <c r="B1657" t="s">
        <v>2387</v>
      </c>
      <c r="D1657" t="b">
        <f>IFERROR(VLOOKUP(B1657,PatData!$A$2:$A$2000,1,),"")&lt;&gt;""</f>
        <v>0</v>
      </c>
      <c r="F1657" t="b">
        <v>0</v>
      </c>
      <c r="G1657" t="b">
        <v>0</v>
      </c>
      <c r="H1657" t="b">
        <v>0</v>
      </c>
      <c r="I1657" t="b">
        <v>0</v>
      </c>
    </row>
    <row r="1658" spans="1:9" x14ac:dyDescent="0.2">
      <c r="A1658" t="s">
        <v>2092</v>
      </c>
      <c r="B1658" t="s">
        <v>2423</v>
      </c>
      <c r="D1658" t="b">
        <f>IFERROR(VLOOKUP(B1658,PatData!$A$2:$A$2000,1,),"")&lt;&gt;""</f>
        <v>0</v>
      </c>
      <c r="F1658" t="b">
        <v>0</v>
      </c>
      <c r="G1658" t="b">
        <v>0</v>
      </c>
      <c r="H1658" t="b">
        <v>0</v>
      </c>
      <c r="I1658" t="b">
        <v>0</v>
      </c>
    </row>
    <row r="1659" spans="1:9" x14ac:dyDescent="0.2">
      <c r="A1659" t="s">
        <v>2093</v>
      </c>
      <c r="B1659" t="s">
        <v>2424</v>
      </c>
      <c r="D1659" t="b">
        <f>IFERROR(VLOOKUP(B1659,PatData!$A$2:$A$2000,1,),"")&lt;&gt;""</f>
        <v>0</v>
      </c>
      <c r="F1659" t="b">
        <v>0</v>
      </c>
      <c r="G1659" t="b">
        <v>0</v>
      </c>
      <c r="H1659" t="b">
        <v>0</v>
      </c>
      <c r="I1659" t="b">
        <v>0</v>
      </c>
    </row>
    <row r="1660" spans="1:9" x14ac:dyDescent="0.2">
      <c r="A1660" t="s">
        <v>2172</v>
      </c>
      <c r="B1660" t="s">
        <v>2429</v>
      </c>
      <c r="D1660" t="b">
        <f>IFERROR(VLOOKUP(B1660,PatData!$A$2:$A$2000,1,),"")&lt;&gt;""</f>
        <v>0</v>
      </c>
      <c r="E1660" t="s">
        <v>345</v>
      </c>
      <c r="F1660" t="b">
        <v>0</v>
      </c>
      <c r="G1660" t="b">
        <v>0</v>
      </c>
      <c r="H1660" t="b">
        <v>0</v>
      </c>
      <c r="I1660" t="b">
        <v>0</v>
      </c>
    </row>
    <row r="1661" spans="1:9" x14ac:dyDescent="0.2">
      <c r="A1661" t="s">
        <v>2137</v>
      </c>
      <c r="B1661" t="s">
        <v>2389</v>
      </c>
      <c r="D1661" t="b">
        <f>IFERROR(VLOOKUP(B1661,PatData!$A$2:$A$2000,1,),"")&lt;&gt;""</f>
        <v>0</v>
      </c>
      <c r="E1661">
        <v>0</v>
      </c>
      <c r="F1661" t="b">
        <v>0</v>
      </c>
      <c r="G1661" t="b">
        <v>0</v>
      </c>
      <c r="H1661" t="b">
        <v>0</v>
      </c>
      <c r="I1661" t="b">
        <v>0</v>
      </c>
    </row>
    <row r="1662" spans="1:9" x14ac:dyDescent="0.2">
      <c r="A1662" t="s">
        <v>4625</v>
      </c>
      <c r="B1662" t="s">
        <v>2180</v>
      </c>
      <c r="D1662" t="b">
        <f>IFERROR(VLOOKUP(B1662,PatData!$A$2:$A$2000,1,),"")&lt;&gt;""</f>
        <v>0</v>
      </c>
      <c r="F1662" t="b">
        <v>0</v>
      </c>
      <c r="G1662" t="b">
        <v>0</v>
      </c>
      <c r="H1662" t="b">
        <v>0</v>
      </c>
      <c r="I1662" t="b">
        <v>0</v>
      </c>
    </row>
    <row r="1663" spans="1:9" x14ac:dyDescent="0.2">
      <c r="A1663" t="s">
        <v>3877</v>
      </c>
      <c r="B1663" t="s">
        <v>3878</v>
      </c>
      <c r="D1663" t="b">
        <f>IFERROR(VLOOKUP(B1663,PatData!$A$2:$A$2000,1,),"")&lt;&gt;""</f>
        <v>0</v>
      </c>
      <c r="E1663" t="s">
        <v>3804</v>
      </c>
      <c r="F1663" t="b">
        <v>0</v>
      </c>
      <c r="G1663" t="b">
        <v>0</v>
      </c>
      <c r="H1663" t="b">
        <v>0</v>
      </c>
      <c r="I1663" t="b">
        <v>0</v>
      </c>
    </row>
    <row r="1664" spans="1:9" x14ac:dyDescent="0.2">
      <c r="A1664" t="s">
        <v>4626</v>
      </c>
      <c r="B1664" t="s">
        <v>2186</v>
      </c>
      <c r="D1664" t="b">
        <f>IFERROR(VLOOKUP(B1664,PatData!$A$2:$A$2000,1,),"")&lt;&gt;""</f>
        <v>0</v>
      </c>
      <c r="F1664" t="b">
        <v>0</v>
      </c>
      <c r="G1664" t="b">
        <v>0</v>
      </c>
      <c r="H1664" t="b">
        <v>0</v>
      </c>
      <c r="I1664" t="b">
        <v>0</v>
      </c>
    </row>
    <row r="1665" spans="1:9" x14ac:dyDescent="0.2">
      <c r="A1665" t="s">
        <v>4627</v>
      </c>
      <c r="B1665" t="s">
        <v>2187</v>
      </c>
      <c r="D1665" t="b">
        <f>IFERROR(VLOOKUP(B1665,PatData!$A$2:$A$2000,1,),"")&lt;&gt;""</f>
        <v>0</v>
      </c>
      <c r="F1665" t="b">
        <v>0</v>
      </c>
      <c r="G1665" t="b">
        <v>0</v>
      </c>
      <c r="H1665" t="b">
        <v>0</v>
      </c>
      <c r="I1665" t="b">
        <v>0</v>
      </c>
    </row>
    <row r="1666" spans="1:9" x14ac:dyDescent="0.2">
      <c r="A1666" t="s">
        <v>4628</v>
      </c>
      <c r="B1666" t="s">
        <v>2185</v>
      </c>
      <c r="D1666" t="b">
        <f>IFERROR(VLOOKUP(B1666,PatData!$A$2:$A$2000,1,),"")&lt;&gt;""</f>
        <v>0</v>
      </c>
      <c r="F1666" t="b">
        <v>0</v>
      </c>
      <c r="G1666" t="b">
        <v>0</v>
      </c>
      <c r="H1666" t="b">
        <v>0</v>
      </c>
      <c r="I1666" t="b">
        <v>0</v>
      </c>
    </row>
    <row r="1667" spans="1:9" x14ac:dyDescent="0.2">
      <c r="A1667" t="s">
        <v>4629</v>
      </c>
      <c r="B1667" t="s">
        <v>2189</v>
      </c>
      <c r="D1667" t="b">
        <f>IFERROR(VLOOKUP(B1667,PatData!$A$2:$A$2000,1,),"")&lt;&gt;""</f>
        <v>0</v>
      </c>
      <c r="F1667" t="b">
        <v>0</v>
      </c>
      <c r="G1667" t="b">
        <v>0</v>
      </c>
      <c r="H1667" t="b">
        <v>0</v>
      </c>
      <c r="I1667" t="b">
        <v>0</v>
      </c>
    </row>
    <row r="1668" spans="1:9" x14ac:dyDescent="0.2">
      <c r="A1668" t="s">
        <v>4630</v>
      </c>
      <c r="B1668" t="s">
        <v>2182</v>
      </c>
      <c r="D1668" t="b">
        <f>IFERROR(VLOOKUP(B1668,PatData!$A$2:$A$2000,1,),"")&lt;&gt;""</f>
        <v>0</v>
      </c>
      <c r="F1668" t="b">
        <v>0</v>
      </c>
      <c r="G1668" t="b">
        <v>0</v>
      </c>
      <c r="H1668" t="b">
        <v>0</v>
      </c>
      <c r="I1668" t="b">
        <v>0</v>
      </c>
    </row>
    <row r="1669" spans="1:9" x14ac:dyDescent="0.2">
      <c r="A1669" t="s">
        <v>4631</v>
      </c>
      <c r="B1669" t="s">
        <v>2181</v>
      </c>
      <c r="D1669" t="b">
        <f>IFERROR(VLOOKUP(B1669,PatData!$A$2:$A$2000,1,),"")&lt;&gt;""</f>
        <v>0</v>
      </c>
      <c r="F1669" t="b">
        <v>0</v>
      </c>
      <c r="G1669" t="b">
        <v>0</v>
      </c>
      <c r="H1669" t="b">
        <v>0</v>
      </c>
      <c r="I1669" t="b">
        <v>0</v>
      </c>
    </row>
    <row r="1670" spans="1:9" x14ac:dyDescent="0.2">
      <c r="A1670" t="s">
        <v>4632</v>
      </c>
      <c r="B1670" t="s">
        <v>2184</v>
      </c>
      <c r="D1670" t="b">
        <f>IFERROR(VLOOKUP(B1670,PatData!$A$2:$A$2000,1,),"")&lt;&gt;""</f>
        <v>0</v>
      </c>
      <c r="F1670" t="b">
        <v>0</v>
      </c>
      <c r="G1670" t="b">
        <v>0</v>
      </c>
      <c r="H1670" t="b">
        <v>0</v>
      </c>
      <c r="I1670" t="b">
        <v>0</v>
      </c>
    </row>
    <row r="1671" spans="1:9" x14ac:dyDescent="0.2">
      <c r="A1671" t="s">
        <v>5168</v>
      </c>
      <c r="B1671" t="s">
        <v>2385</v>
      </c>
      <c r="D1671" t="b">
        <f>IFERROR(VLOOKUP(B1671,PatData!$A$2:$A$2000,1,),"")&lt;&gt;""</f>
        <v>0</v>
      </c>
      <c r="E1671">
        <v>30</v>
      </c>
      <c r="F1671" t="b">
        <v>0</v>
      </c>
      <c r="G1671" t="b">
        <v>0</v>
      </c>
      <c r="H1671" t="b">
        <v>0</v>
      </c>
      <c r="I1671" t="b">
        <v>0</v>
      </c>
    </row>
    <row r="1672" spans="1:9" x14ac:dyDescent="0.2">
      <c r="A1672" t="s">
        <v>5169</v>
      </c>
      <c r="B1672" t="s">
        <v>2386</v>
      </c>
      <c r="D1672" t="b">
        <f>IFERROR(VLOOKUP(B1672,PatData!$A$2:$A$2000,1,),"")&lt;&gt;""</f>
        <v>0</v>
      </c>
      <c r="E1672">
        <v>70</v>
      </c>
      <c r="F1672" t="b">
        <v>0</v>
      </c>
      <c r="G1672" t="b">
        <v>0</v>
      </c>
      <c r="H1672" t="b">
        <v>0</v>
      </c>
      <c r="I1672" t="b">
        <v>0</v>
      </c>
    </row>
    <row r="1673" spans="1:9" x14ac:dyDescent="0.2">
      <c r="A1673" t="s">
        <v>2168</v>
      </c>
      <c r="B1673" t="s">
        <v>2425</v>
      </c>
      <c r="D1673" t="b">
        <f>IFERROR(VLOOKUP(B1673,PatData!$A$2:$A$2000,1,),"")&lt;&gt;""</f>
        <v>0</v>
      </c>
      <c r="E1673" t="s">
        <v>345</v>
      </c>
      <c r="F1673" t="b">
        <v>0</v>
      </c>
      <c r="G1673" t="b">
        <v>0</v>
      </c>
      <c r="H1673" t="b">
        <v>0</v>
      </c>
      <c r="I1673" t="b">
        <v>0</v>
      </c>
    </row>
    <row r="1674" spans="1:9" x14ac:dyDescent="0.2">
      <c r="A1674" t="s">
        <v>2169</v>
      </c>
      <c r="B1674" t="s">
        <v>2426</v>
      </c>
      <c r="D1674" t="b">
        <f>IFERROR(VLOOKUP(B1674,PatData!$A$2:$A$2000,1,),"")&lt;&gt;""</f>
        <v>0</v>
      </c>
      <c r="E1674" t="s">
        <v>346</v>
      </c>
      <c r="F1674" t="b">
        <v>0</v>
      </c>
      <c r="G1674" t="b">
        <v>0</v>
      </c>
      <c r="H1674" t="b">
        <v>0</v>
      </c>
      <c r="I1674" t="b">
        <v>0</v>
      </c>
    </row>
    <row r="1675" spans="1:9" x14ac:dyDescent="0.2">
      <c r="A1675" t="s">
        <v>2170</v>
      </c>
      <c r="B1675" t="s">
        <v>2427</v>
      </c>
      <c r="D1675" t="b">
        <f>IFERROR(VLOOKUP(B1675,PatData!$A$2:$A$2000,1,),"")&lt;&gt;""</f>
        <v>0</v>
      </c>
      <c r="E1675" t="s">
        <v>42</v>
      </c>
      <c r="F1675" t="b">
        <v>0</v>
      </c>
      <c r="G1675" t="b">
        <v>0</v>
      </c>
      <c r="H1675" t="b">
        <v>0</v>
      </c>
      <c r="I1675" t="b">
        <v>0</v>
      </c>
    </row>
    <row r="1676" spans="1:9" x14ac:dyDescent="0.2">
      <c r="A1676" t="s">
        <v>2171</v>
      </c>
      <c r="B1676" t="s">
        <v>2428</v>
      </c>
      <c r="D1676" t="b">
        <f>IFERROR(VLOOKUP(B1676,PatData!$A$2:$A$2000,1,),"")&lt;&gt;""</f>
        <v>0</v>
      </c>
      <c r="E1676" t="s">
        <v>43</v>
      </c>
      <c r="F1676" t="b">
        <v>0</v>
      </c>
      <c r="G1676" t="b">
        <v>0</v>
      </c>
      <c r="H1676" t="b">
        <v>0</v>
      </c>
      <c r="I1676" t="b">
        <v>0</v>
      </c>
    </row>
    <row r="1677" spans="1:9" x14ac:dyDescent="0.2">
      <c r="A1677" t="s">
        <v>2173</v>
      </c>
      <c r="B1677" t="s">
        <v>2430</v>
      </c>
      <c r="D1677" t="b">
        <f>IFERROR(VLOOKUP(B1677,PatData!$A$2:$A$2000,1,),"")&lt;&gt;""</f>
        <v>0</v>
      </c>
      <c r="E1677" t="s">
        <v>81</v>
      </c>
      <c r="F1677" t="b">
        <v>0</v>
      </c>
      <c r="G1677" t="b">
        <v>0</v>
      </c>
      <c r="H1677" t="b">
        <v>0</v>
      </c>
      <c r="I1677" t="b">
        <v>0</v>
      </c>
    </row>
    <row r="1678" spans="1:9" x14ac:dyDescent="0.2">
      <c r="A1678" t="s">
        <v>2174</v>
      </c>
      <c r="B1678" t="s">
        <v>2431</v>
      </c>
      <c r="D1678" t="b">
        <f>IFERROR(VLOOKUP(B1678,PatData!$A$2:$A$2000,1,),"")&lt;&gt;""</f>
        <v>0</v>
      </c>
      <c r="E1678" t="s">
        <v>346</v>
      </c>
      <c r="F1678" t="b">
        <v>0</v>
      </c>
      <c r="G1678" t="b">
        <v>0</v>
      </c>
      <c r="H1678" t="b">
        <v>0</v>
      </c>
      <c r="I1678" t="b">
        <v>0</v>
      </c>
    </row>
    <row r="1679" spans="1:9" x14ac:dyDescent="0.2">
      <c r="A1679" t="s">
        <v>4633</v>
      </c>
      <c r="B1679" t="s">
        <v>2188</v>
      </c>
      <c r="D1679" t="b">
        <f>IFERROR(VLOOKUP(B1679,PatData!$A$2:$A$2000,1,),"")&lt;&gt;""</f>
        <v>0</v>
      </c>
      <c r="E1679">
        <v>1</v>
      </c>
      <c r="F1679" t="b">
        <v>0</v>
      </c>
      <c r="G1679" t="b">
        <v>0</v>
      </c>
      <c r="H1679" t="b">
        <v>0</v>
      </c>
      <c r="I1679" t="b">
        <v>0</v>
      </c>
    </row>
    <row r="1680" spans="1:9" x14ac:dyDescent="0.2">
      <c r="A1680" t="s">
        <v>2511</v>
      </c>
      <c r="B1680" t="s">
        <v>2388</v>
      </c>
      <c r="D1680" t="b">
        <f>IFERROR(VLOOKUP(B1680,PatData!$A$2:$A$2000,1,),"")&lt;&gt;""</f>
        <v>0</v>
      </c>
      <c r="E1680">
        <v>1</v>
      </c>
      <c r="F1680" t="b">
        <v>0</v>
      </c>
      <c r="G1680" t="b">
        <v>0</v>
      </c>
      <c r="H1680" t="b">
        <v>0</v>
      </c>
      <c r="I1680" t="b">
        <v>0</v>
      </c>
    </row>
    <row r="1681" spans="1:9" x14ac:dyDescent="0.2">
      <c r="A1681" t="s">
        <v>4892</v>
      </c>
      <c r="B1681" t="s">
        <v>1246</v>
      </c>
      <c r="D1681" t="b">
        <f>IFERROR(VLOOKUP(B1681,PatData!$A$2:$A$2000,1,),"")&lt;&gt;""</f>
        <v>0</v>
      </c>
      <c r="E1681">
        <v>0</v>
      </c>
      <c r="F1681" t="b">
        <v>0</v>
      </c>
      <c r="G1681" t="b">
        <v>0</v>
      </c>
      <c r="H1681" t="b">
        <v>0</v>
      </c>
      <c r="I1681" t="b">
        <v>0</v>
      </c>
    </row>
    <row r="1682" spans="1:9" x14ac:dyDescent="0.2">
      <c r="A1682" t="s">
        <v>2138</v>
      </c>
      <c r="B1682" t="s">
        <v>1073</v>
      </c>
      <c r="D1682" t="b">
        <f>IFERROR(VLOOKUP(B1682,PatData!$A$2:$A$2000,1,),"")&lt;&gt;""</f>
        <v>0</v>
      </c>
      <c r="F1682" t="b">
        <v>0</v>
      </c>
      <c r="G1682" t="b">
        <v>0</v>
      </c>
      <c r="H1682" t="b">
        <v>0</v>
      </c>
      <c r="I1682" t="b">
        <v>0</v>
      </c>
    </row>
    <row r="1683" spans="1:9" x14ac:dyDescent="0.2">
      <c r="A1683" t="s">
        <v>2139</v>
      </c>
      <c r="B1683" t="s">
        <v>1247</v>
      </c>
      <c r="D1683" t="b">
        <f>IFERROR(VLOOKUP(B1683,PatData!$A$2:$A$2000,1,),"")&lt;&gt;""</f>
        <v>0</v>
      </c>
      <c r="F1683" t="b">
        <v>0</v>
      </c>
      <c r="G1683" t="b">
        <v>0</v>
      </c>
      <c r="H1683" t="b">
        <v>0</v>
      </c>
      <c r="I1683" t="b">
        <v>0</v>
      </c>
    </row>
    <row r="1684" spans="1:9" x14ac:dyDescent="0.2">
      <c r="A1684" t="s">
        <v>2140</v>
      </c>
      <c r="B1684" t="s">
        <v>1072</v>
      </c>
      <c r="D1684" t="b">
        <f>IFERROR(VLOOKUP(B1684,PatData!$A$2:$A$2000,1,),"")&lt;&gt;""</f>
        <v>0</v>
      </c>
      <c r="F1684" t="b">
        <v>0</v>
      </c>
      <c r="G1684" t="b">
        <v>0</v>
      </c>
      <c r="H1684" t="b">
        <v>0</v>
      </c>
      <c r="I1684" t="b">
        <v>0</v>
      </c>
    </row>
    <row r="1685" spans="1:9" x14ac:dyDescent="0.2">
      <c r="A1685" t="s">
        <v>2141</v>
      </c>
      <c r="B1685" t="s">
        <v>1069</v>
      </c>
      <c r="D1685" t="b">
        <f>IFERROR(VLOOKUP(B1685,PatData!$A$2:$A$2000,1,),"")&lt;&gt;""</f>
        <v>0</v>
      </c>
      <c r="F1685" t="b">
        <v>0</v>
      </c>
      <c r="G1685" t="b">
        <v>0</v>
      </c>
      <c r="H1685" t="b">
        <v>0</v>
      </c>
      <c r="I1685" t="b">
        <v>0</v>
      </c>
    </row>
    <row r="1686" spans="1:9" x14ac:dyDescent="0.2">
      <c r="A1686" t="s">
        <v>2142</v>
      </c>
      <c r="B1686" t="s">
        <v>1071</v>
      </c>
      <c r="D1686" t="b">
        <f>IFERROR(VLOOKUP(B1686,PatData!$A$2:$A$2000,1,),"")&lt;&gt;""</f>
        <v>0</v>
      </c>
      <c r="F1686" t="b">
        <v>0</v>
      </c>
      <c r="G1686" t="b">
        <v>0</v>
      </c>
      <c r="H1686" t="b">
        <v>0</v>
      </c>
      <c r="I1686" t="b">
        <v>0</v>
      </c>
    </row>
    <row r="1687" spans="1:9" x14ac:dyDescent="0.2">
      <c r="A1687" t="s">
        <v>2143</v>
      </c>
      <c r="B1687" t="s">
        <v>1070</v>
      </c>
      <c r="D1687" t="b">
        <f>IFERROR(VLOOKUP(B1687,PatData!$A$2:$A$2000,1,),"")&lt;&gt;""</f>
        <v>0</v>
      </c>
      <c r="F1687" t="b">
        <v>0</v>
      </c>
      <c r="G1687" t="b">
        <v>0</v>
      </c>
      <c r="H1687" t="b">
        <v>0</v>
      </c>
      <c r="I1687" t="b">
        <v>0</v>
      </c>
    </row>
    <row r="1688" spans="1:9" x14ac:dyDescent="0.2">
      <c r="A1688" t="s">
        <v>2144</v>
      </c>
      <c r="B1688" t="s">
        <v>1248</v>
      </c>
      <c r="D1688" t="b">
        <f>IFERROR(VLOOKUP(B1688,PatData!$A$2:$A$2000,1,),"")&lt;&gt;""</f>
        <v>0</v>
      </c>
      <c r="F1688" t="b">
        <v>0</v>
      </c>
      <c r="G1688" t="b">
        <v>0</v>
      </c>
      <c r="H1688" t="b">
        <v>0</v>
      </c>
      <c r="I1688" t="b">
        <v>0</v>
      </c>
    </row>
    <row r="1689" spans="1:9" x14ac:dyDescent="0.2">
      <c r="A1689" t="s">
        <v>2145</v>
      </c>
      <c r="B1689" t="s">
        <v>1068</v>
      </c>
      <c r="D1689" t="b">
        <f>IFERROR(VLOOKUP(B1689,PatData!$A$2:$A$2000,1,),"")&lt;&gt;""</f>
        <v>0</v>
      </c>
      <c r="F1689" t="b">
        <v>0</v>
      </c>
      <c r="G1689" t="b">
        <v>0</v>
      </c>
      <c r="H1689" t="b">
        <v>0</v>
      </c>
      <c r="I1689" t="b">
        <v>0</v>
      </c>
    </row>
    <row r="1690" spans="1:9" x14ac:dyDescent="0.2">
      <c r="A1690" t="s">
        <v>2146</v>
      </c>
      <c r="B1690" t="s">
        <v>1249</v>
      </c>
      <c r="D1690" t="b">
        <f>IFERROR(VLOOKUP(B1690,PatData!$A$2:$A$2000,1,),"")&lt;&gt;""</f>
        <v>0</v>
      </c>
      <c r="F1690" t="b">
        <v>0</v>
      </c>
      <c r="G1690" t="b">
        <v>0</v>
      </c>
      <c r="H1690" t="b">
        <v>0</v>
      </c>
      <c r="I1690" t="b">
        <v>0</v>
      </c>
    </row>
    <row r="1691" spans="1:9" x14ac:dyDescent="0.2">
      <c r="A1691" t="s">
        <v>2147</v>
      </c>
      <c r="B1691" t="s">
        <v>1250</v>
      </c>
      <c r="D1691" t="b">
        <f>IFERROR(VLOOKUP(B1691,PatData!$A$2:$A$2000,1,),"")&lt;&gt;""</f>
        <v>0</v>
      </c>
      <c r="E1691">
        <v>2.4899999999999999E-2</v>
      </c>
      <c r="F1691" t="b">
        <v>0</v>
      </c>
      <c r="G1691" t="b">
        <v>0</v>
      </c>
      <c r="H1691" t="b">
        <v>0</v>
      </c>
      <c r="I1691" t="b">
        <v>0</v>
      </c>
    </row>
    <row r="1692" spans="1:9" x14ac:dyDescent="0.2">
      <c r="A1692" t="s">
        <v>2148</v>
      </c>
      <c r="B1692" t="s">
        <v>1251</v>
      </c>
      <c r="D1692" t="b">
        <f>IFERROR(VLOOKUP(B1692,PatData!$A$2:$A$2000,1,),"")&lt;&gt;""</f>
        <v>0</v>
      </c>
      <c r="E1692">
        <v>2.8205999999999998E-2</v>
      </c>
      <c r="F1692" t="b">
        <v>0</v>
      </c>
      <c r="G1692" t="b">
        <v>0</v>
      </c>
      <c r="H1692" t="b">
        <v>0</v>
      </c>
      <c r="I1692" t="b">
        <v>0</v>
      </c>
    </row>
    <row r="1693" spans="1:9" x14ac:dyDescent="0.2">
      <c r="A1693" t="s">
        <v>2149</v>
      </c>
      <c r="B1693" t="s">
        <v>1252</v>
      </c>
      <c r="D1693" t="b">
        <f>IFERROR(VLOOKUP(B1693,PatData!$A$2:$A$2000,1,),"")&lt;&gt;""</f>
        <v>0</v>
      </c>
      <c r="E1693">
        <v>1.7899999999999999E-2</v>
      </c>
      <c r="F1693" t="b">
        <v>0</v>
      </c>
      <c r="G1693" t="b">
        <v>0</v>
      </c>
      <c r="H1693" t="b">
        <v>0</v>
      </c>
      <c r="I1693" t="b">
        <v>0</v>
      </c>
    </row>
    <row r="1694" spans="1:9" x14ac:dyDescent="0.2">
      <c r="A1694" t="s">
        <v>2150</v>
      </c>
      <c r="B1694" t="s">
        <v>1253</v>
      </c>
      <c r="D1694" t="b">
        <f>IFERROR(VLOOKUP(B1694,PatData!$A$2:$A$2000,1,),"")&lt;&gt;""</f>
        <v>0</v>
      </c>
      <c r="E1694">
        <v>2.5641000000000001E-2</v>
      </c>
      <c r="F1694" t="b">
        <v>0</v>
      </c>
      <c r="G1694" t="b">
        <v>0</v>
      </c>
      <c r="H1694" t="b">
        <v>0</v>
      </c>
      <c r="I1694" t="b">
        <v>0</v>
      </c>
    </row>
    <row r="1695" spans="1:9" x14ac:dyDescent="0.2">
      <c r="A1695" t="s">
        <v>2151</v>
      </c>
      <c r="B1695" t="s">
        <v>1254</v>
      </c>
      <c r="D1695" t="b">
        <f>IFERROR(VLOOKUP(B1695,PatData!$A$2:$A$2000,1,),"")&lt;&gt;""</f>
        <v>0</v>
      </c>
      <c r="E1695">
        <v>4.1140999999999997E-2</v>
      </c>
      <c r="F1695" t="b">
        <v>0</v>
      </c>
      <c r="G1695" t="b">
        <v>0</v>
      </c>
      <c r="H1695" t="b">
        <v>0</v>
      </c>
      <c r="I1695" t="b">
        <v>0</v>
      </c>
    </row>
    <row r="1696" spans="1:9" x14ac:dyDescent="0.2">
      <c r="A1696" t="s">
        <v>2152</v>
      </c>
      <c r="B1696" t="s">
        <v>1255</v>
      </c>
      <c r="D1696" t="b">
        <f>IFERROR(VLOOKUP(B1696,PatData!$A$2:$A$2000,1,),"")&lt;&gt;""</f>
        <v>0</v>
      </c>
      <c r="E1696">
        <v>4.3478000000000003E-2</v>
      </c>
      <c r="F1696" t="b">
        <v>0</v>
      </c>
      <c r="G1696" t="b">
        <v>0</v>
      </c>
      <c r="H1696" t="b">
        <v>0</v>
      </c>
      <c r="I1696" t="b">
        <v>0</v>
      </c>
    </row>
    <row r="1697" spans="1:9" x14ac:dyDescent="0.2">
      <c r="A1697" t="s">
        <v>2153</v>
      </c>
      <c r="B1697" t="s">
        <v>1256</v>
      </c>
      <c r="D1697" t="b">
        <f>IFERROR(VLOOKUP(B1697,PatData!$A$2:$A$2000,1,),"")&lt;&gt;""</f>
        <v>0</v>
      </c>
      <c r="E1697">
        <v>3.2288999999999998E-2</v>
      </c>
      <c r="F1697" t="b">
        <v>0</v>
      </c>
      <c r="G1697" t="b">
        <v>0</v>
      </c>
      <c r="H1697" t="b">
        <v>0</v>
      </c>
      <c r="I1697" t="b">
        <v>0</v>
      </c>
    </row>
    <row r="1698" spans="1:9" x14ac:dyDescent="0.2">
      <c r="A1698" t="s">
        <v>2154</v>
      </c>
      <c r="B1698" t="s">
        <v>1257</v>
      </c>
      <c r="D1698" t="b">
        <f>IFERROR(VLOOKUP(B1698,PatData!$A$2:$A$2000,1,),"")&lt;&gt;""</f>
        <v>0</v>
      </c>
      <c r="E1698">
        <v>40</v>
      </c>
      <c r="F1698" t="b">
        <v>0</v>
      </c>
      <c r="G1698" t="b">
        <v>0</v>
      </c>
      <c r="H1698" t="b">
        <v>0</v>
      </c>
      <c r="I1698" t="b">
        <v>0</v>
      </c>
    </row>
    <row r="1699" spans="1:9" x14ac:dyDescent="0.2">
      <c r="A1699" t="s">
        <v>5069</v>
      </c>
      <c r="B1699" t="s">
        <v>1258</v>
      </c>
      <c r="D1699" t="b">
        <f>IFERROR(VLOOKUP(B1699,PatData!$A$2:$A$2000,1,),"")&lt;&gt;""</f>
        <v>0</v>
      </c>
      <c r="F1699" t="b">
        <v>0</v>
      </c>
      <c r="G1699" t="b">
        <v>0</v>
      </c>
      <c r="H1699" t="b">
        <v>0</v>
      </c>
      <c r="I1699" t="b">
        <v>0</v>
      </c>
    </row>
    <row r="1700" spans="1:9" x14ac:dyDescent="0.2">
      <c r="A1700" t="s">
        <v>2155</v>
      </c>
      <c r="B1700" t="s">
        <v>1259</v>
      </c>
      <c r="D1700" t="b">
        <f>IFERROR(VLOOKUP(B1700,PatData!$A$2:$A$2000,1,),"")&lt;&gt;""</f>
        <v>0</v>
      </c>
      <c r="E1700">
        <v>1</v>
      </c>
      <c r="F1700" t="b">
        <v>0</v>
      </c>
      <c r="G1700" t="b">
        <v>0</v>
      </c>
      <c r="H1700" t="b">
        <v>0</v>
      </c>
      <c r="I1700" t="b">
        <v>0</v>
      </c>
    </row>
    <row r="1701" spans="1:9" x14ac:dyDescent="0.2">
      <c r="A1701" t="s">
        <v>2156</v>
      </c>
      <c r="B1701" t="s">
        <v>1260</v>
      </c>
      <c r="D1701" t="b">
        <f>IFERROR(VLOOKUP(B1701,PatData!$A$2:$A$2000,1,),"")&lt;&gt;""</f>
        <v>0</v>
      </c>
      <c r="F1701" t="b">
        <v>0</v>
      </c>
      <c r="G1701" t="b">
        <v>0</v>
      </c>
      <c r="H1701" t="b">
        <v>0</v>
      </c>
      <c r="I1701" t="b">
        <v>0</v>
      </c>
    </row>
    <row r="1702" spans="1:9" x14ac:dyDescent="0.2">
      <c r="A1702" t="s">
        <v>2157</v>
      </c>
      <c r="B1702" t="s">
        <v>1261</v>
      </c>
      <c r="D1702" t="b">
        <f>IFERROR(VLOOKUP(B1702,PatData!$A$2:$A$2000,1,),"")&lt;&gt;""</f>
        <v>0</v>
      </c>
      <c r="F1702" t="b">
        <v>0</v>
      </c>
      <c r="G1702" t="b">
        <v>0</v>
      </c>
      <c r="H1702" t="b">
        <v>0</v>
      </c>
      <c r="I1702" t="b">
        <v>0</v>
      </c>
    </row>
    <row r="1703" spans="1:9" x14ac:dyDescent="0.2">
      <c r="A1703" t="s">
        <v>2158</v>
      </c>
      <c r="B1703" t="s">
        <v>1262</v>
      </c>
      <c r="D1703" t="b">
        <f>IFERROR(VLOOKUP(B1703,PatData!$A$2:$A$2000,1,),"")&lt;&gt;""</f>
        <v>0</v>
      </c>
      <c r="F1703" t="b">
        <v>0</v>
      </c>
      <c r="G1703" t="b">
        <v>0</v>
      </c>
      <c r="H1703" t="b">
        <v>0</v>
      </c>
      <c r="I1703" t="b">
        <v>0</v>
      </c>
    </row>
    <row r="1704" spans="1:9" x14ac:dyDescent="0.2">
      <c r="A1704" t="s">
        <v>2159</v>
      </c>
      <c r="B1704" t="s">
        <v>1263</v>
      </c>
      <c r="D1704" t="b">
        <f>IFERROR(VLOOKUP(B1704,PatData!$A$2:$A$2000,1,),"")&lt;&gt;""</f>
        <v>0</v>
      </c>
      <c r="F1704" t="b">
        <v>0</v>
      </c>
      <c r="G1704" t="b">
        <v>0</v>
      </c>
      <c r="H1704" t="b">
        <v>0</v>
      </c>
      <c r="I1704" t="b">
        <v>0</v>
      </c>
    </row>
    <row r="1705" spans="1:9" x14ac:dyDescent="0.2">
      <c r="A1705" t="s">
        <v>2160</v>
      </c>
      <c r="B1705" t="s">
        <v>1264</v>
      </c>
      <c r="D1705" t="b">
        <f>IFERROR(VLOOKUP(B1705,PatData!$A$2:$A$2000,1,),"")&lt;&gt;""</f>
        <v>0</v>
      </c>
      <c r="F1705" t="b">
        <v>0</v>
      </c>
      <c r="G1705" t="b">
        <v>0</v>
      </c>
      <c r="H1705" t="b">
        <v>0</v>
      </c>
      <c r="I1705" t="b">
        <v>0</v>
      </c>
    </row>
    <row r="1706" spans="1:9" x14ac:dyDescent="0.2">
      <c r="A1706" t="s">
        <v>2161</v>
      </c>
      <c r="B1706" t="s">
        <v>1265</v>
      </c>
      <c r="D1706" t="b">
        <f>IFERROR(VLOOKUP(B1706,PatData!$A$2:$A$2000,1,),"")&lt;&gt;""</f>
        <v>0</v>
      </c>
      <c r="E1706" t="s">
        <v>528</v>
      </c>
      <c r="F1706" t="b">
        <v>0</v>
      </c>
      <c r="G1706" t="b">
        <v>0</v>
      </c>
      <c r="H1706" t="b">
        <v>0</v>
      </c>
      <c r="I1706" t="b">
        <v>0</v>
      </c>
    </row>
    <row r="1707" spans="1:9" x14ac:dyDescent="0.2">
      <c r="A1707" t="s">
        <v>2162</v>
      </c>
      <c r="B1707" t="s">
        <v>1266</v>
      </c>
      <c r="D1707" t="b">
        <f>IFERROR(VLOOKUP(B1707,PatData!$A$2:$A$2000,1,),"")&lt;&gt;""</f>
        <v>0</v>
      </c>
      <c r="E1707" t="s">
        <v>314</v>
      </c>
      <c r="F1707" t="b">
        <v>0</v>
      </c>
      <c r="G1707" t="b">
        <v>0</v>
      </c>
      <c r="H1707" t="b">
        <v>0</v>
      </c>
      <c r="I1707" t="b">
        <v>0</v>
      </c>
    </row>
    <row r="1708" spans="1:9" x14ac:dyDescent="0.2">
      <c r="A1708" t="s">
        <v>4634</v>
      </c>
      <c r="B1708" t="s">
        <v>1267</v>
      </c>
      <c r="D1708" t="b">
        <f>IFERROR(VLOOKUP(B1708,PatData!$A$2:$A$2000,1,),"")&lt;&gt;""</f>
        <v>0</v>
      </c>
      <c r="F1708" t="b">
        <v>0</v>
      </c>
      <c r="G1708" t="b">
        <v>0</v>
      </c>
      <c r="H1708" t="b">
        <v>0</v>
      </c>
      <c r="I1708" t="b">
        <v>0</v>
      </c>
    </row>
    <row r="1709" spans="1:9" x14ac:dyDescent="0.2">
      <c r="A1709" t="s">
        <v>2163</v>
      </c>
      <c r="B1709" t="s">
        <v>1268</v>
      </c>
      <c r="D1709" t="b">
        <f>IFERROR(VLOOKUP(B1709,PatData!$A$2:$A$2000,1,),"")&lt;&gt;""</f>
        <v>0</v>
      </c>
      <c r="F1709" t="b">
        <v>0</v>
      </c>
      <c r="G1709" t="b">
        <v>0</v>
      </c>
      <c r="H1709" t="b">
        <v>0</v>
      </c>
      <c r="I1709" t="b">
        <v>0</v>
      </c>
    </row>
    <row r="1710" spans="1:9" x14ac:dyDescent="0.2">
      <c r="A1710" t="s">
        <v>2164</v>
      </c>
      <c r="B1710" t="s">
        <v>1269</v>
      </c>
      <c r="D1710" t="b">
        <f>IFERROR(VLOOKUP(B1710,PatData!$A$2:$A$2000,1,),"")&lt;&gt;""</f>
        <v>0</v>
      </c>
      <c r="F1710" t="b">
        <v>0</v>
      </c>
      <c r="G1710" t="b">
        <v>0</v>
      </c>
      <c r="H1710" t="b">
        <v>0</v>
      </c>
      <c r="I1710" t="b">
        <v>0</v>
      </c>
    </row>
    <row r="1711" spans="1:9" x14ac:dyDescent="0.2">
      <c r="A1711" t="s">
        <v>2165</v>
      </c>
      <c r="B1711" t="s">
        <v>1270</v>
      </c>
      <c r="D1711" t="b">
        <f>IFERROR(VLOOKUP(B1711,PatData!$A$2:$A$2000,1,),"")&lt;&gt;""</f>
        <v>0</v>
      </c>
      <c r="F1711" t="b">
        <v>0</v>
      </c>
      <c r="G1711" t="b">
        <v>0</v>
      </c>
      <c r="H1711" t="b">
        <v>0</v>
      </c>
      <c r="I1711" t="b">
        <v>0</v>
      </c>
    </row>
    <row r="1712" spans="1:9" x14ac:dyDescent="0.2">
      <c r="A1712" t="s">
        <v>2166</v>
      </c>
      <c r="B1712" t="s">
        <v>1271</v>
      </c>
      <c r="D1712" t="b">
        <f>IFERROR(VLOOKUP(B1712,PatData!$A$2:$A$2000,1,),"")&lt;&gt;""</f>
        <v>0</v>
      </c>
      <c r="F1712" t="b">
        <v>0</v>
      </c>
      <c r="G1712" t="b">
        <v>0</v>
      </c>
      <c r="H1712" t="b">
        <v>0</v>
      </c>
      <c r="I1712" t="b">
        <v>0</v>
      </c>
    </row>
    <row r="1713" spans="1:9" x14ac:dyDescent="0.2">
      <c r="A1713" t="s">
        <v>5070</v>
      </c>
      <c r="B1713" t="s">
        <v>2500</v>
      </c>
      <c r="D1713" t="b">
        <f>IFERROR(VLOOKUP(B1713,PatData!$A$2:$A$2000,1,),"")&lt;&gt;""</f>
        <v>0</v>
      </c>
      <c r="E1713" t="s">
        <v>2506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2">
      <c r="A1714" t="s">
        <v>5071</v>
      </c>
      <c r="B1714" t="s">
        <v>2380</v>
      </c>
      <c r="D1714" t="b">
        <f>IFERROR(VLOOKUP(B1714,PatData!$A$2:$A$2000,1,),"")&lt;&gt;""</f>
        <v>0</v>
      </c>
      <c r="F1714" t="b">
        <v>0</v>
      </c>
      <c r="G1714" t="b">
        <v>0</v>
      </c>
      <c r="H1714" t="b">
        <v>0</v>
      </c>
      <c r="I1714" t="b">
        <v>0</v>
      </c>
    </row>
    <row r="1715" spans="1:9" x14ac:dyDescent="0.2">
      <c r="A1715" t="s">
        <v>1291</v>
      </c>
      <c r="B1715" t="s">
        <v>4635</v>
      </c>
      <c r="D1715" t="b">
        <f>IFERROR(VLOOKUP(B1715,PatData!$A$2:$A$2000,1,),"")&lt;&gt;""</f>
        <v>0</v>
      </c>
      <c r="E1715" t="s">
        <v>4636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2">
      <c r="A1716" t="s">
        <v>1302</v>
      </c>
      <c r="B1716" t="s">
        <v>4637</v>
      </c>
      <c r="D1716" t="b">
        <f>IFERROR(VLOOKUP(B1716,PatData!$A$2:$A$2000,1,),"")&lt;&gt;""</f>
        <v>0</v>
      </c>
      <c r="E1716" t="s">
        <v>4638</v>
      </c>
      <c r="F1716" t="b">
        <v>1</v>
      </c>
      <c r="G1716" t="b">
        <v>0</v>
      </c>
      <c r="H1716" t="b">
        <v>0</v>
      </c>
      <c r="I1716" t="b">
        <v>0</v>
      </c>
    </row>
    <row r="1717" spans="1:9" x14ac:dyDescent="0.2">
      <c r="A1717" t="s">
        <v>1311</v>
      </c>
      <c r="B1717" t="s">
        <v>4639</v>
      </c>
      <c r="D1717" t="b">
        <f>IFERROR(VLOOKUP(B1717,PatData!$A$2:$A$2000,1,),"")&lt;&gt;""</f>
        <v>0</v>
      </c>
      <c r="E1717" t="s">
        <v>4640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2">
      <c r="A1718" t="s">
        <v>1312</v>
      </c>
      <c r="B1718" t="s">
        <v>4641</v>
      </c>
      <c r="D1718" t="b">
        <f>IFERROR(VLOOKUP(B1718,PatData!$A$2:$A$2000,1,),"")&lt;&gt;""</f>
        <v>0</v>
      </c>
      <c r="E1718" t="s">
        <v>4642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2">
      <c r="A1719" t="s">
        <v>1313</v>
      </c>
      <c r="B1719" t="s">
        <v>4643</v>
      </c>
      <c r="D1719" t="b">
        <f>IFERROR(VLOOKUP(B1719,PatData!$A$2:$A$2000,1,),"")&lt;&gt;""</f>
        <v>0</v>
      </c>
      <c r="E1719" t="s">
        <v>4644</v>
      </c>
      <c r="F1719" t="b">
        <v>1</v>
      </c>
      <c r="G1719" t="b">
        <v>0</v>
      </c>
      <c r="H1719" t="b">
        <v>0</v>
      </c>
      <c r="I1719" t="b">
        <v>0</v>
      </c>
    </row>
    <row r="1720" spans="1:9" x14ac:dyDescent="0.2">
      <c r="A1720" t="s">
        <v>1314</v>
      </c>
      <c r="B1720" t="s">
        <v>4645</v>
      </c>
      <c r="D1720" t="b">
        <f>IFERROR(VLOOKUP(B1720,PatData!$A$2:$A$2000,1,),"")&lt;&gt;""</f>
        <v>0</v>
      </c>
      <c r="E1720" t="s">
        <v>4646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2">
      <c r="A1721" t="s">
        <v>1315</v>
      </c>
      <c r="B1721" t="s">
        <v>4647</v>
      </c>
      <c r="D1721" t="b">
        <f>IFERROR(VLOOKUP(B1721,PatData!$A$2:$A$2000,1,),"")&lt;&gt;""</f>
        <v>0</v>
      </c>
      <c r="E1721" t="s">
        <v>4648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2">
      <c r="A1722" t="s">
        <v>1316</v>
      </c>
      <c r="B1722" t="s">
        <v>4649</v>
      </c>
      <c r="D1722" t="b">
        <f>IFERROR(VLOOKUP(B1722,PatData!$A$2:$A$2000,1,),"")&lt;&gt;""</f>
        <v>0</v>
      </c>
      <c r="E1722" t="s">
        <v>4650</v>
      </c>
      <c r="F1722" t="b">
        <v>1</v>
      </c>
      <c r="G1722" t="b">
        <v>0</v>
      </c>
      <c r="H1722" t="b">
        <v>0</v>
      </c>
      <c r="I1722" t="b">
        <v>0</v>
      </c>
    </row>
    <row r="1723" spans="1:9" x14ac:dyDescent="0.2">
      <c r="A1723" t="s">
        <v>1317</v>
      </c>
      <c r="B1723" t="s">
        <v>4651</v>
      </c>
      <c r="D1723" t="b">
        <f>IFERROR(VLOOKUP(B1723,PatData!$A$2:$A$2000,1,),"")&lt;&gt;""</f>
        <v>0</v>
      </c>
      <c r="E1723" t="s">
        <v>4652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2">
      <c r="A1724" t="s">
        <v>1292</v>
      </c>
      <c r="B1724" t="s">
        <v>4653</v>
      </c>
      <c r="D1724" t="b">
        <f>IFERROR(VLOOKUP(B1724,PatData!$A$2:$A$2000,1,),"")&lt;&gt;""</f>
        <v>0</v>
      </c>
      <c r="E1724" t="s">
        <v>4654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2">
      <c r="A1725" t="s">
        <v>1293</v>
      </c>
      <c r="B1725" t="s">
        <v>4655</v>
      </c>
      <c r="D1725" t="b">
        <f>IFERROR(VLOOKUP(B1725,PatData!$A$2:$A$2000,1,),"")&lt;&gt;""</f>
        <v>0</v>
      </c>
      <c r="E1725" t="s">
        <v>4656</v>
      </c>
      <c r="F1725" t="b">
        <v>1</v>
      </c>
      <c r="G1725" t="b">
        <v>0</v>
      </c>
      <c r="H1725" t="b">
        <v>0</v>
      </c>
      <c r="I1725" t="b">
        <v>0</v>
      </c>
    </row>
    <row r="1726" spans="1:9" x14ac:dyDescent="0.2">
      <c r="A1726" t="s">
        <v>1294</v>
      </c>
      <c r="B1726" t="s">
        <v>4657</v>
      </c>
      <c r="D1726" t="b">
        <f>IFERROR(VLOOKUP(B1726,PatData!$A$2:$A$2000,1,),"")&lt;&gt;""</f>
        <v>0</v>
      </c>
      <c r="E1726" t="s">
        <v>4658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2">
      <c r="A1727" t="s">
        <v>1295</v>
      </c>
      <c r="B1727" t="s">
        <v>4659</v>
      </c>
      <c r="D1727" t="b">
        <f>IFERROR(VLOOKUP(B1727,PatData!$A$2:$A$2000,1,),"")&lt;&gt;""</f>
        <v>0</v>
      </c>
      <c r="E1727" t="s">
        <v>3886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2">
      <c r="A1728" t="s">
        <v>1296</v>
      </c>
      <c r="B1728" t="s">
        <v>4660</v>
      </c>
      <c r="D1728" t="b">
        <f>IFERROR(VLOOKUP(B1728,PatData!$A$2:$A$2000,1,),"")&lt;&gt;""</f>
        <v>0</v>
      </c>
      <c r="E1728" t="s">
        <v>3887</v>
      </c>
      <c r="F1728" t="b">
        <v>1</v>
      </c>
      <c r="G1728" t="b">
        <v>0</v>
      </c>
      <c r="H1728" t="b">
        <v>0</v>
      </c>
      <c r="I1728" t="b">
        <v>0</v>
      </c>
    </row>
    <row r="1729" spans="1:9" x14ac:dyDescent="0.2">
      <c r="A1729" t="s">
        <v>1297</v>
      </c>
      <c r="B1729" t="s">
        <v>4661</v>
      </c>
      <c r="D1729" t="b">
        <f>IFERROR(VLOOKUP(B1729,PatData!$A$2:$A$2000,1,),"")&lt;&gt;""</f>
        <v>0</v>
      </c>
      <c r="E1729" t="s">
        <v>3888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2">
      <c r="A1730" t="s">
        <v>1298</v>
      </c>
      <c r="B1730" t="s">
        <v>4662</v>
      </c>
      <c r="D1730" t="b">
        <f>IFERROR(VLOOKUP(B1730,PatData!$A$2:$A$2000,1,),"")&lt;&gt;""</f>
        <v>0</v>
      </c>
      <c r="E1730" t="s">
        <v>3889</v>
      </c>
      <c r="F1730" t="b">
        <v>1</v>
      </c>
      <c r="G1730" t="b">
        <v>0</v>
      </c>
      <c r="H1730" t="b">
        <v>0</v>
      </c>
      <c r="I1730" t="b">
        <v>0</v>
      </c>
    </row>
    <row r="1731" spans="1:9" x14ac:dyDescent="0.2">
      <c r="A1731" t="s">
        <v>1299</v>
      </c>
      <c r="B1731" t="s">
        <v>4663</v>
      </c>
      <c r="D1731" t="b">
        <f>IFERROR(VLOOKUP(B1731,PatData!$A$2:$A$2000,1,),"")&lt;&gt;""</f>
        <v>0</v>
      </c>
      <c r="E1731" t="s">
        <v>3890</v>
      </c>
      <c r="F1731" t="b">
        <v>1</v>
      </c>
      <c r="G1731" t="b">
        <v>0</v>
      </c>
      <c r="H1731" t="b">
        <v>0</v>
      </c>
      <c r="I1731" t="b">
        <v>0</v>
      </c>
    </row>
    <row r="1732" spans="1:9" x14ac:dyDescent="0.2">
      <c r="A1732" t="s">
        <v>1300</v>
      </c>
      <c r="B1732" t="s">
        <v>4664</v>
      </c>
      <c r="D1732" t="b">
        <f>IFERROR(VLOOKUP(B1732,PatData!$A$2:$A$2000,1,),"")&lt;&gt;""</f>
        <v>0</v>
      </c>
      <c r="E1732" t="s">
        <v>3891</v>
      </c>
      <c r="F1732" t="b">
        <v>1</v>
      </c>
      <c r="G1732" t="b">
        <v>0</v>
      </c>
      <c r="H1732" t="b">
        <v>0</v>
      </c>
      <c r="I1732" t="b">
        <v>0</v>
      </c>
    </row>
    <row r="1733" spans="1:9" x14ac:dyDescent="0.2">
      <c r="A1733" t="s">
        <v>1301</v>
      </c>
      <c r="B1733" t="s">
        <v>4665</v>
      </c>
      <c r="D1733" t="b">
        <f>IFERROR(VLOOKUP(B1733,PatData!$A$2:$A$2000,1,),"")&lt;&gt;""</f>
        <v>0</v>
      </c>
      <c r="E1733" t="s">
        <v>3892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2">
      <c r="A1734" t="s">
        <v>1303</v>
      </c>
      <c r="B1734" t="s">
        <v>4666</v>
      </c>
      <c r="D1734" t="b">
        <f>IFERROR(VLOOKUP(B1734,PatData!$A$2:$A$2000,1,),"")&lt;&gt;""</f>
        <v>0</v>
      </c>
      <c r="E1734" t="s">
        <v>3893</v>
      </c>
      <c r="F1734" t="b">
        <v>1</v>
      </c>
      <c r="G1734" t="b">
        <v>0</v>
      </c>
      <c r="H1734" t="b">
        <v>0</v>
      </c>
      <c r="I1734" t="b">
        <v>0</v>
      </c>
    </row>
    <row r="1735" spans="1:9" x14ac:dyDescent="0.2">
      <c r="A1735" t="s">
        <v>1304</v>
      </c>
      <c r="B1735" t="s">
        <v>4667</v>
      </c>
      <c r="D1735" t="b">
        <f>IFERROR(VLOOKUP(B1735,PatData!$A$2:$A$2000,1,),"")&lt;&gt;""</f>
        <v>0</v>
      </c>
      <c r="E1735" t="s">
        <v>3894</v>
      </c>
      <c r="F1735" t="b">
        <v>1</v>
      </c>
      <c r="G1735" t="b">
        <v>0</v>
      </c>
      <c r="H1735" t="b">
        <v>0</v>
      </c>
      <c r="I1735" t="b">
        <v>0</v>
      </c>
    </row>
    <row r="1736" spans="1:9" x14ac:dyDescent="0.2">
      <c r="A1736" t="s">
        <v>1305</v>
      </c>
      <c r="B1736" t="s">
        <v>4668</v>
      </c>
      <c r="D1736" t="b">
        <f>IFERROR(VLOOKUP(B1736,PatData!$A$2:$A$2000,1,),"")&lt;&gt;""</f>
        <v>0</v>
      </c>
      <c r="E1736" t="s">
        <v>3895</v>
      </c>
      <c r="F1736" t="b">
        <v>1</v>
      </c>
      <c r="G1736" t="b">
        <v>0</v>
      </c>
      <c r="H1736" t="b">
        <v>0</v>
      </c>
      <c r="I1736" t="b">
        <v>0</v>
      </c>
    </row>
    <row r="1737" spans="1:9" x14ac:dyDescent="0.2">
      <c r="A1737" t="s">
        <v>1306</v>
      </c>
      <c r="B1737" t="s">
        <v>4669</v>
      </c>
      <c r="D1737" t="b">
        <f>IFERROR(VLOOKUP(B1737,PatData!$A$2:$A$2000,1,),"")&lt;&gt;""</f>
        <v>0</v>
      </c>
      <c r="E1737" t="s">
        <v>3896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2">
      <c r="A1738" t="s">
        <v>1307</v>
      </c>
      <c r="B1738" t="s">
        <v>4670</v>
      </c>
      <c r="D1738" t="b">
        <f>IFERROR(VLOOKUP(B1738,PatData!$A$2:$A$2000,1,),"")&lt;&gt;""</f>
        <v>0</v>
      </c>
      <c r="E1738" t="s">
        <v>3897</v>
      </c>
      <c r="F1738" t="b">
        <v>1</v>
      </c>
      <c r="G1738" t="b">
        <v>0</v>
      </c>
      <c r="H1738" t="b">
        <v>0</v>
      </c>
      <c r="I1738" t="b">
        <v>0</v>
      </c>
    </row>
    <row r="1739" spans="1:9" x14ac:dyDescent="0.2">
      <c r="A1739" t="s">
        <v>1308</v>
      </c>
      <c r="B1739" t="s">
        <v>4671</v>
      </c>
      <c r="D1739" t="b">
        <f>IFERROR(VLOOKUP(B1739,PatData!$A$2:$A$2000,1,),"")&lt;&gt;""</f>
        <v>0</v>
      </c>
      <c r="E1739" t="s">
        <v>3898</v>
      </c>
      <c r="F1739" t="b">
        <v>1</v>
      </c>
      <c r="G1739" t="b">
        <v>0</v>
      </c>
      <c r="H1739" t="b">
        <v>0</v>
      </c>
      <c r="I1739" t="b">
        <v>0</v>
      </c>
    </row>
    <row r="1740" spans="1:9" x14ac:dyDescent="0.2">
      <c r="A1740" t="s">
        <v>1309</v>
      </c>
      <c r="B1740" t="s">
        <v>4672</v>
      </c>
      <c r="D1740" t="b">
        <f>IFERROR(VLOOKUP(B1740,PatData!$A$2:$A$2000,1,),"")&lt;&gt;""</f>
        <v>0</v>
      </c>
      <c r="E1740" t="s">
        <v>3899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2">
      <c r="A1741" t="s">
        <v>1310</v>
      </c>
      <c r="B1741" t="s">
        <v>4673</v>
      </c>
      <c r="D1741" t="b">
        <f>IFERROR(VLOOKUP(B1741,PatData!$A$2:$A$2000,1,),"")&lt;&gt;""</f>
        <v>0</v>
      </c>
      <c r="E1741" t="s">
        <v>3900</v>
      </c>
      <c r="F1741" t="b">
        <v>1</v>
      </c>
      <c r="G1741" t="b">
        <v>0</v>
      </c>
      <c r="H1741" t="b">
        <v>0</v>
      </c>
      <c r="I1741" t="b">
        <v>0</v>
      </c>
    </row>
    <row r="1742" spans="1:9" x14ac:dyDescent="0.2">
      <c r="A1742" t="s">
        <v>1318</v>
      </c>
      <c r="B1742" t="s">
        <v>4674</v>
      </c>
      <c r="D1742" t="b">
        <f>IFERROR(VLOOKUP(B1742,PatData!$A$2:$A$2000,1,),"")&lt;&gt;""</f>
        <v>0</v>
      </c>
      <c r="E1742" t="s">
        <v>4675</v>
      </c>
      <c r="F1742" t="b">
        <v>1</v>
      </c>
      <c r="G1742" t="b">
        <v>0</v>
      </c>
      <c r="H1742" t="b">
        <v>0</v>
      </c>
      <c r="I1742" t="b">
        <v>0</v>
      </c>
    </row>
    <row r="1743" spans="1:9" x14ac:dyDescent="0.2">
      <c r="A1743" t="s">
        <v>1325</v>
      </c>
      <c r="B1743" t="s">
        <v>4676</v>
      </c>
      <c r="D1743" t="b">
        <f>IFERROR(VLOOKUP(B1743,PatData!$A$2:$A$2000,1,),"")&lt;&gt;""</f>
        <v>0</v>
      </c>
      <c r="E1743" t="s">
        <v>4677</v>
      </c>
      <c r="F1743" t="b">
        <v>1</v>
      </c>
      <c r="G1743" t="b">
        <v>0</v>
      </c>
      <c r="H1743" t="b">
        <v>0</v>
      </c>
      <c r="I1743" t="b">
        <v>0</v>
      </c>
    </row>
    <row r="1744" spans="1:9" x14ac:dyDescent="0.2">
      <c r="A1744" t="s">
        <v>1326</v>
      </c>
      <c r="B1744" t="s">
        <v>4678</v>
      </c>
      <c r="D1744" t="b">
        <f>IFERROR(VLOOKUP(B1744,PatData!$A$2:$A$2000,1,),"")&lt;&gt;""</f>
        <v>0</v>
      </c>
      <c r="E1744" t="s">
        <v>4679</v>
      </c>
      <c r="F1744" t="b">
        <v>1</v>
      </c>
      <c r="G1744" t="b">
        <v>0</v>
      </c>
      <c r="H1744" t="b">
        <v>0</v>
      </c>
      <c r="I1744" t="b">
        <v>0</v>
      </c>
    </row>
    <row r="1745" spans="1:9" x14ac:dyDescent="0.2">
      <c r="A1745" t="s">
        <v>1327</v>
      </c>
      <c r="B1745" t="s">
        <v>4680</v>
      </c>
      <c r="D1745" t="b">
        <f>IFERROR(VLOOKUP(B1745,PatData!$A$2:$A$2000,1,),"")&lt;&gt;""</f>
        <v>0</v>
      </c>
      <c r="E1745" t="s">
        <v>4681</v>
      </c>
      <c r="F1745" t="b">
        <v>1</v>
      </c>
      <c r="G1745" t="b">
        <v>0</v>
      </c>
      <c r="H1745" t="b">
        <v>0</v>
      </c>
      <c r="I1745" t="b">
        <v>0</v>
      </c>
    </row>
    <row r="1746" spans="1:9" x14ac:dyDescent="0.2">
      <c r="A1746" t="s">
        <v>1328</v>
      </c>
      <c r="B1746" t="s">
        <v>4682</v>
      </c>
      <c r="D1746" t="b">
        <f>IFERROR(VLOOKUP(B1746,PatData!$A$2:$A$2000,1,),"")&lt;&gt;""</f>
        <v>0</v>
      </c>
      <c r="E1746" t="s">
        <v>3923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2">
      <c r="A1747" t="s">
        <v>1329</v>
      </c>
      <c r="B1747" t="s">
        <v>4683</v>
      </c>
      <c r="D1747" t="b">
        <f>IFERROR(VLOOKUP(B1747,PatData!$A$2:$A$2000,1,),"")&lt;&gt;""</f>
        <v>0</v>
      </c>
      <c r="E1747" t="s">
        <v>3924</v>
      </c>
      <c r="F1747" t="b">
        <v>1</v>
      </c>
      <c r="G1747" t="b">
        <v>0</v>
      </c>
      <c r="H1747" t="b">
        <v>0</v>
      </c>
      <c r="I1747" t="b">
        <v>0</v>
      </c>
    </row>
    <row r="1748" spans="1:9" x14ac:dyDescent="0.2">
      <c r="A1748" t="s">
        <v>1330</v>
      </c>
      <c r="B1748" t="s">
        <v>4684</v>
      </c>
      <c r="D1748" t="b">
        <f>IFERROR(VLOOKUP(B1748,PatData!$A$2:$A$2000,1,),"")&lt;&gt;""</f>
        <v>0</v>
      </c>
      <c r="E1748" t="s">
        <v>3925</v>
      </c>
      <c r="F1748" t="b">
        <v>1</v>
      </c>
      <c r="G1748" t="b">
        <v>0</v>
      </c>
      <c r="H1748" t="b">
        <v>0</v>
      </c>
      <c r="I1748" t="b">
        <v>0</v>
      </c>
    </row>
    <row r="1749" spans="1:9" x14ac:dyDescent="0.2">
      <c r="A1749" t="s">
        <v>1331</v>
      </c>
      <c r="B1749" t="s">
        <v>4685</v>
      </c>
      <c r="D1749" t="b">
        <f>IFERROR(VLOOKUP(B1749,PatData!$A$2:$A$2000,1,),"")&lt;&gt;""</f>
        <v>0</v>
      </c>
      <c r="E1749" t="s">
        <v>3926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2">
      <c r="A1750" t="s">
        <v>1332</v>
      </c>
      <c r="B1750" t="s">
        <v>4686</v>
      </c>
      <c r="D1750" t="b">
        <f>IFERROR(VLOOKUP(B1750,PatData!$A$2:$A$2000,1,),"")&lt;&gt;""</f>
        <v>0</v>
      </c>
      <c r="E1750" t="s">
        <v>3927</v>
      </c>
      <c r="F1750" t="b">
        <v>1</v>
      </c>
      <c r="G1750" t="b">
        <v>0</v>
      </c>
      <c r="H1750" t="b">
        <v>0</v>
      </c>
      <c r="I1750" t="b">
        <v>0</v>
      </c>
    </row>
    <row r="1751" spans="1:9" x14ac:dyDescent="0.2">
      <c r="A1751" t="s">
        <v>1319</v>
      </c>
      <c r="B1751" t="s">
        <v>4687</v>
      </c>
      <c r="D1751" t="b">
        <f>IFERROR(VLOOKUP(B1751,PatData!$A$2:$A$2000,1,),"")&lt;&gt;""</f>
        <v>0</v>
      </c>
      <c r="E1751" t="s">
        <v>3919</v>
      </c>
      <c r="F1751" t="b">
        <v>1</v>
      </c>
      <c r="G1751" t="b">
        <v>0</v>
      </c>
      <c r="H1751" t="b">
        <v>0</v>
      </c>
      <c r="I1751" t="b">
        <v>0</v>
      </c>
    </row>
    <row r="1752" spans="1:9" x14ac:dyDescent="0.2">
      <c r="A1752" t="s">
        <v>1320</v>
      </c>
      <c r="B1752" t="s">
        <v>4688</v>
      </c>
      <c r="D1752" t="b">
        <f>IFERROR(VLOOKUP(B1752,PatData!$A$2:$A$2000,1,),"")&lt;&gt;""</f>
        <v>0</v>
      </c>
      <c r="E1752" t="s">
        <v>3920</v>
      </c>
      <c r="F1752" t="b">
        <v>1</v>
      </c>
      <c r="G1752" t="b">
        <v>0</v>
      </c>
      <c r="H1752" t="b">
        <v>0</v>
      </c>
      <c r="I1752" t="b">
        <v>0</v>
      </c>
    </row>
    <row r="1753" spans="1:9" x14ac:dyDescent="0.2">
      <c r="A1753" t="s">
        <v>1321</v>
      </c>
      <c r="B1753" t="s">
        <v>4689</v>
      </c>
      <c r="D1753" t="b">
        <f>IFERROR(VLOOKUP(B1753,PatData!$A$2:$A$2000,1,),"")&lt;&gt;""</f>
        <v>0</v>
      </c>
      <c r="E1753" t="s">
        <v>3921</v>
      </c>
      <c r="F1753" t="b">
        <v>1</v>
      </c>
      <c r="G1753" t="b">
        <v>0</v>
      </c>
      <c r="H1753" t="b">
        <v>0</v>
      </c>
      <c r="I1753" t="b">
        <v>0</v>
      </c>
    </row>
    <row r="1754" spans="1:9" x14ac:dyDescent="0.2">
      <c r="A1754" t="s">
        <v>1322</v>
      </c>
      <c r="B1754" t="s">
        <v>4690</v>
      </c>
      <c r="D1754" t="b">
        <f>IFERROR(VLOOKUP(B1754,PatData!$A$2:$A$2000,1,),"")&lt;&gt;""</f>
        <v>0</v>
      </c>
      <c r="E1754" t="s">
        <v>3922</v>
      </c>
      <c r="F1754" t="b">
        <v>1</v>
      </c>
      <c r="G1754" t="b">
        <v>0</v>
      </c>
      <c r="H1754" t="b">
        <v>0</v>
      </c>
      <c r="I1754" t="b">
        <v>0</v>
      </c>
    </row>
    <row r="1755" spans="1:9" x14ac:dyDescent="0.2">
      <c r="A1755" t="s">
        <v>1323</v>
      </c>
      <c r="B1755" t="s">
        <v>4691</v>
      </c>
      <c r="D1755" t="b">
        <f>IFERROR(VLOOKUP(B1755,PatData!$A$2:$A$2000,1,),"")&lt;&gt;""</f>
        <v>0</v>
      </c>
      <c r="E1755" t="s">
        <v>4692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2">
      <c r="A1756" t="s">
        <v>1324</v>
      </c>
      <c r="B1756" t="s">
        <v>4693</v>
      </c>
      <c r="D1756" t="b">
        <f>IFERROR(VLOOKUP(B1756,PatData!$A$2:$A$2000,1,),"")&lt;&gt;""</f>
        <v>0</v>
      </c>
      <c r="E1756" t="s">
        <v>4694</v>
      </c>
      <c r="F1756" t="b">
        <v>1</v>
      </c>
      <c r="G1756" t="b">
        <v>0</v>
      </c>
      <c r="H1756" t="b">
        <v>0</v>
      </c>
      <c r="I1756" t="b">
        <v>0</v>
      </c>
    </row>
    <row r="1757" spans="1:9" x14ac:dyDescent="0.2">
      <c r="A1757" t="s">
        <v>1791</v>
      </c>
      <c r="B1757" t="s">
        <v>2409</v>
      </c>
      <c r="D1757" t="b">
        <f>IFERROR(VLOOKUP(B1757,PatData!$A$2:$A$2000,1,),"")&lt;&gt;""</f>
        <v>0</v>
      </c>
      <c r="E1757" t="s">
        <v>3879</v>
      </c>
      <c r="F1757" t="b">
        <v>1</v>
      </c>
      <c r="G1757" t="b">
        <v>0</v>
      </c>
      <c r="H1757" t="b">
        <v>0</v>
      </c>
      <c r="I1757" t="b">
        <v>0</v>
      </c>
    </row>
    <row r="1758" spans="1:9" x14ac:dyDescent="0.2">
      <c r="A1758" t="s">
        <v>1792</v>
      </c>
      <c r="B1758" t="s">
        <v>2410</v>
      </c>
      <c r="D1758" t="b">
        <f>IFERROR(VLOOKUP(B1758,PatData!$A$2:$A$2000,1,),"")&lt;&gt;""</f>
        <v>0</v>
      </c>
      <c r="E1758" t="s">
        <v>3880</v>
      </c>
      <c r="F1758" t="b">
        <v>1</v>
      </c>
      <c r="G1758" t="b">
        <v>0</v>
      </c>
      <c r="H1758" t="b">
        <v>0</v>
      </c>
      <c r="I1758" t="b">
        <v>0</v>
      </c>
    </row>
    <row r="1759" spans="1:9" x14ac:dyDescent="0.2">
      <c r="A1759" t="s">
        <v>1793</v>
      </c>
      <c r="B1759" t="s">
        <v>2411</v>
      </c>
      <c r="D1759" t="b">
        <f>IFERROR(VLOOKUP(B1759,PatData!$A$2:$A$2000,1,),"")&lt;&gt;""</f>
        <v>0</v>
      </c>
      <c r="E1759" t="s">
        <v>3881</v>
      </c>
      <c r="F1759" t="b">
        <v>1</v>
      </c>
      <c r="G1759" t="b">
        <v>0</v>
      </c>
      <c r="H1759" t="b">
        <v>0</v>
      </c>
      <c r="I1759" t="b">
        <v>0</v>
      </c>
    </row>
    <row r="1760" spans="1:9" x14ac:dyDescent="0.2">
      <c r="A1760" t="s">
        <v>1285</v>
      </c>
      <c r="B1760" t="s">
        <v>2375</v>
      </c>
      <c r="D1760" t="b">
        <f>IFERROR(VLOOKUP(B1760,PatData!$A$2:$A$2000,1,),"")&lt;&gt;""</f>
        <v>0</v>
      </c>
      <c r="E1760" t="s">
        <v>3882</v>
      </c>
      <c r="F1760" t="b">
        <v>1</v>
      </c>
      <c r="G1760" t="b">
        <v>0</v>
      </c>
      <c r="H1760" t="b">
        <v>0</v>
      </c>
      <c r="I1760" t="b">
        <v>0</v>
      </c>
    </row>
    <row r="1761" spans="1:9" ht="331.5" x14ac:dyDescent="0.2">
      <c r="A1761" t="s">
        <v>1286</v>
      </c>
      <c r="B1761" t="s">
        <v>2376</v>
      </c>
      <c r="D1761" t="b">
        <f>IFERROR(VLOOKUP(B1761,PatData!$A$2:$A$2000,1,),"")&lt;&gt;""</f>
        <v>0</v>
      </c>
      <c r="E1761" s="21" t="s">
        <v>3883</v>
      </c>
      <c r="F1761" t="b">
        <v>1</v>
      </c>
      <c r="G1761" t="b">
        <v>0</v>
      </c>
      <c r="H1761" t="b">
        <v>0</v>
      </c>
      <c r="I1761" t="b">
        <v>0</v>
      </c>
    </row>
    <row r="1762" spans="1:9" x14ac:dyDescent="0.2">
      <c r="A1762" t="s">
        <v>4695</v>
      </c>
      <c r="B1762" t="s">
        <v>2379</v>
      </c>
      <c r="D1762" t="b">
        <f>IFERROR(VLOOKUP(B1762,PatData!$A$2:$A$2000,1,),"")&lt;&gt;""</f>
        <v>0</v>
      </c>
      <c r="E1762" t="s">
        <v>2507</v>
      </c>
      <c r="F1762" t="b">
        <v>1</v>
      </c>
      <c r="G1762" t="b">
        <v>0</v>
      </c>
      <c r="H1762" t="b">
        <v>0</v>
      </c>
      <c r="I1762" t="b">
        <v>0</v>
      </c>
    </row>
    <row r="1763" spans="1:9" x14ac:dyDescent="0.2">
      <c r="A1763" t="s">
        <v>1287</v>
      </c>
      <c r="B1763" t="s">
        <v>2501</v>
      </c>
      <c r="D1763" t="b">
        <f>IFERROR(VLOOKUP(B1763,PatData!$A$2:$A$2000,1,),"")&lt;&gt;""</f>
        <v>0</v>
      </c>
      <c r="E1763" t="s">
        <v>2507</v>
      </c>
      <c r="F1763" t="b">
        <v>1</v>
      </c>
      <c r="G1763" t="b">
        <v>0</v>
      </c>
      <c r="H1763" t="b">
        <v>0</v>
      </c>
      <c r="I1763" t="b">
        <v>0</v>
      </c>
    </row>
    <row r="1764" spans="1:9" x14ac:dyDescent="0.2">
      <c r="A1764" t="s">
        <v>1289</v>
      </c>
      <c r="B1764" t="s">
        <v>2377</v>
      </c>
      <c r="D1764" t="b">
        <f>IFERROR(VLOOKUP(B1764,PatData!$A$2:$A$2000,1,),"")&lt;&gt;""</f>
        <v>0</v>
      </c>
      <c r="E1764" t="s">
        <v>2508</v>
      </c>
      <c r="F1764" t="b">
        <v>1</v>
      </c>
      <c r="G1764" t="b">
        <v>0</v>
      </c>
      <c r="H1764" t="b">
        <v>0</v>
      </c>
      <c r="I1764" t="b">
        <v>0</v>
      </c>
    </row>
    <row r="1765" spans="1:9" x14ac:dyDescent="0.2">
      <c r="A1765" t="s">
        <v>1290</v>
      </c>
      <c r="B1765" t="s">
        <v>2378</v>
      </c>
      <c r="D1765" t="b">
        <f>IFERROR(VLOOKUP(B1765,PatData!$A$2:$A$2000,1,),"")&lt;&gt;""</f>
        <v>0</v>
      </c>
      <c r="E1765" t="s">
        <v>3802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2">
      <c r="A1766" t="s">
        <v>4441</v>
      </c>
      <c r="B1766" t="s">
        <v>5176</v>
      </c>
      <c r="D1766" t="b">
        <f>IFERROR(VLOOKUP(B1766,PatData!$A$2:$A$2000,1,),"")&lt;&gt;""</f>
        <v>0</v>
      </c>
      <c r="E1766">
        <v>0</v>
      </c>
      <c r="F1766" t="b">
        <v>0</v>
      </c>
      <c r="G1766" t="b">
        <v>0</v>
      </c>
      <c r="H1766" t="b">
        <v>0</v>
      </c>
      <c r="I1766" t="b">
        <v>0</v>
      </c>
    </row>
    <row r="1767" spans="1:9" x14ac:dyDescent="0.2">
      <c r="A1767" t="s">
        <v>4442</v>
      </c>
      <c r="B1767" t="s">
        <v>5177</v>
      </c>
      <c r="D1767" t="b">
        <f>IFERROR(VLOOKUP(B1767,PatData!$A$2:$A$2000,1,),"")&lt;&gt;""</f>
        <v>0</v>
      </c>
      <c r="F1767" t="b">
        <v>0</v>
      </c>
      <c r="G1767" t="b">
        <v>0</v>
      </c>
      <c r="H1767" t="b">
        <v>0</v>
      </c>
      <c r="I1767" t="b">
        <v>0</v>
      </c>
    </row>
    <row r="1768" spans="1:9" x14ac:dyDescent="0.2">
      <c r="A1768" t="s">
        <v>4696</v>
      </c>
      <c r="B1768" t="s">
        <v>4697</v>
      </c>
      <c r="D1768" t="b">
        <f>IFERROR(VLOOKUP(B1768,PatData!$A$2:$A$2000,1,),"")&lt;&gt;""</f>
        <v>0</v>
      </c>
      <c r="E1768" t="s">
        <v>4698</v>
      </c>
      <c r="F1768" t="b">
        <v>1</v>
      </c>
      <c r="G1768" t="b">
        <v>0</v>
      </c>
      <c r="H1768" t="b">
        <v>0</v>
      </c>
      <c r="I1768" t="b">
        <v>0</v>
      </c>
    </row>
    <row r="1769" spans="1:9" x14ac:dyDescent="0.2">
      <c r="A1769" t="s">
        <v>4699</v>
      </c>
      <c r="B1769" t="s">
        <v>4700</v>
      </c>
      <c r="D1769" t="b">
        <f>IFERROR(VLOOKUP(B1769,PatData!$A$2:$A$2000,1,),"")&lt;&gt;""</f>
        <v>0</v>
      </c>
      <c r="E1769" t="s">
        <v>4701</v>
      </c>
      <c r="F1769" t="b">
        <v>1</v>
      </c>
      <c r="G1769" t="b">
        <v>0</v>
      </c>
      <c r="H1769" t="b">
        <v>0</v>
      </c>
      <c r="I1769" t="b">
        <v>0</v>
      </c>
    </row>
    <row r="1770" spans="1:9" x14ac:dyDescent="0.2">
      <c r="A1770" t="s">
        <v>4702</v>
      </c>
      <c r="B1770" t="s">
        <v>4703</v>
      </c>
      <c r="D1770" t="b">
        <f>IFERROR(VLOOKUP(B1770,PatData!$A$2:$A$2000,1,),"")&lt;&gt;""</f>
        <v>0</v>
      </c>
      <c r="E1770" t="s">
        <v>4704</v>
      </c>
      <c r="F1770" t="b">
        <v>1</v>
      </c>
      <c r="G1770" t="b">
        <v>0</v>
      </c>
      <c r="H1770" t="b">
        <v>0</v>
      </c>
      <c r="I1770" t="b">
        <v>0</v>
      </c>
    </row>
    <row r="1771" spans="1:9" x14ac:dyDescent="0.2">
      <c r="A1771" t="s">
        <v>4705</v>
      </c>
      <c r="B1771" t="s">
        <v>4706</v>
      </c>
      <c r="D1771" t="b">
        <f>IFERROR(VLOOKUP(B1771,PatData!$A$2:$A$2000,1,),"")&lt;&gt;""</f>
        <v>0</v>
      </c>
      <c r="E1771" t="s">
        <v>4707</v>
      </c>
      <c r="F1771" t="b">
        <v>1</v>
      </c>
      <c r="G1771" t="b">
        <v>0</v>
      </c>
      <c r="H1771" t="b">
        <v>0</v>
      </c>
      <c r="I1771" t="b">
        <v>0</v>
      </c>
    </row>
    <row r="1772" spans="1:9" x14ac:dyDescent="0.2">
      <c r="A1772" t="s">
        <v>4708</v>
      </c>
      <c r="B1772" t="s">
        <v>4709</v>
      </c>
      <c r="D1772" t="b">
        <f>IFERROR(VLOOKUP(B1772,PatData!$A$2:$A$2000,1,),"")&lt;&gt;""</f>
        <v>0</v>
      </c>
      <c r="E1772" t="s">
        <v>4710</v>
      </c>
      <c r="F1772" t="b">
        <v>1</v>
      </c>
      <c r="G1772" t="b">
        <v>0</v>
      </c>
      <c r="H1772" t="b">
        <v>0</v>
      </c>
      <c r="I1772" t="b">
        <v>0</v>
      </c>
    </row>
    <row r="1773" spans="1:9" x14ac:dyDescent="0.2">
      <c r="A1773" t="s">
        <v>4711</v>
      </c>
      <c r="B1773" t="s">
        <v>4712</v>
      </c>
      <c r="D1773" t="b">
        <f>IFERROR(VLOOKUP(B1773,PatData!$A$2:$A$2000,1,),"")&lt;&gt;""</f>
        <v>0</v>
      </c>
      <c r="E1773" t="s">
        <v>4713</v>
      </c>
      <c r="F1773" t="b">
        <v>1</v>
      </c>
      <c r="G1773" t="b">
        <v>0</v>
      </c>
      <c r="H1773" t="b">
        <v>0</v>
      </c>
      <c r="I1773" t="b">
        <v>0</v>
      </c>
    </row>
    <row r="1774" spans="1:9" x14ac:dyDescent="0.2">
      <c r="A1774" t="s">
        <v>4714</v>
      </c>
      <c r="B1774" t="s">
        <v>4715</v>
      </c>
      <c r="D1774" t="b">
        <f>IFERROR(VLOOKUP(B1774,PatData!$A$2:$A$2000,1,),"")&lt;&gt;""</f>
        <v>0</v>
      </c>
      <c r="E1774" t="s">
        <v>4716</v>
      </c>
      <c r="F1774" t="b">
        <v>1</v>
      </c>
      <c r="G1774" t="b">
        <v>0</v>
      </c>
      <c r="H1774" t="b">
        <v>0</v>
      </c>
      <c r="I1774" t="b">
        <v>0</v>
      </c>
    </row>
    <row r="1775" spans="1:9" x14ac:dyDescent="0.2">
      <c r="A1775" t="s">
        <v>4717</v>
      </c>
      <c r="B1775" t="s">
        <v>4718</v>
      </c>
      <c r="D1775" t="b">
        <f>IFERROR(VLOOKUP(B1775,PatData!$A$2:$A$2000,1,),"")&lt;&gt;""</f>
        <v>0</v>
      </c>
      <c r="E1775" t="s">
        <v>4719</v>
      </c>
      <c r="F1775" t="b">
        <v>1</v>
      </c>
      <c r="G1775" t="b">
        <v>0</v>
      </c>
      <c r="H1775" t="b">
        <v>0</v>
      </c>
      <c r="I1775" t="b">
        <v>0</v>
      </c>
    </row>
    <row r="1776" spans="1:9" x14ac:dyDescent="0.2">
      <c r="A1776" t="s">
        <v>4720</v>
      </c>
      <c r="B1776" t="s">
        <v>4721</v>
      </c>
      <c r="D1776" t="b">
        <f>IFERROR(VLOOKUP(B1776,PatData!$A$2:$A$2000,1,),"")&lt;&gt;""</f>
        <v>0</v>
      </c>
      <c r="E1776" t="s">
        <v>4722</v>
      </c>
      <c r="F1776" t="b">
        <v>1</v>
      </c>
      <c r="G1776" t="b">
        <v>0</v>
      </c>
      <c r="H1776" t="b">
        <v>0</v>
      </c>
      <c r="I1776" t="b">
        <v>0</v>
      </c>
    </row>
    <row r="1777" spans="1:9" x14ac:dyDescent="0.2">
      <c r="A1777" t="s">
        <v>4723</v>
      </c>
      <c r="B1777" t="s">
        <v>4724</v>
      </c>
      <c r="D1777" t="b">
        <f>IFERROR(VLOOKUP(B1777,PatData!$A$2:$A$2000,1,),"")&lt;&gt;""</f>
        <v>0</v>
      </c>
      <c r="E1777" t="s">
        <v>4725</v>
      </c>
      <c r="F1777" t="b">
        <v>1</v>
      </c>
      <c r="G1777" t="b">
        <v>0</v>
      </c>
      <c r="H1777" t="b">
        <v>0</v>
      </c>
      <c r="I1777" t="b">
        <v>0</v>
      </c>
    </row>
    <row r="1778" spans="1:9" x14ac:dyDescent="0.2">
      <c r="A1778" t="s">
        <v>4726</v>
      </c>
      <c r="B1778" t="s">
        <v>4727</v>
      </c>
      <c r="D1778" t="b">
        <f>IFERROR(VLOOKUP(B1778,PatData!$A$2:$A$2000,1,),"")&lt;&gt;""</f>
        <v>0</v>
      </c>
      <c r="E1778" t="s">
        <v>4728</v>
      </c>
      <c r="F1778" t="b">
        <v>1</v>
      </c>
      <c r="G1778" t="b">
        <v>0</v>
      </c>
      <c r="H1778" t="b">
        <v>0</v>
      </c>
      <c r="I1778" t="b">
        <v>0</v>
      </c>
    </row>
    <row r="1779" spans="1:9" x14ac:dyDescent="0.2">
      <c r="A1779" t="s">
        <v>4729</v>
      </c>
      <c r="B1779" t="s">
        <v>4730</v>
      </c>
      <c r="D1779" t="b">
        <f>IFERROR(VLOOKUP(B1779,PatData!$A$2:$A$2000,1,),"")&lt;&gt;""</f>
        <v>0</v>
      </c>
      <c r="E1779" t="s">
        <v>4731</v>
      </c>
      <c r="F1779" t="b">
        <v>1</v>
      </c>
      <c r="G1779" t="b">
        <v>0</v>
      </c>
      <c r="H1779" t="b">
        <v>0</v>
      </c>
      <c r="I1779" t="b">
        <v>0</v>
      </c>
    </row>
    <row r="1780" spans="1:9" x14ac:dyDescent="0.2">
      <c r="A1780" t="s">
        <v>4732</v>
      </c>
      <c r="B1780" t="s">
        <v>4733</v>
      </c>
      <c r="D1780" t="b">
        <f>IFERROR(VLOOKUP(B1780,PatData!$A$2:$A$2000,1,),"")&lt;&gt;""</f>
        <v>0</v>
      </c>
      <c r="E1780" t="s">
        <v>4734</v>
      </c>
      <c r="F1780" t="b">
        <v>1</v>
      </c>
      <c r="G1780" t="b">
        <v>0</v>
      </c>
      <c r="H1780" t="b">
        <v>0</v>
      </c>
      <c r="I1780" t="b">
        <v>0</v>
      </c>
    </row>
    <row r="1781" spans="1:9" x14ac:dyDescent="0.2">
      <c r="A1781" t="s">
        <v>4735</v>
      </c>
      <c r="B1781" t="s">
        <v>4736</v>
      </c>
      <c r="D1781" t="b">
        <f>IFERROR(VLOOKUP(B1781,PatData!$A$2:$A$2000,1,),"")&lt;&gt;""</f>
        <v>0</v>
      </c>
      <c r="E1781" t="s">
        <v>4737</v>
      </c>
      <c r="F1781" t="b">
        <v>1</v>
      </c>
      <c r="G1781" t="b">
        <v>0</v>
      </c>
      <c r="H1781" t="b">
        <v>0</v>
      </c>
      <c r="I1781" t="b">
        <v>0</v>
      </c>
    </row>
    <row r="1782" spans="1:9" x14ac:dyDescent="0.2">
      <c r="A1782" t="s">
        <v>4738</v>
      </c>
      <c r="B1782" t="s">
        <v>4739</v>
      </c>
      <c r="D1782" t="b">
        <f>IFERROR(VLOOKUP(B1782,PatData!$A$2:$A$2000,1,),"")&lt;&gt;""</f>
        <v>0</v>
      </c>
      <c r="E1782" t="s">
        <v>4740</v>
      </c>
      <c r="F1782" t="b">
        <v>1</v>
      </c>
      <c r="G1782" t="b">
        <v>0</v>
      </c>
      <c r="H1782" t="b">
        <v>0</v>
      </c>
      <c r="I1782" t="b">
        <v>0</v>
      </c>
    </row>
    <row r="1783" spans="1:9" x14ac:dyDescent="0.2">
      <c r="A1783" t="s">
        <v>4741</v>
      </c>
      <c r="B1783" t="s">
        <v>4742</v>
      </c>
      <c r="D1783" t="b">
        <f>IFERROR(VLOOKUP(B1783,PatData!$A$2:$A$2000,1,),"")&lt;&gt;""</f>
        <v>0</v>
      </c>
      <c r="E1783" t="s">
        <v>3884</v>
      </c>
      <c r="F1783" t="b">
        <v>1</v>
      </c>
      <c r="G1783" t="b">
        <v>0</v>
      </c>
      <c r="H1783" t="b">
        <v>0</v>
      </c>
      <c r="I1783" t="b">
        <v>0</v>
      </c>
    </row>
    <row r="1784" spans="1:9" x14ac:dyDescent="0.2">
      <c r="A1784" t="s">
        <v>4743</v>
      </c>
      <c r="B1784" t="s">
        <v>4744</v>
      </c>
      <c r="D1784" t="b">
        <f>IFERROR(VLOOKUP(B1784,PatData!$A$2:$A$2000,1,),"")&lt;&gt;""</f>
        <v>0</v>
      </c>
      <c r="E1784" t="s">
        <v>3885</v>
      </c>
      <c r="F1784" t="b">
        <v>1</v>
      </c>
      <c r="G1784" t="b">
        <v>0</v>
      </c>
      <c r="H1784" t="b">
        <v>0</v>
      </c>
      <c r="I1784" t="b">
        <v>0</v>
      </c>
    </row>
    <row r="1785" spans="1:9" x14ac:dyDescent="0.2">
      <c r="A1785" t="s">
        <v>4745</v>
      </c>
      <c r="B1785" t="s">
        <v>4746</v>
      </c>
      <c r="D1785" t="b">
        <f>IFERROR(VLOOKUP(B1785,PatData!$A$2:$A$2000,1,),"")&lt;&gt;""</f>
        <v>0</v>
      </c>
      <c r="E1785" t="s">
        <v>3901</v>
      </c>
      <c r="F1785" t="b">
        <v>1</v>
      </c>
      <c r="G1785" t="b">
        <v>0</v>
      </c>
      <c r="H1785" t="b">
        <v>0</v>
      </c>
      <c r="I1785" t="b">
        <v>0</v>
      </c>
    </row>
    <row r="1786" spans="1:9" x14ac:dyDescent="0.2">
      <c r="A1786" t="s">
        <v>4747</v>
      </c>
      <c r="B1786" t="s">
        <v>4748</v>
      </c>
      <c r="D1786" t="b">
        <f>IFERROR(VLOOKUP(B1786,PatData!$A$2:$A$2000,1,),"")&lt;&gt;""</f>
        <v>0</v>
      </c>
      <c r="E1786" t="s">
        <v>3902</v>
      </c>
      <c r="F1786" t="b">
        <v>1</v>
      </c>
      <c r="G1786" t="b">
        <v>0</v>
      </c>
      <c r="H1786" t="b">
        <v>0</v>
      </c>
      <c r="I1786" t="b">
        <v>0</v>
      </c>
    </row>
    <row r="1787" spans="1:9" x14ac:dyDescent="0.2">
      <c r="A1787" t="s">
        <v>4749</v>
      </c>
      <c r="B1787" t="s">
        <v>4750</v>
      </c>
      <c r="D1787" t="b">
        <f>IFERROR(VLOOKUP(B1787,PatData!$A$2:$A$2000,1,),"")&lt;&gt;""</f>
        <v>0</v>
      </c>
      <c r="E1787" t="s">
        <v>3903</v>
      </c>
      <c r="F1787" t="b">
        <v>1</v>
      </c>
      <c r="G1787" t="b">
        <v>0</v>
      </c>
      <c r="H1787" t="b">
        <v>0</v>
      </c>
      <c r="I1787" t="b">
        <v>0</v>
      </c>
    </row>
    <row r="1788" spans="1:9" x14ac:dyDescent="0.2">
      <c r="A1788" t="s">
        <v>4751</v>
      </c>
      <c r="B1788" t="s">
        <v>4752</v>
      </c>
      <c r="D1788" t="b">
        <f>IFERROR(VLOOKUP(B1788,PatData!$A$2:$A$2000,1,),"")&lt;&gt;""</f>
        <v>0</v>
      </c>
      <c r="E1788" t="s">
        <v>3904</v>
      </c>
      <c r="F1788" t="b">
        <v>1</v>
      </c>
      <c r="G1788" t="b">
        <v>0</v>
      </c>
      <c r="H1788" t="b">
        <v>0</v>
      </c>
      <c r="I1788" t="b">
        <v>0</v>
      </c>
    </row>
    <row r="1789" spans="1:9" x14ac:dyDescent="0.2">
      <c r="A1789" t="s">
        <v>4753</v>
      </c>
      <c r="B1789" t="s">
        <v>4754</v>
      </c>
      <c r="D1789" t="b">
        <f>IFERROR(VLOOKUP(B1789,PatData!$A$2:$A$2000,1,),"")&lt;&gt;""</f>
        <v>0</v>
      </c>
      <c r="E1789" t="s">
        <v>3905</v>
      </c>
      <c r="F1789" t="b">
        <v>1</v>
      </c>
      <c r="G1789" t="b">
        <v>0</v>
      </c>
      <c r="H1789" t="b">
        <v>0</v>
      </c>
      <c r="I1789" t="b">
        <v>0</v>
      </c>
    </row>
    <row r="1790" spans="1:9" x14ac:dyDescent="0.2">
      <c r="A1790" t="s">
        <v>4755</v>
      </c>
      <c r="B1790" t="s">
        <v>4756</v>
      </c>
      <c r="D1790" t="b">
        <f>IFERROR(VLOOKUP(B1790,PatData!$A$2:$A$2000,1,),"")&lt;&gt;""</f>
        <v>0</v>
      </c>
      <c r="E1790" t="s">
        <v>3906</v>
      </c>
      <c r="F1790" t="b">
        <v>1</v>
      </c>
      <c r="G1790" t="b">
        <v>0</v>
      </c>
      <c r="H1790" t="b">
        <v>0</v>
      </c>
      <c r="I1790" t="b">
        <v>0</v>
      </c>
    </row>
    <row r="1791" spans="1:9" x14ac:dyDescent="0.2">
      <c r="A1791" t="s">
        <v>4757</v>
      </c>
      <c r="B1791" t="s">
        <v>4758</v>
      </c>
      <c r="D1791" t="b">
        <f>IFERROR(VLOOKUP(B1791,PatData!$A$2:$A$2000,1,),"")&lt;&gt;""</f>
        <v>0</v>
      </c>
      <c r="E1791" t="s">
        <v>3907</v>
      </c>
      <c r="F1791" t="b">
        <v>1</v>
      </c>
      <c r="G1791" t="b">
        <v>0</v>
      </c>
      <c r="H1791" t="b">
        <v>0</v>
      </c>
      <c r="I1791" t="b">
        <v>0</v>
      </c>
    </row>
    <row r="1792" spans="1:9" x14ac:dyDescent="0.2">
      <c r="A1792" t="s">
        <v>4759</v>
      </c>
      <c r="B1792" t="s">
        <v>4760</v>
      </c>
      <c r="D1792" t="b">
        <f>IFERROR(VLOOKUP(B1792,PatData!$A$2:$A$2000,1,),"")&lt;&gt;""</f>
        <v>0</v>
      </c>
      <c r="E1792" t="s">
        <v>3908</v>
      </c>
      <c r="F1792" t="b">
        <v>1</v>
      </c>
      <c r="G1792" t="b">
        <v>0</v>
      </c>
      <c r="H1792" t="b">
        <v>0</v>
      </c>
      <c r="I1792" t="b">
        <v>0</v>
      </c>
    </row>
    <row r="1793" spans="1:9" x14ac:dyDescent="0.2">
      <c r="A1793" t="s">
        <v>4761</v>
      </c>
      <c r="B1793" t="s">
        <v>4762</v>
      </c>
      <c r="D1793" t="b">
        <f>IFERROR(VLOOKUP(B1793,PatData!$A$2:$A$2000,1,),"")&lt;&gt;""</f>
        <v>0</v>
      </c>
      <c r="E1793" t="s">
        <v>3909</v>
      </c>
      <c r="F1793" t="b">
        <v>1</v>
      </c>
      <c r="G1793" t="b">
        <v>0</v>
      </c>
      <c r="H1793" t="b">
        <v>0</v>
      </c>
      <c r="I1793" t="b">
        <v>0</v>
      </c>
    </row>
    <row r="1794" spans="1:9" x14ac:dyDescent="0.2">
      <c r="A1794" t="s">
        <v>4763</v>
      </c>
      <c r="B1794" t="s">
        <v>4764</v>
      </c>
      <c r="D1794" t="b">
        <f>IFERROR(VLOOKUP(B1794,PatData!$A$2:$A$2000,1,),"")&lt;&gt;""</f>
        <v>0</v>
      </c>
      <c r="E1794" t="s">
        <v>3900</v>
      </c>
      <c r="F1794" t="b">
        <v>1</v>
      </c>
      <c r="G1794" t="b">
        <v>0</v>
      </c>
      <c r="H1794" t="b">
        <v>0</v>
      </c>
      <c r="I1794" t="b">
        <v>0</v>
      </c>
    </row>
    <row r="1795" spans="1:9" x14ac:dyDescent="0.2">
      <c r="A1795" t="s">
        <v>4443</v>
      </c>
      <c r="B1795" t="s">
        <v>5178</v>
      </c>
      <c r="D1795" t="b">
        <f>IFERROR(VLOOKUP(B1795,PatData!$A$2:$A$2000,1,),"")&lt;&gt;""</f>
        <v>0</v>
      </c>
      <c r="E1795">
        <v>1</v>
      </c>
      <c r="F1795" t="b">
        <v>0</v>
      </c>
      <c r="G1795" t="b">
        <v>0</v>
      </c>
      <c r="H1795" t="b">
        <v>0</v>
      </c>
      <c r="I1795" t="b">
        <v>0</v>
      </c>
    </row>
    <row r="1796" spans="1:9" x14ac:dyDescent="0.2">
      <c r="A1796" t="s">
        <v>4444</v>
      </c>
      <c r="B1796" t="s">
        <v>5179</v>
      </c>
      <c r="D1796" t="b">
        <f>IFERROR(VLOOKUP(B1796,PatData!$A$2:$A$2000,1,),"")&lt;&gt;""</f>
        <v>0</v>
      </c>
      <c r="E1796">
        <v>2</v>
      </c>
      <c r="F1796" t="b">
        <v>0</v>
      </c>
      <c r="G1796" t="b">
        <v>0</v>
      </c>
      <c r="H1796" t="b">
        <v>0</v>
      </c>
      <c r="I1796" t="b">
        <v>0</v>
      </c>
    </row>
    <row r="1797" spans="1:9" x14ac:dyDescent="0.2">
      <c r="A1797" t="s">
        <v>4445</v>
      </c>
      <c r="B1797" t="s">
        <v>5180</v>
      </c>
      <c r="D1797" t="b">
        <f>IFERROR(VLOOKUP(B1797,PatData!$A$2:$A$2000,1,),"")&lt;&gt;""</f>
        <v>0</v>
      </c>
      <c r="E1797">
        <v>0</v>
      </c>
      <c r="F1797" t="b">
        <v>0</v>
      </c>
      <c r="G1797" t="b">
        <v>0</v>
      </c>
      <c r="H1797" t="b">
        <v>0</v>
      </c>
      <c r="I1797" t="b">
        <v>0</v>
      </c>
    </row>
    <row r="1798" spans="1:9" x14ac:dyDescent="0.2">
      <c r="A1798" t="s">
        <v>4446</v>
      </c>
      <c r="B1798" t="s">
        <v>5181</v>
      </c>
      <c r="D1798" t="b">
        <f>IFERROR(VLOOKUP(B1798,PatData!$A$2:$A$2000,1,),"")&lt;&gt;""</f>
        <v>0</v>
      </c>
      <c r="E1798">
        <v>0</v>
      </c>
      <c r="F1798" t="b">
        <v>0</v>
      </c>
      <c r="G1798" t="b">
        <v>0</v>
      </c>
      <c r="H1798" t="b">
        <v>0</v>
      </c>
      <c r="I1798" t="b">
        <v>0</v>
      </c>
    </row>
    <row r="1799" spans="1:9" x14ac:dyDescent="0.2">
      <c r="A1799" t="s">
        <v>4447</v>
      </c>
      <c r="B1799" t="s">
        <v>5182</v>
      </c>
      <c r="D1799" t="b">
        <f>IFERROR(VLOOKUP(B1799,PatData!$A$2:$A$2000,1,),"")&lt;&gt;""</f>
        <v>0</v>
      </c>
      <c r="E1799">
        <v>2</v>
      </c>
      <c r="F1799" t="b">
        <v>0</v>
      </c>
      <c r="G1799" t="b">
        <v>0</v>
      </c>
      <c r="H1799" t="b">
        <v>0</v>
      </c>
      <c r="I1799" t="b">
        <v>0</v>
      </c>
    </row>
    <row r="1800" spans="1:9" x14ac:dyDescent="0.2">
      <c r="A1800" t="s">
        <v>4448</v>
      </c>
      <c r="B1800" t="s">
        <v>5183</v>
      </c>
      <c r="D1800" t="b">
        <f>IFERROR(VLOOKUP(B1800,PatData!$A$2:$A$2000,1,),"")&lt;&gt;""</f>
        <v>0</v>
      </c>
      <c r="E1800">
        <v>0</v>
      </c>
      <c r="F1800" t="b">
        <v>0</v>
      </c>
      <c r="G1800" t="b">
        <v>0</v>
      </c>
      <c r="H1800" t="b">
        <v>0</v>
      </c>
      <c r="I1800" t="b">
        <v>0</v>
      </c>
    </row>
    <row r="1801" spans="1:9" x14ac:dyDescent="0.2">
      <c r="A1801" t="s">
        <v>4449</v>
      </c>
      <c r="B1801" t="s">
        <v>5184</v>
      </c>
      <c r="D1801" t="b">
        <f>IFERROR(VLOOKUP(B1801,PatData!$A$2:$A$2000,1,),"")&lt;&gt;""</f>
        <v>0</v>
      </c>
      <c r="E1801">
        <v>0</v>
      </c>
      <c r="F1801" t="b">
        <v>0</v>
      </c>
      <c r="G1801" t="b">
        <v>0</v>
      </c>
      <c r="H1801" t="b">
        <v>0</v>
      </c>
      <c r="I1801" t="b">
        <v>0</v>
      </c>
    </row>
    <row r="1802" spans="1:9" x14ac:dyDescent="0.2">
      <c r="A1802" t="s">
        <v>4450</v>
      </c>
      <c r="B1802" t="s">
        <v>5185</v>
      </c>
      <c r="D1802" t="b">
        <f>IFERROR(VLOOKUP(B1802,PatData!$A$2:$A$2000,1,),"")&lt;&gt;""</f>
        <v>0</v>
      </c>
      <c r="E1802">
        <v>5000</v>
      </c>
      <c r="F1802" t="b">
        <v>0</v>
      </c>
      <c r="G1802" t="b">
        <v>0</v>
      </c>
      <c r="H1802" t="b">
        <v>0</v>
      </c>
      <c r="I1802" t="b">
        <v>0</v>
      </c>
    </row>
    <row r="1803" spans="1:9" x14ac:dyDescent="0.2">
      <c r="A1803" t="s">
        <v>4451</v>
      </c>
      <c r="B1803" t="s">
        <v>5186</v>
      </c>
      <c r="D1803" t="b">
        <f>IFERROR(VLOOKUP(B1803,PatData!$A$2:$A$2000,1,),"")&lt;&gt;""</f>
        <v>0</v>
      </c>
      <c r="E1803">
        <v>5000</v>
      </c>
      <c r="F1803" t="b">
        <v>0</v>
      </c>
      <c r="G1803" t="b">
        <v>0</v>
      </c>
      <c r="H1803" t="b">
        <v>0</v>
      </c>
      <c r="I1803" t="b">
        <v>0</v>
      </c>
    </row>
    <row r="1804" spans="1:9" x14ac:dyDescent="0.2">
      <c r="A1804" t="s">
        <v>4452</v>
      </c>
      <c r="B1804" t="s">
        <v>5187</v>
      </c>
      <c r="D1804" t="b">
        <f>IFERROR(VLOOKUP(B1804,PatData!$A$2:$A$2000,1,),"")&lt;&gt;""</f>
        <v>0</v>
      </c>
      <c r="E1804">
        <v>1</v>
      </c>
      <c r="F1804" t="b">
        <v>0</v>
      </c>
      <c r="G1804" t="b">
        <v>0</v>
      </c>
      <c r="H1804" t="b">
        <v>0</v>
      </c>
      <c r="I1804" t="b">
        <v>0</v>
      </c>
    </row>
    <row r="1805" spans="1:9" x14ac:dyDescent="0.2">
      <c r="A1805" t="s">
        <v>4453</v>
      </c>
      <c r="B1805" t="s">
        <v>5188</v>
      </c>
      <c r="D1805" t="b">
        <f>IFERROR(VLOOKUP(B1805,PatData!$A$2:$A$2000,1,),"")&lt;&gt;""</f>
        <v>0</v>
      </c>
      <c r="E1805">
        <v>5000</v>
      </c>
      <c r="F1805" t="b">
        <v>0</v>
      </c>
      <c r="G1805" t="b">
        <v>0</v>
      </c>
      <c r="H1805" t="b">
        <v>0</v>
      </c>
      <c r="I1805" t="b">
        <v>0</v>
      </c>
    </row>
    <row r="1806" spans="1:9" x14ac:dyDescent="0.2">
      <c r="A1806" t="s">
        <v>4454</v>
      </c>
      <c r="B1806" t="s">
        <v>5189</v>
      </c>
      <c r="D1806" t="b">
        <f>IFERROR(VLOOKUP(B1806,PatData!$A$2:$A$2000,1,),"")&lt;&gt;""</f>
        <v>0</v>
      </c>
      <c r="E1806">
        <v>1</v>
      </c>
      <c r="F1806" t="b">
        <v>0</v>
      </c>
      <c r="G1806" t="b">
        <v>0</v>
      </c>
      <c r="H1806" t="b">
        <v>0</v>
      </c>
      <c r="I1806" t="b">
        <v>0</v>
      </c>
    </row>
    <row r="1807" spans="1:9" x14ac:dyDescent="0.2">
      <c r="A1807" t="s">
        <v>4455</v>
      </c>
      <c r="B1807" t="s">
        <v>5190</v>
      </c>
      <c r="D1807" t="b">
        <f>IFERROR(VLOOKUP(B1807,PatData!$A$2:$A$2000,1,),"")&lt;&gt;""</f>
        <v>0</v>
      </c>
      <c r="E1807">
        <v>1</v>
      </c>
      <c r="F1807" t="b">
        <v>0</v>
      </c>
      <c r="G1807" t="b">
        <v>0</v>
      </c>
      <c r="H1807" t="b">
        <v>0</v>
      </c>
      <c r="I1807" t="b">
        <v>0</v>
      </c>
    </row>
    <row r="1808" spans="1:9" x14ac:dyDescent="0.2">
      <c r="A1808" t="s">
        <v>4456</v>
      </c>
      <c r="B1808" t="s">
        <v>5191</v>
      </c>
      <c r="D1808" t="b">
        <f>IFERROR(VLOOKUP(B1808,PatData!$A$2:$A$2000,1,),"")&lt;&gt;""</f>
        <v>0</v>
      </c>
      <c r="E1808">
        <v>1</v>
      </c>
      <c r="F1808" t="b">
        <v>0</v>
      </c>
      <c r="G1808" t="b">
        <v>0</v>
      </c>
      <c r="H1808" t="b">
        <v>0</v>
      </c>
      <c r="I1808" t="b">
        <v>0</v>
      </c>
    </row>
    <row r="1809" spans="1:9" x14ac:dyDescent="0.2">
      <c r="A1809" t="s">
        <v>4457</v>
      </c>
      <c r="B1809" t="s">
        <v>5192</v>
      </c>
      <c r="D1809" t="b">
        <f>IFERROR(VLOOKUP(B1809,PatData!$A$2:$A$2000,1,),"")&lt;&gt;""</f>
        <v>0</v>
      </c>
      <c r="E1809">
        <v>1</v>
      </c>
      <c r="F1809" t="b">
        <v>0</v>
      </c>
      <c r="G1809" t="b">
        <v>0</v>
      </c>
      <c r="H1809" t="b">
        <v>0</v>
      </c>
      <c r="I1809" t="b">
        <v>0</v>
      </c>
    </row>
    <row r="1810" spans="1:9" x14ac:dyDescent="0.2">
      <c r="A1810" t="s">
        <v>4458</v>
      </c>
      <c r="B1810" t="s">
        <v>5193</v>
      </c>
      <c r="D1810" t="b">
        <f>IFERROR(VLOOKUP(B1810,PatData!$A$2:$A$2000,1,),"")&lt;&gt;""</f>
        <v>0</v>
      </c>
      <c r="E1810">
        <v>1</v>
      </c>
      <c r="F1810" t="b">
        <v>0</v>
      </c>
      <c r="G1810" t="b">
        <v>0</v>
      </c>
      <c r="H1810" t="b">
        <v>0</v>
      </c>
      <c r="I1810" t="b">
        <v>0</v>
      </c>
    </row>
    <row r="1811" spans="1:9" x14ac:dyDescent="0.2">
      <c r="A1811" t="s">
        <v>4459</v>
      </c>
      <c r="B1811" t="s">
        <v>5194</v>
      </c>
      <c r="D1811" t="b">
        <f>IFERROR(VLOOKUP(B1811,PatData!$A$2:$A$2000,1,),"")&lt;&gt;""</f>
        <v>0</v>
      </c>
      <c r="E1811">
        <v>1</v>
      </c>
      <c r="F1811" t="b">
        <v>0</v>
      </c>
      <c r="G1811" t="b">
        <v>0</v>
      </c>
      <c r="H1811" t="b">
        <v>0</v>
      </c>
      <c r="I1811" t="b">
        <v>0</v>
      </c>
    </row>
    <row r="1812" spans="1:9" x14ac:dyDescent="0.2">
      <c r="A1812" t="s">
        <v>4460</v>
      </c>
      <c r="B1812" t="s">
        <v>5195</v>
      </c>
      <c r="D1812" t="b">
        <f>IFERROR(VLOOKUP(B1812,PatData!$A$2:$A$2000,1,),"")&lt;&gt;""</f>
        <v>0</v>
      </c>
      <c r="E1812">
        <v>1</v>
      </c>
      <c r="F1812" t="b">
        <v>0</v>
      </c>
      <c r="G1812" t="b">
        <v>0</v>
      </c>
      <c r="H1812" t="b">
        <v>0</v>
      </c>
      <c r="I1812" t="b">
        <v>0</v>
      </c>
    </row>
    <row r="1813" spans="1:9" x14ac:dyDescent="0.2">
      <c r="A1813" t="s">
        <v>4461</v>
      </c>
      <c r="B1813" t="s">
        <v>5196</v>
      </c>
      <c r="D1813" t="b">
        <f>IFERROR(VLOOKUP(B1813,PatData!$A$2:$A$2000,1,),"")&lt;&gt;""</f>
        <v>0</v>
      </c>
      <c r="E1813">
        <v>1</v>
      </c>
      <c r="F1813" t="b">
        <v>0</v>
      </c>
      <c r="G1813" t="b">
        <v>0</v>
      </c>
      <c r="H1813" t="b">
        <v>0</v>
      </c>
      <c r="I1813" t="b">
        <v>0</v>
      </c>
    </row>
    <row r="1814" spans="1:9" x14ac:dyDescent="0.2">
      <c r="A1814" t="s">
        <v>4462</v>
      </c>
      <c r="B1814" t="s">
        <v>5197</v>
      </c>
      <c r="D1814" t="b">
        <f>IFERROR(VLOOKUP(B1814,PatData!$A$2:$A$2000,1,),"")&lt;&gt;""</f>
        <v>0</v>
      </c>
      <c r="E1814">
        <v>1</v>
      </c>
      <c r="F1814" t="b">
        <v>0</v>
      </c>
      <c r="G1814" t="b">
        <v>0</v>
      </c>
      <c r="H1814" t="b">
        <v>0</v>
      </c>
      <c r="I1814" t="b">
        <v>0</v>
      </c>
    </row>
    <row r="1815" spans="1:9" x14ac:dyDescent="0.2">
      <c r="A1815" t="s">
        <v>4463</v>
      </c>
      <c r="B1815" t="s">
        <v>5198</v>
      </c>
      <c r="D1815" t="b">
        <f>IFERROR(VLOOKUP(B1815,PatData!$A$2:$A$2000,1,),"")&lt;&gt;""</f>
        <v>0</v>
      </c>
      <c r="E1815">
        <v>0</v>
      </c>
      <c r="F1815" t="b">
        <v>0</v>
      </c>
      <c r="G1815" t="b">
        <v>0</v>
      </c>
      <c r="H1815" t="b">
        <v>0</v>
      </c>
      <c r="I1815" t="b">
        <v>0</v>
      </c>
    </row>
    <row r="1816" spans="1:9" x14ac:dyDescent="0.2">
      <c r="A1816" t="s">
        <v>4464</v>
      </c>
      <c r="B1816" t="s">
        <v>5199</v>
      </c>
      <c r="D1816" t="b">
        <f>IFERROR(VLOOKUP(B1816,PatData!$A$2:$A$2000,1,),"")&lt;&gt;""</f>
        <v>0</v>
      </c>
      <c r="E1816">
        <v>0</v>
      </c>
      <c r="F1816" t="b">
        <v>0</v>
      </c>
      <c r="G1816" t="b">
        <v>0</v>
      </c>
      <c r="H1816" t="b">
        <v>0</v>
      </c>
      <c r="I1816" t="b">
        <v>0</v>
      </c>
    </row>
    <row r="1817" spans="1:9" x14ac:dyDescent="0.2">
      <c r="A1817" t="s">
        <v>4465</v>
      </c>
      <c r="B1817" t="s">
        <v>5200</v>
      </c>
      <c r="D1817" t="b">
        <f>IFERROR(VLOOKUP(B1817,PatData!$A$2:$A$2000,1,),"")&lt;&gt;""</f>
        <v>0</v>
      </c>
      <c r="E1817">
        <v>0</v>
      </c>
      <c r="F1817" t="b">
        <v>0</v>
      </c>
      <c r="G1817" t="b">
        <v>0</v>
      </c>
      <c r="H1817" t="b">
        <v>0</v>
      </c>
      <c r="I1817" t="b">
        <v>0</v>
      </c>
    </row>
    <row r="1818" spans="1:9" x14ac:dyDescent="0.2">
      <c r="A1818" t="s">
        <v>4466</v>
      </c>
      <c r="B1818" t="s">
        <v>5201</v>
      </c>
      <c r="D1818" t="b">
        <f>IFERROR(VLOOKUP(B1818,PatData!$A$2:$A$2000,1,),"")&lt;&gt;""</f>
        <v>0</v>
      </c>
      <c r="E1818">
        <v>0</v>
      </c>
      <c r="F1818" t="b">
        <v>0</v>
      </c>
      <c r="G1818" t="b">
        <v>0</v>
      </c>
      <c r="H1818" t="b">
        <v>0</v>
      </c>
      <c r="I1818" t="b">
        <v>0</v>
      </c>
    </row>
    <row r="1819" spans="1:9" x14ac:dyDescent="0.2">
      <c r="A1819" t="s">
        <v>4467</v>
      </c>
      <c r="B1819" t="s">
        <v>5202</v>
      </c>
      <c r="D1819" t="b">
        <f>IFERROR(VLOOKUP(B1819,PatData!$A$2:$A$2000,1,),"")&lt;&gt;""</f>
        <v>0</v>
      </c>
      <c r="E1819">
        <v>0</v>
      </c>
      <c r="F1819" t="b">
        <v>0</v>
      </c>
      <c r="G1819" t="b">
        <v>0</v>
      </c>
      <c r="H1819" t="b">
        <v>0</v>
      </c>
      <c r="I1819" t="b">
        <v>0</v>
      </c>
    </row>
    <row r="1820" spans="1:9" x14ac:dyDescent="0.2">
      <c r="A1820" t="s">
        <v>4468</v>
      </c>
      <c r="B1820" t="s">
        <v>5203</v>
      </c>
      <c r="D1820" t="b">
        <f>IFERROR(VLOOKUP(B1820,PatData!$A$2:$A$2000,1,),"")&lt;&gt;""</f>
        <v>0</v>
      </c>
      <c r="E1820">
        <v>0</v>
      </c>
      <c r="F1820" t="b">
        <v>0</v>
      </c>
      <c r="G1820" t="b">
        <v>0</v>
      </c>
      <c r="H1820" t="b">
        <v>0</v>
      </c>
      <c r="I1820" t="b">
        <v>0</v>
      </c>
    </row>
    <row r="1821" spans="1:9" x14ac:dyDescent="0.2">
      <c r="A1821" t="s">
        <v>4469</v>
      </c>
      <c r="B1821" t="s">
        <v>5204</v>
      </c>
      <c r="D1821" t="b">
        <f>IFERROR(VLOOKUP(B1821,PatData!$A$2:$A$2000,1,),"")&lt;&gt;""</f>
        <v>0</v>
      </c>
      <c r="E1821">
        <v>0</v>
      </c>
      <c r="F1821" t="b">
        <v>0</v>
      </c>
      <c r="G1821" t="b">
        <v>0</v>
      </c>
      <c r="H1821" t="b">
        <v>0</v>
      </c>
      <c r="I1821" t="b">
        <v>0</v>
      </c>
    </row>
    <row r="1822" spans="1:9" x14ac:dyDescent="0.2">
      <c r="A1822" t="s">
        <v>4470</v>
      </c>
      <c r="B1822" t="s">
        <v>5205</v>
      </c>
      <c r="D1822" t="b">
        <f>IFERROR(VLOOKUP(B1822,PatData!$A$2:$A$2000,1,),"")&lt;&gt;""</f>
        <v>0</v>
      </c>
      <c r="E1822">
        <v>0</v>
      </c>
      <c r="F1822" t="b">
        <v>0</v>
      </c>
      <c r="G1822" t="b">
        <v>0</v>
      </c>
      <c r="H1822" t="b">
        <v>0</v>
      </c>
      <c r="I1822" t="b">
        <v>0</v>
      </c>
    </row>
    <row r="1823" spans="1:9" x14ac:dyDescent="0.2">
      <c r="A1823" t="s">
        <v>4471</v>
      </c>
      <c r="B1823" t="s">
        <v>5206</v>
      </c>
      <c r="D1823" t="b">
        <f>IFERROR(VLOOKUP(B1823,PatData!$A$2:$A$2000,1,),"")&lt;&gt;""</f>
        <v>0</v>
      </c>
      <c r="E1823">
        <v>0</v>
      </c>
      <c r="F1823" t="b">
        <v>0</v>
      </c>
      <c r="G1823" t="b">
        <v>0</v>
      </c>
      <c r="H1823" t="b">
        <v>0</v>
      </c>
      <c r="I1823" t="b">
        <v>0</v>
      </c>
    </row>
    <row r="1824" spans="1:9" x14ac:dyDescent="0.2">
      <c r="A1824" t="s">
        <v>4472</v>
      </c>
      <c r="B1824" t="s">
        <v>5207</v>
      </c>
      <c r="D1824" t="b">
        <f>IFERROR(VLOOKUP(B1824,PatData!$A$2:$A$2000,1,),"")&lt;&gt;""</f>
        <v>0</v>
      </c>
      <c r="F1824" t="b">
        <v>0</v>
      </c>
      <c r="G1824" t="b">
        <v>0</v>
      </c>
      <c r="H1824" t="b">
        <v>0</v>
      </c>
      <c r="I1824" t="b">
        <v>0</v>
      </c>
    </row>
    <row r="1825" spans="1:9" x14ac:dyDescent="0.2">
      <c r="A1825" t="s">
        <v>4473</v>
      </c>
      <c r="B1825" t="s">
        <v>5208</v>
      </c>
      <c r="D1825" t="b">
        <f>IFERROR(VLOOKUP(B1825,PatData!$A$2:$A$2000,1,),"")&lt;&gt;""</f>
        <v>0</v>
      </c>
      <c r="F1825" t="b">
        <v>0</v>
      </c>
      <c r="G1825" t="b">
        <v>0</v>
      </c>
      <c r="H1825" t="b">
        <v>0</v>
      </c>
      <c r="I1825" t="b">
        <v>0</v>
      </c>
    </row>
    <row r="1826" spans="1:9" x14ac:dyDescent="0.2">
      <c r="A1826" t="s">
        <v>4474</v>
      </c>
      <c r="B1826" t="s">
        <v>5209</v>
      </c>
      <c r="D1826" t="b">
        <f>IFERROR(VLOOKUP(B1826,PatData!$A$2:$A$2000,1,),"")&lt;&gt;""</f>
        <v>0</v>
      </c>
      <c r="E1826">
        <v>5000</v>
      </c>
      <c r="F1826" t="b">
        <v>0</v>
      </c>
      <c r="G1826" t="b">
        <v>0</v>
      </c>
      <c r="H1826" t="b">
        <v>0</v>
      </c>
      <c r="I1826" t="b">
        <v>0</v>
      </c>
    </row>
    <row r="1827" spans="1:9" x14ac:dyDescent="0.2">
      <c r="A1827" t="s">
        <v>4475</v>
      </c>
      <c r="B1827" t="s">
        <v>5210</v>
      </c>
      <c r="D1827" t="b">
        <f>IFERROR(VLOOKUP(B1827,PatData!$A$2:$A$2000,1,),"")&lt;&gt;""</f>
        <v>0</v>
      </c>
      <c r="E1827">
        <v>5000</v>
      </c>
      <c r="F1827" t="b">
        <v>0</v>
      </c>
      <c r="G1827" t="b">
        <v>0</v>
      </c>
      <c r="H1827" t="b">
        <v>0</v>
      </c>
      <c r="I1827" t="b">
        <v>0</v>
      </c>
    </row>
    <row r="1828" spans="1:9" x14ac:dyDescent="0.2">
      <c r="A1828" t="s">
        <v>4476</v>
      </c>
      <c r="B1828" t="s">
        <v>5211</v>
      </c>
      <c r="D1828" t="b">
        <f>IFERROR(VLOOKUP(B1828,PatData!$A$2:$A$2000,1,),"")&lt;&gt;""</f>
        <v>0</v>
      </c>
      <c r="E1828">
        <v>0</v>
      </c>
      <c r="F1828" t="b">
        <v>0</v>
      </c>
      <c r="G1828" t="b">
        <v>0</v>
      </c>
      <c r="H1828" t="b">
        <v>0</v>
      </c>
      <c r="I1828" t="b">
        <v>0</v>
      </c>
    </row>
    <row r="1829" spans="1:9" x14ac:dyDescent="0.2">
      <c r="A1829" t="s">
        <v>4477</v>
      </c>
      <c r="B1829" t="s">
        <v>5212</v>
      </c>
      <c r="D1829" t="b">
        <f>IFERROR(VLOOKUP(B1829,PatData!$A$2:$A$2000,1,),"")&lt;&gt;""</f>
        <v>0</v>
      </c>
      <c r="E1829">
        <v>0</v>
      </c>
      <c r="F1829" t="b">
        <v>0</v>
      </c>
      <c r="G1829" t="b">
        <v>0</v>
      </c>
      <c r="H1829" t="b">
        <v>0</v>
      </c>
      <c r="I1829" t="b">
        <v>0</v>
      </c>
    </row>
    <row r="1830" spans="1:9" x14ac:dyDescent="0.2">
      <c r="A1830" t="s">
        <v>4478</v>
      </c>
      <c r="B1830" t="s">
        <v>5213</v>
      </c>
      <c r="D1830" t="b">
        <f>IFERROR(VLOOKUP(B1830,PatData!$A$2:$A$2000,1,),"")&lt;&gt;""</f>
        <v>0</v>
      </c>
      <c r="E1830">
        <v>0</v>
      </c>
      <c r="F1830" t="b">
        <v>0</v>
      </c>
      <c r="G1830" t="b">
        <v>0</v>
      </c>
      <c r="H1830" t="b">
        <v>0</v>
      </c>
      <c r="I1830" t="b">
        <v>0</v>
      </c>
    </row>
    <row r="1831" spans="1:9" x14ac:dyDescent="0.2">
      <c r="A1831" t="s">
        <v>4479</v>
      </c>
      <c r="B1831" t="s">
        <v>5214</v>
      </c>
      <c r="D1831" t="b">
        <f>IFERROR(VLOOKUP(B1831,PatData!$A$2:$A$2000,1,),"")&lt;&gt;""</f>
        <v>0</v>
      </c>
      <c r="E1831">
        <v>0</v>
      </c>
      <c r="F1831" t="b">
        <v>0</v>
      </c>
      <c r="G1831" t="b">
        <v>0</v>
      </c>
      <c r="H1831" t="b">
        <v>0</v>
      </c>
      <c r="I1831" t="b">
        <v>0</v>
      </c>
    </row>
    <row r="1832" spans="1:9" x14ac:dyDescent="0.2">
      <c r="A1832" t="s">
        <v>4480</v>
      </c>
      <c r="B1832" t="s">
        <v>5215</v>
      </c>
      <c r="D1832" t="b">
        <f>IFERROR(VLOOKUP(B1832,PatData!$A$2:$A$2000,1,),"")&lt;&gt;""</f>
        <v>0</v>
      </c>
      <c r="E1832">
        <v>0</v>
      </c>
      <c r="F1832" t="b">
        <v>0</v>
      </c>
      <c r="G1832" t="b">
        <v>0</v>
      </c>
      <c r="H1832" t="b">
        <v>0</v>
      </c>
      <c r="I1832" t="b">
        <v>0</v>
      </c>
    </row>
    <row r="1833" spans="1:9" x14ac:dyDescent="0.2">
      <c r="A1833" t="s">
        <v>4481</v>
      </c>
      <c r="B1833" t="s">
        <v>5216</v>
      </c>
      <c r="D1833" t="b">
        <f>IFERROR(VLOOKUP(B1833,PatData!$A$2:$A$2000,1,),"")&lt;&gt;""</f>
        <v>0</v>
      </c>
      <c r="E1833">
        <v>0</v>
      </c>
      <c r="F1833" t="b">
        <v>0</v>
      </c>
      <c r="G1833" t="b">
        <v>0</v>
      </c>
      <c r="H1833" t="b">
        <v>0</v>
      </c>
      <c r="I1833" t="b">
        <v>0</v>
      </c>
    </row>
    <row r="1834" spans="1:9" x14ac:dyDescent="0.2">
      <c r="A1834" t="s">
        <v>4482</v>
      </c>
      <c r="B1834" t="s">
        <v>5217</v>
      </c>
      <c r="D1834" t="b">
        <f>IFERROR(VLOOKUP(B1834,PatData!$A$2:$A$2000,1,),"")&lt;&gt;""</f>
        <v>0</v>
      </c>
      <c r="E1834">
        <v>0</v>
      </c>
      <c r="F1834" t="b">
        <v>0</v>
      </c>
      <c r="G1834" t="b">
        <v>0</v>
      </c>
      <c r="H1834" t="b">
        <v>0</v>
      </c>
      <c r="I1834" t="b">
        <v>0</v>
      </c>
    </row>
    <row r="1835" spans="1:9" x14ac:dyDescent="0.2">
      <c r="A1835" t="s">
        <v>4483</v>
      </c>
      <c r="B1835" t="s">
        <v>5218</v>
      </c>
      <c r="D1835" t="b">
        <f>IFERROR(VLOOKUP(B1835,PatData!$A$2:$A$2000,1,),"")&lt;&gt;""</f>
        <v>0</v>
      </c>
      <c r="E1835">
        <v>0</v>
      </c>
      <c r="F1835" t="b">
        <v>0</v>
      </c>
      <c r="G1835" t="b">
        <v>0</v>
      </c>
      <c r="H1835" t="b">
        <v>0</v>
      </c>
      <c r="I1835" t="b">
        <v>0</v>
      </c>
    </row>
    <row r="1836" spans="1:9" x14ac:dyDescent="0.2">
      <c r="A1836" t="s">
        <v>4484</v>
      </c>
      <c r="B1836" t="s">
        <v>5219</v>
      </c>
      <c r="D1836" t="b">
        <f>IFERROR(VLOOKUP(B1836,PatData!$A$2:$A$2000,1,),"")&lt;&gt;""</f>
        <v>0</v>
      </c>
      <c r="E1836">
        <v>0</v>
      </c>
      <c r="F1836" t="b">
        <v>0</v>
      </c>
      <c r="G1836" t="b">
        <v>0</v>
      </c>
      <c r="H1836" t="b">
        <v>0</v>
      </c>
      <c r="I1836" t="b">
        <v>0</v>
      </c>
    </row>
    <row r="1837" spans="1:9" x14ac:dyDescent="0.2">
      <c r="A1837" t="s">
        <v>4485</v>
      </c>
      <c r="B1837" t="s">
        <v>5220</v>
      </c>
      <c r="D1837" t="b">
        <f>IFERROR(VLOOKUP(B1837,PatData!$A$2:$A$2000,1,),"")&lt;&gt;""</f>
        <v>0</v>
      </c>
      <c r="E1837">
        <v>1</v>
      </c>
      <c r="F1837" t="b">
        <v>0</v>
      </c>
      <c r="G1837" t="b">
        <v>0</v>
      </c>
      <c r="H1837" t="b">
        <v>0</v>
      </c>
      <c r="I1837" t="b">
        <v>0</v>
      </c>
    </row>
    <row r="1838" spans="1:9" x14ac:dyDescent="0.2">
      <c r="A1838" t="s">
        <v>4486</v>
      </c>
      <c r="B1838" t="s">
        <v>5221</v>
      </c>
      <c r="D1838" t="b">
        <f>IFERROR(VLOOKUP(B1838,PatData!$A$2:$A$2000,1,),"")&lt;&gt;""</f>
        <v>0</v>
      </c>
      <c r="E1838">
        <v>1</v>
      </c>
      <c r="F1838" t="b">
        <v>0</v>
      </c>
      <c r="G1838" t="b">
        <v>0</v>
      </c>
      <c r="H1838" t="b">
        <v>0</v>
      </c>
      <c r="I1838" t="b">
        <v>0</v>
      </c>
    </row>
    <row r="1839" spans="1:9" x14ac:dyDescent="0.2">
      <c r="A1839" t="s">
        <v>4487</v>
      </c>
      <c r="B1839" t="s">
        <v>5222</v>
      </c>
      <c r="D1839" t="b">
        <f>IFERROR(VLOOKUP(B1839,PatData!$A$2:$A$2000,1,),"")&lt;&gt;""</f>
        <v>0</v>
      </c>
      <c r="E1839">
        <v>1</v>
      </c>
      <c r="F1839" t="b">
        <v>0</v>
      </c>
      <c r="G1839" t="b">
        <v>0</v>
      </c>
      <c r="H1839" t="b">
        <v>0</v>
      </c>
      <c r="I1839" t="b">
        <v>0</v>
      </c>
    </row>
    <row r="1840" spans="1:9" x14ac:dyDescent="0.2">
      <c r="A1840" t="s">
        <v>4488</v>
      </c>
      <c r="B1840" t="s">
        <v>5223</v>
      </c>
      <c r="D1840" t="b">
        <f>IFERROR(VLOOKUP(B1840,PatData!$A$2:$A$2000,1,),"")&lt;&gt;""</f>
        <v>0</v>
      </c>
      <c r="E1840">
        <v>1</v>
      </c>
      <c r="F1840" t="b">
        <v>0</v>
      </c>
      <c r="G1840" t="b">
        <v>0</v>
      </c>
      <c r="H1840" t="b">
        <v>0</v>
      </c>
      <c r="I1840" t="b">
        <v>0</v>
      </c>
    </row>
    <row r="1841" spans="1:9" x14ac:dyDescent="0.2">
      <c r="A1841" t="s">
        <v>4489</v>
      </c>
      <c r="B1841" t="s">
        <v>5224</v>
      </c>
      <c r="D1841" t="b">
        <f>IFERROR(VLOOKUP(B1841,PatData!$A$2:$A$2000,1,),"")&lt;&gt;""</f>
        <v>0</v>
      </c>
      <c r="E1841">
        <v>1</v>
      </c>
      <c r="F1841" t="b">
        <v>0</v>
      </c>
      <c r="G1841" t="b">
        <v>0</v>
      </c>
      <c r="H1841" t="b">
        <v>0</v>
      </c>
      <c r="I1841" t="b">
        <v>0</v>
      </c>
    </row>
    <row r="1842" spans="1:9" x14ac:dyDescent="0.2">
      <c r="A1842" t="s">
        <v>4490</v>
      </c>
      <c r="B1842" t="s">
        <v>5225</v>
      </c>
      <c r="D1842" t="b">
        <f>IFERROR(VLOOKUP(B1842,PatData!$A$2:$A$2000,1,),"")&lt;&gt;""</f>
        <v>0</v>
      </c>
      <c r="E1842">
        <v>1</v>
      </c>
      <c r="F1842" t="b">
        <v>0</v>
      </c>
      <c r="G1842" t="b">
        <v>0</v>
      </c>
      <c r="H1842" t="b">
        <v>0</v>
      </c>
      <c r="I1842" t="b">
        <v>0</v>
      </c>
    </row>
    <row r="1843" spans="1:9" x14ac:dyDescent="0.2">
      <c r="A1843" t="s">
        <v>4491</v>
      </c>
      <c r="B1843" t="s">
        <v>5226</v>
      </c>
      <c r="D1843" t="b">
        <f>IFERROR(VLOOKUP(B1843,PatData!$A$2:$A$2000,1,),"")&lt;&gt;""</f>
        <v>0</v>
      </c>
      <c r="E1843">
        <v>1</v>
      </c>
      <c r="F1843" t="b">
        <v>0</v>
      </c>
      <c r="G1843" t="b">
        <v>0</v>
      </c>
      <c r="H1843" t="b">
        <v>0</v>
      </c>
      <c r="I1843" t="b">
        <v>0</v>
      </c>
    </row>
    <row r="1844" spans="1:9" x14ac:dyDescent="0.2">
      <c r="A1844" t="s">
        <v>4492</v>
      </c>
      <c r="B1844" t="s">
        <v>5227</v>
      </c>
      <c r="D1844" t="b">
        <f>IFERROR(VLOOKUP(B1844,PatData!$A$2:$A$2000,1,),"")&lt;&gt;""</f>
        <v>0</v>
      </c>
      <c r="E1844">
        <v>1</v>
      </c>
      <c r="F1844" t="b">
        <v>0</v>
      </c>
      <c r="G1844" t="b">
        <v>0</v>
      </c>
      <c r="H1844" t="b">
        <v>0</v>
      </c>
      <c r="I1844" t="b">
        <v>0</v>
      </c>
    </row>
    <row r="1845" spans="1:9" x14ac:dyDescent="0.2">
      <c r="A1845" t="s">
        <v>4493</v>
      </c>
      <c r="B1845" t="s">
        <v>5228</v>
      </c>
      <c r="D1845" t="b">
        <f>IFERROR(VLOOKUP(B1845,PatData!$A$2:$A$2000,1,),"")&lt;&gt;""</f>
        <v>0</v>
      </c>
      <c r="E1845">
        <v>1</v>
      </c>
      <c r="F1845" t="b">
        <v>0</v>
      </c>
      <c r="G1845" t="b">
        <v>0</v>
      </c>
      <c r="H1845" t="b">
        <v>0</v>
      </c>
      <c r="I1845" t="b">
        <v>0</v>
      </c>
    </row>
    <row r="1846" spans="1:9" x14ac:dyDescent="0.2">
      <c r="A1846" t="s">
        <v>4494</v>
      </c>
      <c r="B1846" t="s">
        <v>5229</v>
      </c>
      <c r="D1846" t="b">
        <f>IFERROR(VLOOKUP(B1846,PatData!$A$2:$A$2000,1,),"")&lt;&gt;""</f>
        <v>0</v>
      </c>
      <c r="E1846">
        <v>0</v>
      </c>
      <c r="F1846" t="b">
        <v>0</v>
      </c>
      <c r="G1846" t="b">
        <v>0</v>
      </c>
      <c r="H1846" t="b">
        <v>0</v>
      </c>
      <c r="I1846" t="b">
        <v>0</v>
      </c>
    </row>
    <row r="1847" spans="1:9" x14ac:dyDescent="0.2">
      <c r="A1847" t="s">
        <v>4495</v>
      </c>
      <c r="B1847" t="s">
        <v>5230</v>
      </c>
      <c r="D1847" t="b">
        <f>IFERROR(VLOOKUP(B1847,PatData!$A$2:$A$2000,1,),"")&lt;&gt;""</f>
        <v>0</v>
      </c>
      <c r="E1847">
        <v>0</v>
      </c>
      <c r="F1847" t="b">
        <v>0</v>
      </c>
      <c r="G1847" t="b">
        <v>0</v>
      </c>
      <c r="H1847" t="b">
        <v>0</v>
      </c>
      <c r="I1847" t="b">
        <v>0</v>
      </c>
    </row>
    <row r="1848" spans="1:9" x14ac:dyDescent="0.2">
      <c r="A1848" t="s">
        <v>4496</v>
      </c>
      <c r="B1848" t="s">
        <v>5231</v>
      </c>
      <c r="D1848" t="b">
        <f>IFERROR(VLOOKUP(B1848,PatData!$A$2:$A$2000,1,),"")&lt;&gt;""</f>
        <v>0</v>
      </c>
      <c r="E1848">
        <v>0</v>
      </c>
      <c r="F1848" t="b">
        <v>0</v>
      </c>
      <c r="G1848" t="b">
        <v>0</v>
      </c>
      <c r="H1848" t="b">
        <v>0</v>
      </c>
      <c r="I1848" t="b">
        <v>0</v>
      </c>
    </row>
    <row r="1849" spans="1:9" x14ac:dyDescent="0.2">
      <c r="A1849" t="s">
        <v>4497</v>
      </c>
      <c r="B1849" t="s">
        <v>5232</v>
      </c>
      <c r="D1849" t="b">
        <f>IFERROR(VLOOKUP(B1849,PatData!$A$2:$A$2000,1,),"")&lt;&gt;""</f>
        <v>0</v>
      </c>
      <c r="E1849" t="b">
        <v>0</v>
      </c>
      <c r="F1849" t="b">
        <v>0</v>
      </c>
      <c r="G1849" t="b">
        <v>0</v>
      </c>
      <c r="H1849" t="b">
        <v>0</v>
      </c>
      <c r="I1849" t="b">
        <v>0</v>
      </c>
    </row>
    <row r="1850" spans="1:9" x14ac:dyDescent="0.2">
      <c r="A1850" t="s">
        <v>4498</v>
      </c>
      <c r="B1850" t="s">
        <v>5233</v>
      </c>
      <c r="D1850" t="b">
        <f>IFERROR(VLOOKUP(B1850,PatData!$A$2:$A$2000,1,),"")&lt;&gt;""</f>
        <v>0</v>
      </c>
      <c r="E1850">
        <v>1</v>
      </c>
      <c r="F1850" t="b">
        <v>0</v>
      </c>
      <c r="G1850" t="b">
        <v>0</v>
      </c>
      <c r="H1850" t="b">
        <v>0</v>
      </c>
      <c r="I1850" t="b">
        <v>0</v>
      </c>
    </row>
    <row r="1851" spans="1:9" x14ac:dyDescent="0.2">
      <c r="A1851" t="s">
        <v>4499</v>
      </c>
      <c r="B1851" t="s">
        <v>5234</v>
      </c>
      <c r="D1851" t="b">
        <f>IFERROR(VLOOKUP(B1851,PatData!$A$2:$A$2000,1,),"")&lt;&gt;""</f>
        <v>0</v>
      </c>
      <c r="E1851">
        <v>1</v>
      </c>
      <c r="F1851" t="b">
        <v>0</v>
      </c>
      <c r="G1851" t="b">
        <v>0</v>
      </c>
      <c r="H1851" t="b">
        <v>0</v>
      </c>
      <c r="I1851" t="b">
        <v>0</v>
      </c>
    </row>
    <row r="1852" spans="1:9" x14ac:dyDescent="0.2">
      <c r="A1852" t="s">
        <v>4500</v>
      </c>
      <c r="B1852" t="s">
        <v>5235</v>
      </c>
      <c r="D1852" t="b">
        <f>IFERROR(VLOOKUP(B1852,PatData!$A$2:$A$2000,1,),"")&lt;&gt;""</f>
        <v>0</v>
      </c>
      <c r="E1852">
        <v>1</v>
      </c>
      <c r="F1852" t="b">
        <v>0</v>
      </c>
      <c r="G1852" t="b">
        <v>0</v>
      </c>
      <c r="H1852" t="b">
        <v>0</v>
      </c>
      <c r="I1852" t="b">
        <v>0</v>
      </c>
    </row>
    <row r="1853" spans="1:9" x14ac:dyDescent="0.2">
      <c r="A1853" t="s">
        <v>4501</v>
      </c>
      <c r="B1853" t="s">
        <v>5236</v>
      </c>
      <c r="D1853" t="b">
        <f>IFERROR(VLOOKUP(B1853,PatData!$A$2:$A$2000,1,),"")&lt;&gt;""</f>
        <v>0</v>
      </c>
      <c r="E1853">
        <v>1</v>
      </c>
      <c r="F1853" t="b">
        <v>0</v>
      </c>
      <c r="G1853" t="b">
        <v>0</v>
      </c>
      <c r="H1853" t="b">
        <v>0</v>
      </c>
      <c r="I1853" t="b">
        <v>0</v>
      </c>
    </row>
    <row r="1854" spans="1:9" x14ac:dyDescent="0.2">
      <c r="A1854" t="s">
        <v>4502</v>
      </c>
      <c r="B1854" t="s">
        <v>5237</v>
      </c>
      <c r="D1854" t="b">
        <f>IFERROR(VLOOKUP(B1854,PatData!$A$2:$A$2000,1,),"")&lt;&gt;""</f>
        <v>0</v>
      </c>
      <c r="E1854">
        <v>1</v>
      </c>
      <c r="F1854" t="b">
        <v>0</v>
      </c>
      <c r="G1854" t="b">
        <v>0</v>
      </c>
      <c r="H1854" t="b">
        <v>0</v>
      </c>
      <c r="I1854" t="b">
        <v>0</v>
      </c>
    </row>
    <row r="1855" spans="1:9" x14ac:dyDescent="0.2">
      <c r="A1855" t="s">
        <v>4503</v>
      </c>
      <c r="B1855" t="s">
        <v>5238</v>
      </c>
      <c r="D1855" t="b">
        <f>IFERROR(VLOOKUP(B1855,PatData!$A$2:$A$2000,1,),"")&lt;&gt;""</f>
        <v>0</v>
      </c>
      <c r="E1855">
        <v>1</v>
      </c>
      <c r="F1855" t="b">
        <v>0</v>
      </c>
      <c r="G1855" t="b">
        <v>0</v>
      </c>
      <c r="H1855" t="b">
        <v>0</v>
      </c>
      <c r="I1855" t="b">
        <v>0</v>
      </c>
    </row>
    <row r="1856" spans="1:9" x14ac:dyDescent="0.2">
      <c r="A1856" t="s">
        <v>4504</v>
      </c>
      <c r="B1856" t="s">
        <v>5239</v>
      </c>
      <c r="D1856" t="b">
        <f>IFERROR(VLOOKUP(B1856,PatData!$A$2:$A$2000,1,),"")&lt;&gt;""</f>
        <v>0</v>
      </c>
      <c r="E1856">
        <v>1</v>
      </c>
      <c r="F1856" t="b">
        <v>0</v>
      </c>
      <c r="G1856" t="b">
        <v>0</v>
      </c>
      <c r="H1856" t="b">
        <v>0</v>
      </c>
      <c r="I1856" t="b">
        <v>0</v>
      </c>
    </row>
    <row r="1857" spans="1:9" x14ac:dyDescent="0.2">
      <c r="A1857" t="s">
        <v>4505</v>
      </c>
      <c r="B1857" t="s">
        <v>5240</v>
      </c>
      <c r="D1857" t="b">
        <f>IFERROR(VLOOKUP(B1857,PatData!$A$2:$A$2000,1,),"")&lt;&gt;""</f>
        <v>0</v>
      </c>
      <c r="E1857">
        <v>1</v>
      </c>
      <c r="F1857" t="b">
        <v>0</v>
      </c>
      <c r="G1857" t="b">
        <v>0</v>
      </c>
      <c r="H1857" t="b">
        <v>0</v>
      </c>
      <c r="I1857" t="b">
        <v>0</v>
      </c>
    </row>
    <row r="1858" spans="1:9" x14ac:dyDescent="0.2">
      <c r="A1858" t="s">
        <v>4506</v>
      </c>
      <c r="B1858" t="s">
        <v>5241</v>
      </c>
      <c r="D1858" t="b">
        <f>IFERROR(VLOOKUP(B1858,PatData!$A$2:$A$2000,1,),"")&lt;&gt;""</f>
        <v>0</v>
      </c>
      <c r="E1858">
        <v>1</v>
      </c>
      <c r="F1858" t="b">
        <v>0</v>
      </c>
      <c r="G1858" t="b">
        <v>0</v>
      </c>
      <c r="H1858" t="b">
        <v>0</v>
      </c>
      <c r="I1858" t="b">
        <v>0</v>
      </c>
    </row>
    <row r="1859" spans="1:9" x14ac:dyDescent="0.2">
      <c r="A1859" t="s">
        <v>4507</v>
      </c>
      <c r="B1859" t="s">
        <v>5242</v>
      </c>
      <c r="D1859" t="b">
        <f>IFERROR(VLOOKUP(B1859,PatData!$A$2:$A$2000,1,),"")&lt;&gt;""</f>
        <v>0</v>
      </c>
      <c r="E1859">
        <v>5000</v>
      </c>
      <c r="F1859" t="b">
        <v>0</v>
      </c>
      <c r="G1859" t="b">
        <v>0</v>
      </c>
      <c r="H1859" t="b">
        <v>0</v>
      </c>
      <c r="I1859" t="b">
        <v>0</v>
      </c>
    </row>
    <row r="1860" spans="1:9" x14ac:dyDescent="0.2">
      <c r="A1860" t="s">
        <v>4508</v>
      </c>
      <c r="B1860" t="s">
        <v>5243</v>
      </c>
      <c r="D1860" t="b">
        <f>IFERROR(VLOOKUP(B1860,PatData!$A$2:$A$2000,1,),"")&lt;&gt;""</f>
        <v>0</v>
      </c>
      <c r="E1860">
        <v>5000</v>
      </c>
      <c r="F1860" t="b">
        <v>0</v>
      </c>
      <c r="G1860" t="b">
        <v>0</v>
      </c>
      <c r="H1860" t="b">
        <v>0</v>
      </c>
      <c r="I1860" t="b">
        <v>0</v>
      </c>
    </row>
    <row r="1861" spans="1:9" x14ac:dyDescent="0.2">
      <c r="A1861" t="s">
        <v>4509</v>
      </c>
      <c r="B1861" t="s">
        <v>5244</v>
      </c>
      <c r="D1861" t="b">
        <f>IFERROR(VLOOKUP(B1861,PatData!$A$2:$A$2000,1,),"")&lt;&gt;""</f>
        <v>0</v>
      </c>
      <c r="E1861">
        <v>5000</v>
      </c>
      <c r="F1861" t="b">
        <v>0</v>
      </c>
      <c r="G1861" t="b">
        <v>0</v>
      </c>
      <c r="H1861" t="b">
        <v>0</v>
      </c>
      <c r="I1861" t="b">
        <v>0</v>
      </c>
    </row>
    <row r="1862" spans="1:9" x14ac:dyDescent="0.2">
      <c r="A1862" t="s">
        <v>4510</v>
      </c>
      <c r="B1862" t="s">
        <v>5245</v>
      </c>
      <c r="D1862" t="b">
        <f>IFERROR(VLOOKUP(B1862,PatData!$A$2:$A$2000,1,),"")&lt;&gt;""</f>
        <v>0</v>
      </c>
      <c r="E1862">
        <v>0</v>
      </c>
      <c r="F1862" t="b">
        <v>0</v>
      </c>
      <c r="G1862" t="b">
        <v>0</v>
      </c>
      <c r="H1862" t="b">
        <v>0</v>
      </c>
      <c r="I1862" t="b">
        <v>0</v>
      </c>
    </row>
    <row r="1863" spans="1:9" x14ac:dyDescent="0.2">
      <c r="A1863" t="s">
        <v>4511</v>
      </c>
      <c r="B1863" t="s">
        <v>5246</v>
      </c>
      <c r="D1863" t="b">
        <f>IFERROR(VLOOKUP(B1863,PatData!$A$2:$A$2000,1,),"")&lt;&gt;""</f>
        <v>0</v>
      </c>
      <c r="E1863">
        <v>0</v>
      </c>
      <c r="F1863" t="b">
        <v>0</v>
      </c>
      <c r="G1863" t="b">
        <v>0</v>
      </c>
      <c r="H1863" t="b">
        <v>0</v>
      </c>
      <c r="I1863" t="b">
        <v>0</v>
      </c>
    </row>
    <row r="1864" spans="1:9" x14ac:dyDescent="0.2">
      <c r="A1864" t="s">
        <v>4512</v>
      </c>
      <c r="B1864" t="s">
        <v>5247</v>
      </c>
      <c r="D1864" t="b">
        <f>IFERROR(VLOOKUP(B1864,PatData!$A$2:$A$2000,1,),"")&lt;&gt;""</f>
        <v>0</v>
      </c>
      <c r="E1864">
        <v>0</v>
      </c>
      <c r="F1864" t="b">
        <v>0</v>
      </c>
      <c r="G1864" t="b">
        <v>0</v>
      </c>
      <c r="H1864" t="b">
        <v>0</v>
      </c>
      <c r="I1864" t="b">
        <v>0</v>
      </c>
    </row>
    <row r="1865" spans="1:9" x14ac:dyDescent="0.2">
      <c r="A1865" t="s">
        <v>4513</v>
      </c>
      <c r="B1865" t="s">
        <v>5248</v>
      </c>
      <c r="D1865" t="b">
        <f>IFERROR(VLOOKUP(B1865,PatData!$A$2:$A$2000,1,),"")&lt;&gt;""</f>
        <v>0</v>
      </c>
      <c r="E1865">
        <v>0</v>
      </c>
      <c r="F1865" t="b">
        <v>0</v>
      </c>
      <c r="G1865" t="b">
        <v>0</v>
      </c>
      <c r="H1865" t="b">
        <v>0</v>
      </c>
      <c r="I1865" t="b">
        <v>0</v>
      </c>
    </row>
    <row r="1866" spans="1:9" x14ac:dyDescent="0.2">
      <c r="A1866" t="s">
        <v>4514</v>
      </c>
      <c r="B1866" t="s">
        <v>5249</v>
      </c>
      <c r="D1866" t="b">
        <f>IFERROR(VLOOKUP(B1866,PatData!$A$2:$A$2000,1,),"")&lt;&gt;""</f>
        <v>0</v>
      </c>
      <c r="E1866">
        <v>0</v>
      </c>
      <c r="F1866" t="b">
        <v>0</v>
      </c>
      <c r="G1866" t="b">
        <v>0</v>
      </c>
      <c r="H1866" t="b">
        <v>0</v>
      </c>
      <c r="I1866" t="b">
        <v>0</v>
      </c>
    </row>
    <row r="1867" spans="1:9" x14ac:dyDescent="0.2">
      <c r="A1867" t="s">
        <v>4515</v>
      </c>
      <c r="B1867" t="s">
        <v>5250</v>
      </c>
      <c r="D1867" t="b">
        <f>IFERROR(VLOOKUP(B1867,PatData!$A$2:$A$2000,1,),"")&lt;&gt;""</f>
        <v>0</v>
      </c>
      <c r="E1867">
        <v>0</v>
      </c>
      <c r="F1867" t="b">
        <v>0</v>
      </c>
      <c r="G1867" t="b">
        <v>0</v>
      </c>
      <c r="H1867" t="b">
        <v>0</v>
      </c>
      <c r="I1867" t="b">
        <v>0</v>
      </c>
    </row>
    <row r="1868" spans="1:9" x14ac:dyDescent="0.2">
      <c r="A1868" t="s">
        <v>4516</v>
      </c>
      <c r="B1868" t="s">
        <v>5251</v>
      </c>
      <c r="D1868" t="b">
        <f>IFERROR(VLOOKUP(B1868,PatData!$A$2:$A$2000,1,),"")&lt;&gt;""</f>
        <v>0</v>
      </c>
      <c r="E1868">
        <v>0</v>
      </c>
      <c r="F1868" t="b">
        <v>0</v>
      </c>
      <c r="G1868" t="b">
        <v>0</v>
      </c>
      <c r="H1868" t="b">
        <v>0</v>
      </c>
      <c r="I1868" t="b">
        <v>0</v>
      </c>
    </row>
    <row r="1869" spans="1:9" x14ac:dyDescent="0.2">
      <c r="A1869" t="s">
        <v>4517</v>
      </c>
      <c r="B1869" t="s">
        <v>5252</v>
      </c>
      <c r="D1869" t="b">
        <f>IFERROR(VLOOKUP(B1869,PatData!$A$2:$A$2000,1,),"")&lt;&gt;""</f>
        <v>0</v>
      </c>
      <c r="E1869">
        <v>0</v>
      </c>
      <c r="F1869" t="b">
        <v>0</v>
      </c>
      <c r="G1869" t="b">
        <v>0</v>
      </c>
      <c r="H1869" t="b">
        <v>0</v>
      </c>
      <c r="I1869" t="b">
        <v>0</v>
      </c>
    </row>
    <row r="1870" spans="1:9" x14ac:dyDescent="0.2">
      <c r="A1870" t="s">
        <v>4518</v>
      </c>
      <c r="B1870" t="s">
        <v>5253</v>
      </c>
      <c r="D1870" t="b">
        <f>IFERROR(VLOOKUP(B1870,PatData!$A$2:$A$2000,1,),"")&lt;&gt;""</f>
        <v>0</v>
      </c>
      <c r="E1870">
        <v>0</v>
      </c>
      <c r="F1870" t="b">
        <v>0</v>
      </c>
      <c r="G1870" t="b">
        <v>0</v>
      </c>
      <c r="H1870" t="b">
        <v>0</v>
      </c>
      <c r="I1870" t="b">
        <v>0</v>
      </c>
    </row>
    <row r="1871" spans="1:9" x14ac:dyDescent="0.2">
      <c r="A1871" t="s">
        <v>4519</v>
      </c>
      <c r="B1871" t="s">
        <v>5254</v>
      </c>
      <c r="D1871" t="b">
        <f>IFERROR(VLOOKUP(B1871,PatData!$A$2:$A$2000,1,),"")&lt;&gt;""</f>
        <v>0</v>
      </c>
      <c r="E1871">
        <v>0</v>
      </c>
      <c r="F1871" t="b">
        <v>0</v>
      </c>
      <c r="G1871" t="b">
        <v>0</v>
      </c>
      <c r="H1871" t="b">
        <v>0</v>
      </c>
      <c r="I1871" t="b">
        <v>0</v>
      </c>
    </row>
    <row r="1872" spans="1:9" x14ac:dyDescent="0.2">
      <c r="A1872" t="s">
        <v>4520</v>
      </c>
      <c r="B1872" t="s">
        <v>5255</v>
      </c>
      <c r="D1872" t="b">
        <f>IFERROR(VLOOKUP(B1872,PatData!$A$2:$A$2000,1,),"")&lt;&gt;""</f>
        <v>0</v>
      </c>
      <c r="E1872">
        <v>0</v>
      </c>
      <c r="F1872" t="b">
        <v>0</v>
      </c>
      <c r="G1872" t="b">
        <v>0</v>
      </c>
      <c r="H1872" t="b">
        <v>0</v>
      </c>
      <c r="I1872" t="b">
        <v>0</v>
      </c>
    </row>
    <row r="1873" spans="1:9" x14ac:dyDescent="0.2">
      <c r="A1873" t="s">
        <v>4521</v>
      </c>
      <c r="B1873" t="s">
        <v>5256</v>
      </c>
      <c r="D1873" t="b">
        <f>IFERROR(VLOOKUP(B1873,PatData!$A$2:$A$2000,1,),"")&lt;&gt;""</f>
        <v>0</v>
      </c>
      <c r="E1873">
        <v>0</v>
      </c>
      <c r="F1873" t="b">
        <v>0</v>
      </c>
      <c r="G1873" t="b">
        <v>0</v>
      </c>
      <c r="H1873" t="b">
        <v>0</v>
      </c>
      <c r="I1873" t="b">
        <v>0</v>
      </c>
    </row>
    <row r="1874" spans="1:9" x14ac:dyDescent="0.2">
      <c r="A1874" t="s">
        <v>4463</v>
      </c>
      <c r="B1874" t="s">
        <v>5257</v>
      </c>
      <c r="D1874" t="b">
        <f>IFERROR(VLOOKUP(B1874,PatData!$A$2:$A$2000,1,),"")&lt;&gt;""</f>
        <v>0</v>
      </c>
      <c r="E1874">
        <v>0</v>
      </c>
      <c r="F1874" t="b">
        <v>0</v>
      </c>
      <c r="G1874" t="b">
        <v>0</v>
      </c>
      <c r="H1874" t="b">
        <v>0</v>
      </c>
      <c r="I1874" t="b">
        <v>0</v>
      </c>
    </row>
    <row r="1875" spans="1:9" x14ac:dyDescent="0.2">
      <c r="A1875" t="s">
        <v>4464</v>
      </c>
      <c r="B1875" t="s">
        <v>5258</v>
      </c>
      <c r="D1875" t="b">
        <f>IFERROR(VLOOKUP(B1875,PatData!$A$2:$A$2000,1,),"")&lt;&gt;""</f>
        <v>0</v>
      </c>
      <c r="E1875">
        <v>0</v>
      </c>
      <c r="F1875" t="b">
        <v>0</v>
      </c>
      <c r="G1875" t="b">
        <v>0</v>
      </c>
      <c r="H1875" t="b">
        <v>0</v>
      </c>
      <c r="I1875" t="b">
        <v>0</v>
      </c>
    </row>
    <row r="1876" spans="1:9" x14ac:dyDescent="0.2">
      <c r="A1876" t="s">
        <v>4465</v>
      </c>
      <c r="B1876" t="s">
        <v>5259</v>
      </c>
      <c r="D1876" t="b">
        <f>IFERROR(VLOOKUP(B1876,PatData!$A$2:$A$2000,1,),"")&lt;&gt;""</f>
        <v>0</v>
      </c>
      <c r="E1876">
        <v>0</v>
      </c>
      <c r="F1876" t="b">
        <v>0</v>
      </c>
      <c r="G1876" t="b">
        <v>0</v>
      </c>
      <c r="H1876" t="b">
        <v>0</v>
      </c>
      <c r="I1876" t="b">
        <v>0</v>
      </c>
    </row>
    <row r="1877" spans="1:9" x14ac:dyDescent="0.2">
      <c r="A1877" t="s">
        <v>4466</v>
      </c>
      <c r="B1877" t="s">
        <v>5260</v>
      </c>
      <c r="D1877" t="b">
        <f>IFERROR(VLOOKUP(B1877,PatData!$A$2:$A$2000,1,),"")&lt;&gt;""</f>
        <v>0</v>
      </c>
      <c r="E1877">
        <v>0</v>
      </c>
      <c r="F1877" t="b">
        <v>0</v>
      </c>
      <c r="G1877" t="b">
        <v>0</v>
      </c>
      <c r="H1877" t="b">
        <v>0</v>
      </c>
      <c r="I1877" t="b">
        <v>0</v>
      </c>
    </row>
    <row r="1878" spans="1:9" x14ac:dyDescent="0.2">
      <c r="A1878" t="s">
        <v>4467</v>
      </c>
      <c r="B1878" t="s">
        <v>5261</v>
      </c>
      <c r="D1878" t="b">
        <f>IFERROR(VLOOKUP(B1878,PatData!$A$2:$A$2000,1,),"")&lt;&gt;""</f>
        <v>0</v>
      </c>
      <c r="E1878">
        <v>0</v>
      </c>
      <c r="F1878" t="b">
        <v>0</v>
      </c>
      <c r="G1878" t="b">
        <v>0</v>
      </c>
      <c r="H1878" t="b">
        <v>0</v>
      </c>
      <c r="I1878" t="b">
        <v>0</v>
      </c>
    </row>
    <row r="1879" spans="1:9" x14ac:dyDescent="0.2">
      <c r="A1879" t="s">
        <v>4468</v>
      </c>
      <c r="B1879" t="s">
        <v>5262</v>
      </c>
      <c r="D1879" t="b">
        <f>IFERROR(VLOOKUP(B1879,PatData!$A$2:$A$2000,1,),"")&lt;&gt;""</f>
        <v>0</v>
      </c>
      <c r="E1879">
        <v>0</v>
      </c>
      <c r="F1879" t="b">
        <v>0</v>
      </c>
      <c r="G1879" t="b">
        <v>0</v>
      </c>
      <c r="H1879" t="b">
        <v>0</v>
      </c>
      <c r="I1879" t="b">
        <v>0</v>
      </c>
    </row>
    <row r="1880" spans="1:9" x14ac:dyDescent="0.2">
      <c r="A1880" t="s">
        <v>4469</v>
      </c>
      <c r="B1880" t="s">
        <v>5263</v>
      </c>
      <c r="D1880" t="b">
        <f>IFERROR(VLOOKUP(B1880,PatData!$A$2:$A$2000,1,),"")&lt;&gt;""</f>
        <v>0</v>
      </c>
      <c r="E1880">
        <v>0</v>
      </c>
      <c r="F1880" t="b">
        <v>0</v>
      </c>
      <c r="G1880" t="b">
        <v>0</v>
      </c>
      <c r="H1880" t="b">
        <v>0</v>
      </c>
      <c r="I1880" t="b">
        <v>0</v>
      </c>
    </row>
    <row r="1881" spans="1:9" x14ac:dyDescent="0.2">
      <c r="A1881" t="s">
        <v>4470</v>
      </c>
      <c r="B1881" t="s">
        <v>5264</v>
      </c>
      <c r="D1881" t="b">
        <f>IFERROR(VLOOKUP(B1881,PatData!$A$2:$A$2000,1,),"")&lt;&gt;""</f>
        <v>0</v>
      </c>
      <c r="E1881">
        <v>0</v>
      </c>
      <c r="F1881" t="b">
        <v>0</v>
      </c>
      <c r="G1881" t="b">
        <v>0</v>
      </c>
      <c r="H1881" t="b">
        <v>0</v>
      </c>
      <c r="I1881" t="b">
        <v>0</v>
      </c>
    </row>
    <row r="1882" spans="1:9" x14ac:dyDescent="0.2">
      <c r="A1882" t="s">
        <v>4471</v>
      </c>
      <c r="B1882" t="s">
        <v>5265</v>
      </c>
      <c r="D1882" t="b">
        <f>IFERROR(VLOOKUP(B1882,PatData!$A$2:$A$2000,1,),"")&lt;&gt;""</f>
        <v>0</v>
      </c>
      <c r="E1882">
        <v>0</v>
      </c>
      <c r="F1882" t="b">
        <v>0</v>
      </c>
      <c r="G1882" t="b">
        <v>0</v>
      </c>
      <c r="H1882" t="b">
        <v>0</v>
      </c>
      <c r="I1882" t="b">
        <v>0</v>
      </c>
    </row>
    <row r="1883" spans="1:9" x14ac:dyDescent="0.2">
      <c r="A1883" t="s">
        <v>4522</v>
      </c>
      <c r="B1883" t="s">
        <v>5266</v>
      </c>
      <c r="D1883" t="b">
        <f>IFERROR(VLOOKUP(B1883,PatData!$A$2:$A$2000,1,),"")&lt;&gt;""</f>
        <v>0</v>
      </c>
      <c r="E1883" t="s">
        <v>675</v>
      </c>
      <c r="F1883" t="b">
        <v>0</v>
      </c>
      <c r="G1883" t="b">
        <v>0</v>
      </c>
      <c r="H1883" t="b">
        <v>0</v>
      </c>
      <c r="I1883" t="b">
        <v>0</v>
      </c>
    </row>
    <row r="1884" spans="1:9" x14ac:dyDescent="0.2">
      <c r="A1884" t="s">
        <v>4523</v>
      </c>
      <c r="B1884" t="s">
        <v>5267</v>
      </c>
      <c r="D1884" t="b">
        <f>IFERROR(VLOOKUP(B1884,PatData!$A$2:$A$2000,1,),"")&lt;&gt;""</f>
        <v>0</v>
      </c>
      <c r="E1884">
        <v>1</v>
      </c>
      <c r="F1884" t="b">
        <v>0</v>
      </c>
      <c r="G1884" t="b">
        <v>0</v>
      </c>
      <c r="H1884" t="b">
        <v>0</v>
      </c>
      <c r="I1884" t="b">
        <v>0</v>
      </c>
    </row>
    <row r="1885" spans="1:9" x14ac:dyDescent="0.2">
      <c r="A1885" t="s">
        <v>4524</v>
      </c>
      <c r="B1885" t="s">
        <v>5268</v>
      </c>
      <c r="D1885" t="b">
        <f>IFERROR(VLOOKUP(B1885,PatData!$A$2:$A$2000,1,),"")&lt;&gt;""</f>
        <v>0</v>
      </c>
      <c r="E1885">
        <v>1</v>
      </c>
      <c r="F1885" t="b">
        <v>0</v>
      </c>
      <c r="G1885" t="b">
        <v>0</v>
      </c>
      <c r="H1885" t="b">
        <v>0</v>
      </c>
      <c r="I1885" t="b">
        <v>0</v>
      </c>
    </row>
    <row r="1886" spans="1:9" x14ac:dyDescent="0.2">
      <c r="A1886" t="s">
        <v>4525</v>
      </c>
      <c r="B1886" t="s">
        <v>5269</v>
      </c>
      <c r="D1886" t="b">
        <f>IFERROR(VLOOKUP(B1886,PatData!$A$2:$A$2000,1,),"")&lt;&gt;""</f>
        <v>0</v>
      </c>
      <c r="E1886">
        <v>1</v>
      </c>
      <c r="F1886" t="b">
        <v>0</v>
      </c>
      <c r="G1886" t="b">
        <v>0</v>
      </c>
      <c r="H1886" t="b">
        <v>0</v>
      </c>
      <c r="I1886" t="b">
        <v>0</v>
      </c>
    </row>
    <row r="1887" spans="1:9" x14ac:dyDescent="0.2">
      <c r="A1887" t="s">
        <v>4526</v>
      </c>
      <c r="B1887" t="s">
        <v>5270</v>
      </c>
      <c r="D1887" t="b">
        <f>IFERROR(VLOOKUP(B1887,PatData!$A$2:$A$2000,1,),"")&lt;&gt;""</f>
        <v>0</v>
      </c>
      <c r="E1887">
        <v>1</v>
      </c>
      <c r="F1887" t="b">
        <v>0</v>
      </c>
      <c r="G1887" t="b">
        <v>0</v>
      </c>
      <c r="H1887" t="b">
        <v>0</v>
      </c>
      <c r="I1887" t="b">
        <v>0</v>
      </c>
    </row>
    <row r="1888" spans="1:9" x14ac:dyDescent="0.2">
      <c r="A1888" t="s">
        <v>4527</v>
      </c>
      <c r="B1888" t="s">
        <v>5271</v>
      </c>
      <c r="D1888" t="b">
        <f>IFERROR(VLOOKUP(B1888,PatData!$A$2:$A$2000,1,),"")&lt;&gt;""</f>
        <v>0</v>
      </c>
      <c r="E1888">
        <v>1</v>
      </c>
      <c r="F1888" t="b">
        <v>0</v>
      </c>
      <c r="G1888" t="b">
        <v>0</v>
      </c>
      <c r="H1888" t="b">
        <v>0</v>
      </c>
      <c r="I1888" t="b">
        <v>0</v>
      </c>
    </row>
    <row r="1889" spans="1:9" x14ac:dyDescent="0.2">
      <c r="A1889" t="s">
        <v>4528</v>
      </c>
      <c r="B1889" t="s">
        <v>5272</v>
      </c>
      <c r="D1889" t="b">
        <f>IFERROR(VLOOKUP(B1889,PatData!$A$2:$A$2000,1,),"")&lt;&gt;""</f>
        <v>0</v>
      </c>
      <c r="E1889">
        <v>1</v>
      </c>
      <c r="F1889" t="b">
        <v>0</v>
      </c>
      <c r="G1889" t="b">
        <v>0</v>
      </c>
      <c r="H1889" t="b">
        <v>0</v>
      </c>
      <c r="I1889" t="b">
        <v>0</v>
      </c>
    </row>
    <row r="1890" spans="1:9" x14ac:dyDescent="0.2">
      <c r="A1890" t="s">
        <v>4529</v>
      </c>
      <c r="B1890" t="s">
        <v>5273</v>
      </c>
      <c r="D1890" t="b">
        <f>IFERROR(VLOOKUP(B1890,PatData!$A$2:$A$2000,1,),"")&lt;&gt;""</f>
        <v>0</v>
      </c>
      <c r="E1890">
        <v>1</v>
      </c>
      <c r="F1890" t="b">
        <v>0</v>
      </c>
      <c r="G1890" t="b">
        <v>0</v>
      </c>
      <c r="H1890" t="b">
        <v>0</v>
      </c>
      <c r="I1890" t="b">
        <v>0</v>
      </c>
    </row>
    <row r="1891" spans="1:9" x14ac:dyDescent="0.2">
      <c r="A1891" t="s">
        <v>4530</v>
      </c>
      <c r="B1891" t="s">
        <v>5274</v>
      </c>
      <c r="D1891" t="b">
        <f>IFERROR(VLOOKUP(B1891,PatData!$A$2:$A$2000,1,),"")&lt;&gt;""</f>
        <v>0</v>
      </c>
      <c r="E1891">
        <v>1</v>
      </c>
      <c r="F1891" t="b">
        <v>0</v>
      </c>
      <c r="G1891" t="b">
        <v>0</v>
      </c>
      <c r="H1891" t="b">
        <v>0</v>
      </c>
      <c r="I1891" t="b">
        <v>0</v>
      </c>
    </row>
    <row r="1892" spans="1:9" x14ac:dyDescent="0.2">
      <c r="A1892" t="s">
        <v>4531</v>
      </c>
      <c r="B1892" t="s">
        <v>5275</v>
      </c>
      <c r="D1892" t="b">
        <f>IFERROR(VLOOKUP(B1892,PatData!$A$2:$A$2000,1,),"")&lt;&gt;""</f>
        <v>0</v>
      </c>
      <c r="E1892">
        <v>1</v>
      </c>
      <c r="F1892" t="b">
        <v>0</v>
      </c>
      <c r="G1892" t="b">
        <v>0</v>
      </c>
      <c r="H1892" t="b">
        <v>0</v>
      </c>
      <c r="I1892" t="b">
        <v>0</v>
      </c>
    </row>
    <row r="1893" spans="1:9" x14ac:dyDescent="0.2">
      <c r="A1893" t="s">
        <v>4532</v>
      </c>
      <c r="B1893" t="s">
        <v>5276</v>
      </c>
      <c r="D1893" t="b">
        <f>IFERROR(VLOOKUP(B1893,PatData!$A$2:$A$2000,1,),"")&lt;&gt;""</f>
        <v>0</v>
      </c>
      <c r="E1893">
        <v>5000</v>
      </c>
      <c r="F1893" t="b">
        <v>0</v>
      </c>
      <c r="G1893" t="b">
        <v>0</v>
      </c>
      <c r="H1893" t="b">
        <v>0</v>
      </c>
      <c r="I1893" t="b">
        <v>0</v>
      </c>
    </row>
    <row r="1894" spans="1:9" x14ac:dyDescent="0.2">
      <c r="A1894" t="s">
        <v>4533</v>
      </c>
      <c r="B1894" t="s">
        <v>5277</v>
      </c>
      <c r="D1894" t="b">
        <f>IFERROR(VLOOKUP(B1894,PatData!$A$2:$A$2000,1,),"")&lt;&gt;""</f>
        <v>0</v>
      </c>
      <c r="E1894">
        <v>5000</v>
      </c>
      <c r="F1894" t="b">
        <v>0</v>
      </c>
      <c r="G1894" t="b">
        <v>0</v>
      </c>
      <c r="H1894" t="b">
        <v>0</v>
      </c>
      <c r="I1894" t="b">
        <v>0</v>
      </c>
    </row>
    <row r="1895" spans="1:9" x14ac:dyDescent="0.2">
      <c r="A1895" t="s">
        <v>4534</v>
      </c>
      <c r="B1895" t="s">
        <v>5278</v>
      </c>
      <c r="D1895" t="b">
        <f>IFERROR(VLOOKUP(B1895,PatData!$A$2:$A$2000,1,),"")&lt;&gt;""</f>
        <v>0</v>
      </c>
      <c r="E1895">
        <v>2</v>
      </c>
      <c r="F1895" t="b">
        <v>0</v>
      </c>
      <c r="G1895" t="b">
        <v>0</v>
      </c>
      <c r="H1895" t="b">
        <v>0</v>
      </c>
      <c r="I1895" t="b">
        <v>0</v>
      </c>
    </row>
    <row r="1896" spans="1:9" x14ac:dyDescent="0.2">
      <c r="A1896" t="s">
        <v>4535</v>
      </c>
      <c r="B1896" t="s">
        <v>5279</v>
      </c>
      <c r="D1896" t="b">
        <f>IFERROR(VLOOKUP(B1896,PatData!$A$2:$A$2000,1,),"")&lt;&gt;""</f>
        <v>0</v>
      </c>
      <c r="E1896">
        <v>0</v>
      </c>
      <c r="F1896" t="b">
        <v>0</v>
      </c>
      <c r="G1896" t="b">
        <v>0</v>
      </c>
      <c r="H1896" t="b">
        <v>0</v>
      </c>
      <c r="I1896" t="b">
        <v>0</v>
      </c>
    </row>
    <row r="1897" spans="1:9" x14ac:dyDescent="0.2">
      <c r="A1897" t="s">
        <v>4536</v>
      </c>
      <c r="B1897" t="s">
        <v>5280</v>
      </c>
      <c r="D1897" t="b">
        <f>IFERROR(VLOOKUP(B1897,PatData!$A$2:$A$2000,1,),"")&lt;&gt;""</f>
        <v>0</v>
      </c>
      <c r="E1897">
        <v>0</v>
      </c>
      <c r="F1897" t="b">
        <v>0</v>
      </c>
      <c r="G1897" t="b">
        <v>0</v>
      </c>
      <c r="H1897" t="b">
        <v>0</v>
      </c>
      <c r="I1897" t="b">
        <v>0</v>
      </c>
    </row>
    <row r="1898" spans="1:9" x14ac:dyDescent="0.2">
      <c r="A1898" t="s">
        <v>4537</v>
      </c>
      <c r="B1898" t="s">
        <v>5281</v>
      </c>
      <c r="D1898" t="b">
        <f>IFERROR(VLOOKUP(B1898,PatData!$A$2:$A$2000,1,),"")&lt;&gt;""</f>
        <v>0</v>
      </c>
      <c r="E1898">
        <v>0</v>
      </c>
      <c r="F1898" t="b">
        <v>0</v>
      </c>
      <c r="G1898" t="b">
        <v>0</v>
      </c>
      <c r="H1898" t="b">
        <v>0</v>
      </c>
      <c r="I1898" t="b">
        <v>0</v>
      </c>
    </row>
    <row r="1899" spans="1:9" x14ac:dyDescent="0.2">
      <c r="A1899" t="s">
        <v>4538</v>
      </c>
      <c r="B1899" t="s">
        <v>5282</v>
      </c>
      <c r="D1899" t="b">
        <f>IFERROR(VLOOKUP(B1899,PatData!$A$2:$A$2000,1,),"")&lt;&gt;""</f>
        <v>0</v>
      </c>
      <c r="E1899">
        <v>0</v>
      </c>
      <c r="F1899" t="b">
        <v>0</v>
      </c>
      <c r="G1899" t="b">
        <v>0</v>
      </c>
      <c r="H1899" t="b">
        <v>0</v>
      </c>
      <c r="I1899" t="b">
        <v>0</v>
      </c>
    </row>
    <row r="1900" spans="1:9" x14ac:dyDescent="0.2">
      <c r="A1900" t="s">
        <v>4539</v>
      </c>
      <c r="B1900" t="s">
        <v>5283</v>
      </c>
      <c r="D1900" t="b">
        <f>IFERROR(VLOOKUP(B1900,PatData!$A$2:$A$2000,1,),"")&lt;&gt;""</f>
        <v>0</v>
      </c>
      <c r="E1900">
        <v>0</v>
      </c>
      <c r="F1900" t="b">
        <v>0</v>
      </c>
      <c r="G1900" t="b">
        <v>0</v>
      </c>
      <c r="H1900" t="b">
        <v>0</v>
      </c>
      <c r="I1900" t="b">
        <v>0</v>
      </c>
    </row>
    <row r="1901" spans="1:9" x14ac:dyDescent="0.2">
      <c r="A1901" t="s">
        <v>4540</v>
      </c>
      <c r="B1901" t="s">
        <v>5284</v>
      </c>
      <c r="D1901" t="b">
        <f>IFERROR(VLOOKUP(B1901,PatData!$A$2:$A$2000,1,),"")&lt;&gt;""</f>
        <v>0</v>
      </c>
      <c r="E1901">
        <v>0</v>
      </c>
      <c r="F1901" t="b">
        <v>0</v>
      </c>
      <c r="G1901" t="b">
        <v>0</v>
      </c>
      <c r="H1901" t="b">
        <v>0</v>
      </c>
      <c r="I1901" t="b">
        <v>0</v>
      </c>
    </row>
    <row r="1902" spans="1:9" x14ac:dyDescent="0.2">
      <c r="A1902" t="s">
        <v>4541</v>
      </c>
      <c r="B1902" t="s">
        <v>5285</v>
      </c>
      <c r="D1902" t="b">
        <f>IFERROR(VLOOKUP(B1902,PatData!$A$2:$A$2000,1,),"")&lt;&gt;""</f>
        <v>0</v>
      </c>
      <c r="E1902">
        <v>0</v>
      </c>
      <c r="F1902" t="b">
        <v>0</v>
      </c>
      <c r="G1902" t="b">
        <v>0</v>
      </c>
      <c r="H1902" t="b">
        <v>0</v>
      </c>
      <c r="I1902" t="b">
        <v>0</v>
      </c>
    </row>
    <row r="1903" spans="1:9" x14ac:dyDescent="0.2">
      <c r="A1903" t="s">
        <v>4542</v>
      </c>
      <c r="B1903" t="s">
        <v>5286</v>
      </c>
      <c r="D1903" t="b">
        <f>IFERROR(VLOOKUP(B1903,PatData!$A$2:$A$2000,1,),"")&lt;&gt;""</f>
        <v>0</v>
      </c>
      <c r="E1903">
        <v>0</v>
      </c>
      <c r="F1903" t="b">
        <v>0</v>
      </c>
      <c r="G1903" t="b">
        <v>0</v>
      </c>
      <c r="H1903" t="b">
        <v>0</v>
      </c>
      <c r="I1903" t="b">
        <v>0</v>
      </c>
    </row>
    <row r="1904" spans="1:9" x14ac:dyDescent="0.2">
      <c r="A1904" t="s">
        <v>4543</v>
      </c>
      <c r="B1904" t="s">
        <v>5287</v>
      </c>
      <c r="D1904" t="b">
        <f>IFERROR(VLOOKUP(B1904,PatData!$A$2:$A$2000,1,),"")&lt;&gt;""</f>
        <v>0</v>
      </c>
      <c r="E1904">
        <v>0</v>
      </c>
      <c r="F1904" t="b">
        <v>0</v>
      </c>
      <c r="G1904" t="b">
        <v>0</v>
      </c>
      <c r="H1904" t="b">
        <v>0</v>
      </c>
      <c r="I1904" t="b">
        <v>0</v>
      </c>
    </row>
    <row r="1905" spans="1:9" x14ac:dyDescent="0.2">
      <c r="A1905" t="s">
        <v>4544</v>
      </c>
      <c r="B1905" t="s">
        <v>5288</v>
      </c>
      <c r="D1905" t="b">
        <f>IFERROR(VLOOKUP(B1905,PatData!$A$2:$A$2000,1,),"")&lt;&gt;""</f>
        <v>0</v>
      </c>
      <c r="E1905" t="b">
        <v>0</v>
      </c>
      <c r="F1905" t="b">
        <v>0</v>
      </c>
      <c r="G1905" t="b">
        <v>0</v>
      </c>
      <c r="H1905" t="b">
        <v>0</v>
      </c>
      <c r="I1905" t="b">
        <v>0</v>
      </c>
    </row>
    <row r="1906" spans="1:9" x14ac:dyDescent="0.2">
      <c r="A1906" t="s">
        <v>4545</v>
      </c>
      <c r="B1906" t="s">
        <v>5289</v>
      </c>
      <c r="D1906" t="b">
        <f>IFERROR(VLOOKUP(B1906,PatData!$A$2:$A$2000,1,),"")&lt;&gt;""</f>
        <v>0</v>
      </c>
      <c r="E1906" t="b">
        <v>0</v>
      </c>
      <c r="F1906" t="b">
        <v>0</v>
      </c>
      <c r="G1906" t="b">
        <v>0</v>
      </c>
      <c r="H1906" t="b">
        <v>0</v>
      </c>
      <c r="I1906" t="b">
        <v>0</v>
      </c>
    </row>
    <row r="1907" spans="1:9" x14ac:dyDescent="0.2">
      <c r="A1907" t="s">
        <v>4546</v>
      </c>
      <c r="B1907" t="s">
        <v>5290</v>
      </c>
      <c r="D1907" t="b">
        <f>IFERROR(VLOOKUP(B1907,PatData!$A$2:$A$2000,1,),"")&lt;&gt;""</f>
        <v>0</v>
      </c>
      <c r="E1907" t="b">
        <v>0</v>
      </c>
      <c r="F1907" t="b">
        <v>0</v>
      </c>
      <c r="G1907" t="b">
        <v>0</v>
      </c>
      <c r="H1907" t="b">
        <v>0</v>
      </c>
      <c r="I1907" t="b">
        <v>0</v>
      </c>
    </row>
    <row r="1908" spans="1:9" x14ac:dyDescent="0.2">
      <c r="A1908" t="s">
        <v>4547</v>
      </c>
      <c r="B1908" t="s">
        <v>5291</v>
      </c>
      <c r="D1908" t="b">
        <f>IFERROR(VLOOKUP(B1908,PatData!$A$2:$A$2000,1,),"")&lt;&gt;""</f>
        <v>0</v>
      </c>
      <c r="E1908" t="b">
        <v>0</v>
      </c>
      <c r="F1908" t="b">
        <v>0</v>
      </c>
      <c r="G1908" t="b">
        <v>0</v>
      </c>
      <c r="H1908" t="b">
        <v>0</v>
      </c>
      <c r="I1908" t="b">
        <v>0</v>
      </c>
    </row>
    <row r="1909" spans="1:9" x14ac:dyDescent="0.2">
      <c r="A1909" t="s">
        <v>4548</v>
      </c>
      <c r="B1909" t="s">
        <v>5292</v>
      </c>
      <c r="D1909" t="b">
        <f>IFERROR(VLOOKUP(B1909,PatData!$A$2:$A$2000,1,),"")&lt;&gt;""</f>
        <v>0</v>
      </c>
      <c r="E1909">
        <v>7</v>
      </c>
      <c r="F1909" t="b">
        <v>0</v>
      </c>
      <c r="G1909" t="b">
        <v>0</v>
      </c>
      <c r="H1909" t="b">
        <v>0</v>
      </c>
      <c r="I1909" t="b">
        <v>0</v>
      </c>
    </row>
    <row r="1910" spans="1:9" x14ac:dyDescent="0.2">
      <c r="A1910" t="s">
        <v>4765</v>
      </c>
      <c r="B1910" t="s">
        <v>4766</v>
      </c>
      <c r="D1910" t="b">
        <f>IFERROR(VLOOKUP(B1910,PatData!$A$2:$A$2000,1,),"")&lt;&gt;""</f>
        <v>0</v>
      </c>
      <c r="E1910" t="s">
        <v>4767</v>
      </c>
      <c r="F1910" t="b">
        <v>1</v>
      </c>
      <c r="G1910" t="b">
        <v>0</v>
      </c>
      <c r="H1910" t="b">
        <v>0</v>
      </c>
      <c r="I1910" t="b">
        <v>0</v>
      </c>
    </row>
    <row r="1911" spans="1:9" x14ac:dyDescent="0.2">
      <c r="A1911" t="s">
        <v>4768</v>
      </c>
      <c r="B1911" t="s">
        <v>4769</v>
      </c>
      <c r="D1911" t="b">
        <f>IFERROR(VLOOKUP(B1911,PatData!$A$2:$A$2000,1,),"")&lt;&gt;""</f>
        <v>0</v>
      </c>
      <c r="E1911" t="s">
        <v>4770</v>
      </c>
      <c r="F1911" t="b">
        <v>1</v>
      </c>
      <c r="G1911" t="b">
        <v>0</v>
      </c>
      <c r="H1911" t="b">
        <v>0</v>
      </c>
      <c r="I1911" t="b">
        <v>0</v>
      </c>
    </row>
    <row r="1912" spans="1:9" x14ac:dyDescent="0.2">
      <c r="A1912" t="s">
        <v>4771</v>
      </c>
      <c r="B1912" t="s">
        <v>4772</v>
      </c>
      <c r="D1912" t="b">
        <f>IFERROR(VLOOKUP(B1912,PatData!$A$2:$A$2000,1,),"")&lt;&gt;""</f>
        <v>0</v>
      </c>
      <c r="E1912" t="s">
        <v>4773</v>
      </c>
      <c r="F1912" t="b">
        <v>1</v>
      </c>
      <c r="G1912" t="b">
        <v>0</v>
      </c>
      <c r="H1912" t="b">
        <v>0</v>
      </c>
      <c r="I1912" t="b">
        <v>0</v>
      </c>
    </row>
    <row r="1913" spans="1:9" x14ac:dyDescent="0.2">
      <c r="A1913" t="s">
        <v>4774</v>
      </c>
      <c r="B1913" t="s">
        <v>4775</v>
      </c>
      <c r="D1913" t="b">
        <f>IFERROR(VLOOKUP(B1913,PatData!$A$2:$A$2000,1,),"")&lt;&gt;""</f>
        <v>0</v>
      </c>
      <c r="E1913" t="s">
        <v>4776</v>
      </c>
      <c r="F1913" t="b">
        <v>1</v>
      </c>
      <c r="G1913" t="b">
        <v>0</v>
      </c>
      <c r="H1913" t="b">
        <v>0</v>
      </c>
      <c r="I1913" t="b">
        <v>0</v>
      </c>
    </row>
    <row r="1914" spans="1:9" x14ac:dyDescent="0.2">
      <c r="A1914" t="s">
        <v>4777</v>
      </c>
      <c r="B1914" t="s">
        <v>4778</v>
      </c>
      <c r="D1914" t="b">
        <f>IFERROR(VLOOKUP(B1914,PatData!$A$2:$A$2000,1,),"")&lt;&gt;""</f>
        <v>0</v>
      </c>
      <c r="E1914" t="s">
        <v>5293</v>
      </c>
      <c r="F1914" t="b">
        <v>1</v>
      </c>
      <c r="G1914" t="b">
        <v>0</v>
      </c>
      <c r="H1914" t="b">
        <v>0</v>
      </c>
      <c r="I1914" t="b">
        <v>0</v>
      </c>
    </row>
    <row r="1915" spans="1:9" x14ac:dyDescent="0.2">
      <c r="A1915" t="s">
        <v>4779</v>
      </c>
      <c r="B1915" t="s">
        <v>4780</v>
      </c>
      <c r="D1915" t="b">
        <f>IFERROR(VLOOKUP(B1915,PatData!$A$2:$A$2000,1,),"")&lt;&gt;""</f>
        <v>0</v>
      </c>
      <c r="E1915" t="s">
        <v>5294</v>
      </c>
      <c r="F1915" t="b">
        <v>1</v>
      </c>
      <c r="G1915" t="b">
        <v>0</v>
      </c>
      <c r="H1915" t="b">
        <v>0</v>
      </c>
      <c r="I1915" t="b">
        <v>0</v>
      </c>
    </row>
    <row r="1916" spans="1:9" x14ac:dyDescent="0.2">
      <c r="A1916" t="s">
        <v>4781</v>
      </c>
      <c r="B1916" t="s">
        <v>4782</v>
      </c>
      <c r="D1916" t="b">
        <f>IFERROR(VLOOKUP(B1916,PatData!$A$2:$A$2000,1,),"")&lt;&gt;""</f>
        <v>0</v>
      </c>
      <c r="E1916" t="s">
        <v>5295</v>
      </c>
      <c r="F1916" t="b">
        <v>1</v>
      </c>
      <c r="G1916" t="b">
        <v>0</v>
      </c>
      <c r="H1916" t="b">
        <v>0</v>
      </c>
      <c r="I1916" t="b">
        <v>0</v>
      </c>
    </row>
    <row r="1917" spans="1:9" x14ac:dyDescent="0.2">
      <c r="A1917" t="s">
        <v>4783</v>
      </c>
      <c r="B1917" t="s">
        <v>4784</v>
      </c>
      <c r="D1917" t="b">
        <f>IFERROR(VLOOKUP(B1917,PatData!$A$2:$A$2000,1,),"")&lt;&gt;""</f>
        <v>0</v>
      </c>
      <c r="E1917" t="s">
        <v>5296</v>
      </c>
      <c r="F1917" t="b">
        <v>1</v>
      </c>
      <c r="G1917" t="b">
        <v>0</v>
      </c>
      <c r="H1917" t="b">
        <v>0</v>
      </c>
      <c r="I1917" t="b">
        <v>0</v>
      </c>
    </row>
    <row r="1918" spans="1:9" x14ac:dyDescent="0.2">
      <c r="A1918" t="s">
        <v>4785</v>
      </c>
      <c r="B1918" t="s">
        <v>4786</v>
      </c>
      <c r="D1918" t="b">
        <f>IFERROR(VLOOKUP(B1918,PatData!$A$2:$A$2000,1,),"")&lt;&gt;""</f>
        <v>0</v>
      </c>
      <c r="E1918" t="s">
        <v>5297</v>
      </c>
      <c r="F1918" t="b">
        <v>1</v>
      </c>
      <c r="G1918" t="b">
        <v>0</v>
      </c>
      <c r="H1918" t="b">
        <v>0</v>
      </c>
      <c r="I1918" t="b">
        <v>0</v>
      </c>
    </row>
    <row r="1919" spans="1:9" x14ac:dyDescent="0.2">
      <c r="A1919" t="s">
        <v>4787</v>
      </c>
      <c r="B1919" t="s">
        <v>4788</v>
      </c>
      <c r="D1919" t="b">
        <f>IFERROR(VLOOKUP(B1919,PatData!$A$2:$A$2000,1,),"")&lt;&gt;""</f>
        <v>0</v>
      </c>
      <c r="E1919" t="s">
        <v>5298</v>
      </c>
      <c r="F1919" t="b">
        <v>1</v>
      </c>
      <c r="G1919" t="b">
        <v>0</v>
      </c>
      <c r="H1919" t="b">
        <v>0</v>
      </c>
      <c r="I1919" t="b">
        <v>0</v>
      </c>
    </row>
    <row r="1920" spans="1:9" x14ac:dyDescent="0.2">
      <c r="A1920" t="s">
        <v>4789</v>
      </c>
      <c r="B1920" t="s">
        <v>4790</v>
      </c>
      <c r="D1920" t="b">
        <f>IFERROR(VLOOKUP(B1920,PatData!$A$2:$A$2000,1,),"")&lt;&gt;""</f>
        <v>0</v>
      </c>
      <c r="E1920" t="s">
        <v>5299</v>
      </c>
      <c r="F1920" t="b">
        <v>1</v>
      </c>
      <c r="G1920" t="b">
        <v>0</v>
      </c>
      <c r="H1920" t="b">
        <v>0</v>
      </c>
      <c r="I1920" t="b">
        <v>0</v>
      </c>
    </row>
    <row r="1921" spans="1:9" x14ac:dyDescent="0.2">
      <c r="A1921" t="s">
        <v>4791</v>
      </c>
      <c r="B1921" t="s">
        <v>4792</v>
      </c>
      <c r="D1921" t="b">
        <f>IFERROR(VLOOKUP(B1921,PatData!$A$2:$A$2000,1,),"")&lt;&gt;""</f>
        <v>0</v>
      </c>
      <c r="E1921" t="s">
        <v>5300</v>
      </c>
      <c r="F1921" t="b">
        <v>1</v>
      </c>
      <c r="G1921" t="b">
        <v>0</v>
      </c>
      <c r="H1921" t="b">
        <v>0</v>
      </c>
      <c r="I1921" t="b">
        <v>0</v>
      </c>
    </row>
    <row r="1922" spans="1:9" x14ac:dyDescent="0.2">
      <c r="A1922" t="s">
        <v>4793</v>
      </c>
      <c r="B1922" t="s">
        <v>4794</v>
      </c>
      <c r="D1922" t="b">
        <f>IFERROR(VLOOKUP(B1922,PatData!$A$2:$A$2000,1,),"")&lt;&gt;""</f>
        <v>0</v>
      </c>
      <c r="E1922" t="s">
        <v>5301</v>
      </c>
      <c r="F1922" t="b">
        <v>1</v>
      </c>
      <c r="G1922" t="b">
        <v>0</v>
      </c>
      <c r="H1922" t="b">
        <v>0</v>
      </c>
      <c r="I1922" t="b">
        <v>0</v>
      </c>
    </row>
    <row r="1923" spans="1:9" x14ac:dyDescent="0.2">
      <c r="A1923" t="s">
        <v>4795</v>
      </c>
      <c r="B1923" t="s">
        <v>4796</v>
      </c>
      <c r="D1923" t="b">
        <f>IFERROR(VLOOKUP(B1923,PatData!$A$2:$A$2000,1,),"")&lt;&gt;""</f>
        <v>0</v>
      </c>
      <c r="E1923" t="s">
        <v>4797</v>
      </c>
      <c r="F1923" t="b">
        <v>1</v>
      </c>
      <c r="G1923" t="b">
        <v>0</v>
      </c>
      <c r="H1923" t="b">
        <v>0</v>
      </c>
      <c r="I1923" t="b">
        <v>0</v>
      </c>
    </row>
    <row r="1924" spans="1:9" x14ac:dyDescent="0.2">
      <c r="A1924" t="s">
        <v>4798</v>
      </c>
      <c r="B1924" t="s">
        <v>4799</v>
      </c>
      <c r="D1924" t="b">
        <f>IFERROR(VLOOKUP(B1924,PatData!$A$2:$A$2000,1,),"")&lt;&gt;""</f>
        <v>0</v>
      </c>
      <c r="E1924" t="s">
        <v>4800</v>
      </c>
      <c r="F1924" t="b">
        <v>1</v>
      </c>
      <c r="G1924" t="b">
        <v>0</v>
      </c>
      <c r="H1924" t="b">
        <v>0</v>
      </c>
      <c r="I1924" t="b">
        <v>0</v>
      </c>
    </row>
    <row r="1925" spans="1:9" x14ac:dyDescent="0.2">
      <c r="A1925" t="s">
        <v>4801</v>
      </c>
      <c r="B1925" t="s">
        <v>2391</v>
      </c>
      <c r="D1925" t="b">
        <f>IFERROR(VLOOKUP(B1925,PatData!$A$2:$A$2000,1,),"")&lt;&gt;""</f>
        <v>0</v>
      </c>
      <c r="E1925" t="s">
        <v>4802</v>
      </c>
      <c r="F1925" t="b">
        <v>1</v>
      </c>
      <c r="G1925" t="b">
        <v>0</v>
      </c>
      <c r="H1925" t="b">
        <v>0</v>
      </c>
      <c r="I1925" t="b">
        <v>0</v>
      </c>
    </row>
    <row r="1926" spans="1:9" x14ac:dyDescent="0.2">
      <c r="A1926" t="s">
        <v>4803</v>
      </c>
      <c r="B1926" t="s">
        <v>2392</v>
      </c>
      <c r="D1926" t="b">
        <f>IFERROR(VLOOKUP(B1926,PatData!$A$2:$A$2000,1,),"")&lt;&gt;""</f>
        <v>0</v>
      </c>
      <c r="E1926" t="s">
        <v>4804</v>
      </c>
      <c r="F1926" t="b">
        <v>1</v>
      </c>
      <c r="G1926" t="b">
        <v>0</v>
      </c>
      <c r="H1926" t="b">
        <v>0</v>
      </c>
      <c r="I1926" t="b">
        <v>0</v>
      </c>
    </row>
    <row r="1927" spans="1:9" x14ac:dyDescent="0.2">
      <c r="A1927" t="s">
        <v>4805</v>
      </c>
      <c r="B1927" t="s">
        <v>2393</v>
      </c>
      <c r="D1927" t="b">
        <f>IFERROR(VLOOKUP(B1927,PatData!$A$2:$A$2000,1,),"")&lt;&gt;""</f>
        <v>0</v>
      </c>
      <c r="E1927" t="s">
        <v>4806</v>
      </c>
      <c r="F1927" t="b">
        <v>1</v>
      </c>
      <c r="G1927" t="b">
        <v>0</v>
      </c>
      <c r="H1927" t="b">
        <v>0</v>
      </c>
      <c r="I1927" t="b">
        <v>0</v>
      </c>
    </row>
    <row r="1928" spans="1:9" x14ac:dyDescent="0.2">
      <c r="A1928" t="s">
        <v>4807</v>
      </c>
      <c r="B1928" t="s">
        <v>2394</v>
      </c>
      <c r="D1928" t="b">
        <f>IFERROR(VLOOKUP(B1928,PatData!$A$2:$A$2000,1,),"")&lt;&gt;""</f>
        <v>0</v>
      </c>
      <c r="E1928" t="s">
        <v>4808</v>
      </c>
      <c r="F1928" t="b">
        <v>1</v>
      </c>
      <c r="G1928" t="b">
        <v>0</v>
      </c>
      <c r="H1928" t="b">
        <v>0</v>
      </c>
      <c r="I1928" t="b">
        <v>0</v>
      </c>
    </row>
    <row r="1929" spans="1:9" x14ac:dyDescent="0.2">
      <c r="A1929" t="s">
        <v>4809</v>
      </c>
      <c r="B1929" t="s">
        <v>2395</v>
      </c>
      <c r="D1929" t="b">
        <f>IFERROR(VLOOKUP(B1929,PatData!$A$2:$A$2000,1,),"")&lt;&gt;""</f>
        <v>0</v>
      </c>
      <c r="E1929" t="s">
        <v>4810</v>
      </c>
      <c r="F1929" t="b">
        <v>1</v>
      </c>
      <c r="G1929" t="b">
        <v>0</v>
      </c>
      <c r="H1929" t="b">
        <v>0</v>
      </c>
      <c r="I1929" t="b">
        <v>0</v>
      </c>
    </row>
    <row r="1930" spans="1:9" x14ac:dyDescent="0.2">
      <c r="A1930" t="s">
        <v>4811</v>
      </c>
      <c r="B1930" t="s">
        <v>2396</v>
      </c>
      <c r="D1930" t="b">
        <f>IFERROR(VLOOKUP(B1930,PatData!$A$2:$A$2000,1,),"")&lt;&gt;""</f>
        <v>0</v>
      </c>
      <c r="E1930" t="s">
        <v>4812</v>
      </c>
      <c r="F1930" t="b">
        <v>1</v>
      </c>
      <c r="G1930" t="b">
        <v>0</v>
      </c>
      <c r="H1930" t="b">
        <v>0</v>
      </c>
      <c r="I1930" t="b">
        <v>0</v>
      </c>
    </row>
    <row r="1931" spans="1:9" x14ac:dyDescent="0.2">
      <c r="A1931" t="s">
        <v>4813</v>
      </c>
      <c r="B1931" t="s">
        <v>2397</v>
      </c>
      <c r="D1931" t="b">
        <f>IFERROR(VLOOKUP(B1931,PatData!$A$2:$A$2000,1,),"")&lt;&gt;""</f>
        <v>0</v>
      </c>
      <c r="E1931" t="s">
        <v>4814</v>
      </c>
      <c r="F1931" t="b">
        <v>1</v>
      </c>
      <c r="G1931" t="b">
        <v>0</v>
      </c>
      <c r="H1931" t="b">
        <v>0</v>
      </c>
      <c r="I1931" t="b">
        <v>0</v>
      </c>
    </row>
    <row r="1932" spans="1:9" x14ac:dyDescent="0.2">
      <c r="A1932" t="s">
        <v>4815</v>
      </c>
      <c r="B1932" t="s">
        <v>2398</v>
      </c>
      <c r="D1932" t="b">
        <f>IFERROR(VLOOKUP(B1932,PatData!$A$2:$A$2000,1,),"")&lt;&gt;""</f>
        <v>0</v>
      </c>
      <c r="E1932" t="s">
        <v>4816</v>
      </c>
      <c r="F1932" t="b">
        <v>1</v>
      </c>
      <c r="G1932" t="b">
        <v>0</v>
      </c>
      <c r="H1932" t="b">
        <v>0</v>
      </c>
      <c r="I1932" t="b">
        <v>0</v>
      </c>
    </row>
    <row r="1933" spans="1:9" x14ac:dyDescent="0.2">
      <c r="A1933" t="s">
        <v>4817</v>
      </c>
      <c r="B1933" t="s">
        <v>2399</v>
      </c>
      <c r="D1933" t="b">
        <f>IFERROR(VLOOKUP(B1933,PatData!$A$2:$A$2000,1,),"")&lt;&gt;""</f>
        <v>0</v>
      </c>
      <c r="E1933" t="s">
        <v>4818</v>
      </c>
      <c r="F1933" t="b">
        <v>1</v>
      </c>
      <c r="G1933" t="b">
        <v>0</v>
      </c>
      <c r="H1933" t="b">
        <v>0</v>
      </c>
      <c r="I1933" t="b">
        <v>0</v>
      </c>
    </row>
    <row r="1934" spans="1:9" x14ac:dyDescent="0.2">
      <c r="A1934" t="s">
        <v>1596</v>
      </c>
      <c r="B1934" t="s">
        <v>2400</v>
      </c>
      <c r="D1934" t="b">
        <f>IFERROR(VLOOKUP(B1934,PatData!$A$2:$A$2000,1,),"")&lt;&gt;""</f>
        <v>0</v>
      </c>
      <c r="E1934" t="s">
        <v>3910</v>
      </c>
      <c r="F1934" t="b">
        <v>1</v>
      </c>
      <c r="G1934" t="b">
        <v>0</v>
      </c>
      <c r="H1934" t="b">
        <v>0</v>
      </c>
      <c r="I1934" t="b">
        <v>0</v>
      </c>
    </row>
    <row r="1935" spans="1:9" x14ac:dyDescent="0.2">
      <c r="A1935" t="s">
        <v>1597</v>
      </c>
      <c r="B1935" t="s">
        <v>2401</v>
      </c>
      <c r="D1935" t="b">
        <f>IFERROR(VLOOKUP(B1935,PatData!$A$2:$A$2000,1,),"")&lt;&gt;""</f>
        <v>0</v>
      </c>
      <c r="E1935" t="s">
        <v>3911</v>
      </c>
      <c r="F1935" t="b">
        <v>1</v>
      </c>
      <c r="G1935" t="b">
        <v>0</v>
      </c>
      <c r="H1935" t="b">
        <v>0</v>
      </c>
      <c r="I1935" t="b">
        <v>0</v>
      </c>
    </row>
    <row r="1936" spans="1:9" x14ac:dyDescent="0.2">
      <c r="A1936" t="s">
        <v>1598</v>
      </c>
      <c r="B1936" t="s">
        <v>2402</v>
      </c>
      <c r="D1936" t="b">
        <f>IFERROR(VLOOKUP(B1936,PatData!$A$2:$A$2000,1,),"")&lt;&gt;""</f>
        <v>0</v>
      </c>
      <c r="E1936" t="s">
        <v>3912</v>
      </c>
      <c r="F1936" t="b">
        <v>1</v>
      </c>
      <c r="G1936" t="b">
        <v>0</v>
      </c>
      <c r="H1936" t="b">
        <v>0</v>
      </c>
      <c r="I1936" t="b">
        <v>0</v>
      </c>
    </row>
    <row r="1937" spans="1:9" x14ac:dyDescent="0.2">
      <c r="A1937" t="s">
        <v>1599</v>
      </c>
      <c r="B1937" t="s">
        <v>2403</v>
      </c>
      <c r="D1937" t="b">
        <f>IFERROR(VLOOKUP(B1937,PatData!$A$2:$A$2000,1,),"")&lt;&gt;""</f>
        <v>0</v>
      </c>
      <c r="E1937" t="s">
        <v>3913</v>
      </c>
      <c r="F1937" t="b">
        <v>1</v>
      </c>
      <c r="G1937" t="b">
        <v>0</v>
      </c>
      <c r="H1937" t="b">
        <v>0</v>
      </c>
      <c r="I1937" t="b">
        <v>0</v>
      </c>
    </row>
    <row r="1938" spans="1:9" x14ac:dyDescent="0.2">
      <c r="A1938" t="s">
        <v>1600</v>
      </c>
      <c r="B1938" t="s">
        <v>2404</v>
      </c>
      <c r="D1938" t="b">
        <f>IFERROR(VLOOKUP(B1938,PatData!$A$2:$A$2000,1,),"")&lt;&gt;""</f>
        <v>0</v>
      </c>
      <c r="E1938" t="s">
        <v>3914</v>
      </c>
      <c r="F1938" t="b">
        <v>1</v>
      </c>
      <c r="G1938" t="b">
        <v>0</v>
      </c>
      <c r="H1938" t="b">
        <v>0</v>
      </c>
      <c r="I1938" t="b">
        <v>0</v>
      </c>
    </row>
    <row r="1939" spans="1:9" x14ac:dyDescent="0.2">
      <c r="A1939" t="s">
        <v>1601</v>
      </c>
      <c r="B1939" t="s">
        <v>2405</v>
      </c>
      <c r="D1939" t="b">
        <f>IFERROR(VLOOKUP(B1939,PatData!$A$2:$A$2000,1,),"")&lt;&gt;""</f>
        <v>0</v>
      </c>
      <c r="E1939" t="s">
        <v>3915</v>
      </c>
      <c r="F1939" t="b">
        <v>1</v>
      </c>
      <c r="G1939" t="b">
        <v>0</v>
      </c>
      <c r="H1939" t="b">
        <v>0</v>
      </c>
      <c r="I1939" t="b">
        <v>0</v>
      </c>
    </row>
    <row r="1940" spans="1:9" x14ac:dyDescent="0.2">
      <c r="A1940" t="s">
        <v>1602</v>
      </c>
      <c r="B1940" t="s">
        <v>2406</v>
      </c>
      <c r="D1940" t="b">
        <f>IFERROR(VLOOKUP(B1940,PatData!$A$2:$A$2000,1,),"")&lt;&gt;""</f>
        <v>0</v>
      </c>
      <c r="E1940" t="s">
        <v>3916</v>
      </c>
      <c r="F1940" t="b">
        <v>1</v>
      </c>
      <c r="G1940" t="b">
        <v>0</v>
      </c>
      <c r="H1940" t="b">
        <v>0</v>
      </c>
      <c r="I1940" t="b">
        <v>0</v>
      </c>
    </row>
    <row r="1941" spans="1:9" x14ac:dyDescent="0.2">
      <c r="A1941" t="s">
        <v>1603</v>
      </c>
      <c r="B1941" t="s">
        <v>2407</v>
      </c>
      <c r="D1941" t="b">
        <f>IFERROR(VLOOKUP(B1941,PatData!$A$2:$A$2000,1,),"")&lt;&gt;""</f>
        <v>0</v>
      </c>
      <c r="E1941" t="s">
        <v>3917</v>
      </c>
      <c r="F1941" t="b">
        <v>1</v>
      </c>
      <c r="G1941" t="b">
        <v>0</v>
      </c>
      <c r="H1941" t="b">
        <v>0</v>
      </c>
      <c r="I1941" t="b">
        <v>0</v>
      </c>
    </row>
    <row r="1942" spans="1:9" x14ac:dyDescent="0.2">
      <c r="A1942" t="s">
        <v>1604</v>
      </c>
      <c r="B1942" t="s">
        <v>2408</v>
      </c>
      <c r="D1942" t="b">
        <f>IFERROR(VLOOKUP(B1942,PatData!$A$2:$A$2000,1,),"")&lt;&gt;""</f>
        <v>0</v>
      </c>
      <c r="E1942" t="s">
        <v>3918</v>
      </c>
      <c r="F1942" t="b">
        <v>1</v>
      </c>
      <c r="G1942" t="b">
        <v>0</v>
      </c>
      <c r="H1942" t="b">
        <v>0</v>
      </c>
      <c r="I1942" t="b">
        <v>0</v>
      </c>
    </row>
    <row r="1943" spans="1:9" x14ac:dyDescent="0.2">
      <c r="A1943" t="s">
        <v>1610</v>
      </c>
      <c r="B1943" t="s">
        <v>2432</v>
      </c>
      <c r="D1943" t="b">
        <f>IFERROR(VLOOKUP(B1943,PatData!$A$2:$A$2000,1,),"")&lt;&gt;""</f>
        <v>0</v>
      </c>
      <c r="E1943" t="s">
        <v>4819</v>
      </c>
      <c r="F1943" t="b">
        <v>1</v>
      </c>
      <c r="G1943" t="b">
        <v>0</v>
      </c>
      <c r="H1943" t="b">
        <v>0</v>
      </c>
      <c r="I1943" t="b">
        <v>0</v>
      </c>
    </row>
    <row r="1944" spans="1:9" x14ac:dyDescent="0.2">
      <c r="A1944" t="s">
        <v>1611</v>
      </c>
      <c r="B1944" t="s">
        <v>2433</v>
      </c>
      <c r="D1944" t="b">
        <f>IFERROR(VLOOKUP(B1944,PatData!$A$2:$A$2000,1,),"")&lt;&gt;""</f>
        <v>0</v>
      </c>
      <c r="E1944" t="s">
        <v>4820</v>
      </c>
      <c r="F1944" t="b">
        <v>1</v>
      </c>
      <c r="G1944" t="b">
        <v>0</v>
      </c>
      <c r="H1944" t="b">
        <v>0</v>
      </c>
      <c r="I1944" t="b">
        <v>0</v>
      </c>
    </row>
    <row r="1945" spans="1:9" x14ac:dyDescent="0.2">
      <c r="A1945" t="s">
        <v>1612</v>
      </c>
      <c r="B1945" t="s">
        <v>2434</v>
      </c>
      <c r="D1945" t="b">
        <f>IFERROR(VLOOKUP(B1945,PatData!$A$2:$A$2000,1,),"")&lt;&gt;""</f>
        <v>0</v>
      </c>
      <c r="E1945" t="s">
        <v>3928</v>
      </c>
      <c r="F1945" t="b">
        <v>1</v>
      </c>
      <c r="G1945" t="b">
        <v>0</v>
      </c>
      <c r="H1945" t="b">
        <v>0</v>
      </c>
      <c r="I1945" t="b">
        <v>0</v>
      </c>
    </row>
    <row r="1946" spans="1:9" x14ac:dyDescent="0.2">
      <c r="A1946" t="s">
        <v>1613</v>
      </c>
      <c r="B1946" t="s">
        <v>2435</v>
      </c>
      <c r="D1946" t="b">
        <f>IFERROR(VLOOKUP(B1946,PatData!$A$2:$A$2000,1,),"")&lt;&gt;""</f>
        <v>0</v>
      </c>
      <c r="E1946" t="s">
        <v>4821</v>
      </c>
      <c r="F1946" t="b">
        <v>1</v>
      </c>
      <c r="G1946" t="b">
        <v>0</v>
      </c>
      <c r="H1946" t="b">
        <v>0</v>
      </c>
      <c r="I1946" t="b">
        <v>0</v>
      </c>
    </row>
    <row r="1947" spans="1:9" x14ac:dyDescent="0.2">
      <c r="A1947" t="s">
        <v>1614</v>
      </c>
      <c r="B1947" t="s">
        <v>2436</v>
      </c>
      <c r="D1947" t="b">
        <f>IFERROR(VLOOKUP(B1947,PatData!$A$2:$A$2000,1,),"")&lt;&gt;""</f>
        <v>0</v>
      </c>
      <c r="E1947" t="s">
        <v>4822</v>
      </c>
      <c r="F1947" t="b">
        <v>1</v>
      </c>
      <c r="G1947" t="b">
        <v>0</v>
      </c>
      <c r="H1947" t="b">
        <v>0</v>
      </c>
      <c r="I1947" t="b">
        <v>0</v>
      </c>
    </row>
    <row r="1948" spans="1:9" x14ac:dyDescent="0.2">
      <c r="A1948" t="s">
        <v>1615</v>
      </c>
      <c r="B1948" t="s">
        <v>2437</v>
      </c>
      <c r="D1948" t="b">
        <f>IFERROR(VLOOKUP(B1948,PatData!$A$2:$A$2000,1,),"")&lt;&gt;""</f>
        <v>0</v>
      </c>
      <c r="E1948" t="s">
        <v>4823</v>
      </c>
      <c r="F1948" t="b">
        <v>1</v>
      </c>
      <c r="G1948" t="b">
        <v>0</v>
      </c>
      <c r="H1948" t="b">
        <v>0</v>
      </c>
      <c r="I1948" t="b">
        <v>0</v>
      </c>
    </row>
    <row r="1949" spans="1:9" x14ac:dyDescent="0.2">
      <c r="A1949" t="s">
        <v>1616</v>
      </c>
      <c r="B1949" t="s">
        <v>2438</v>
      </c>
      <c r="D1949" t="b">
        <f>IFERROR(VLOOKUP(B1949,PatData!$A$2:$A$2000,1,),"")&lt;&gt;""</f>
        <v>0</v>
      </c>
      <c r="E1949" t="s">
        <v>439</v>
      </c>
      <c r="F1949" t="b">
        <v>0</v>
      </c>
      <c r="G1949" t="b">
        <v>0</v>
      </c>
      <c r="H1949" t="b">
        <v>0</v>
      </c>
      <c r="I1949" t="b">
        <v>0</v>
      </c>
    </row>
    <row r="1950" spans="1:9" x14ac:dyDescent="0.2">
      <c r="A1950" t="s">
        <v>1617</v>
      </c>
      <c r="B1950" t="s">
        <v>2439</v>
      </c>
      <c r="D1950" t="b">
        <f>IFERROR(VLOOKUP(B1950,PatData!$A$2:$A$2000,1,),"")&lt;&gt;""</f>
        <v>0</v>
      </c>
      <c r="E1950" t="s">
        <v>4824</v>
      </c>
      <c r="F1950" t="b">
        <v>1</v>
      </c>
      <c r="G1950" t="b">
        <v>0</v>
      </c>
      <c r="H1950" t="b">
        <v>0</v>
      </c>
      <c r="I1950" t="b">
        <v>0</v>
      </c>
    </row>
    <row r="1951" spans="1:9" x14ac:dyDescent="0.2">
      <c r="A1951" t="s">
        <v>1618</v>
      </c>
      <c r="B1951" t="s">
        <v>2440</v>
      </c>
      <c r="D1951" t="b">
        <f>IFERROR(VLOOKUP(B1951,PatData!$A$2:$A$2000,1,),"")&lt;&gt;""</f>
        <v>0</v>
      </c>
      <c r="E1951" t="s">
        <v>4825</v>
      </c>
      <c r="F1951" t="b">
        <v>1</v>
      </c>
      <c r="G1951" t="b">
        <v>0</v>
      </c>
      <c r="H1951" t="b">
        <v>0</v>
      </c>
      <c r="I1951" t="b">
        <v>0</v>
      </c>
    </row>
    <row r="1952" spans="1:9" x14ac:dyDescent="0.2">
      <c r="A1952" t="s">
        <v>1619</v>
      </c>
      <c r="B1952" t="s">
        <v>2441</v>
      </c>
      <c r="D1952" t="b">
        <f>IFERROR(VLOOKUP(B1952,PatData!$A$2:$A$2000,1,),"")&lt;&gt;""</f>
        <v>0</v>
      </c>
      <c r="E1952" t="s">
        <v>4826</v>
      </c>
      <c r="F1952" t="b">
        <v>1</v>
      </c>
      <c r="G1952" t="b">
        <v>0</v>
      </c>
      <c r="H1952" t="b">
        <v>0</v>
      </c>
      <c r="I1952" t="b">
        <v>0</v>
      </c>
    </row>
    <row r="1953" spans="1:9" x14ac:dyDescent="0.2">
      <c r="A1953" t="s">
        <v>1620</v>
      </c>
      <c r="B1953" t="s">
        <v>2442</v>
      </c>
      <c r="D1953" t="b">
        <f>IFERROR(VLOOKUP(B1953,PatData!$A$2:$A$2000,1,),"")&lt;&gt;""</f>
        <v>0</v>
      </c>
      <c r="E1953" t="s">
        <v>4827</v>
      </c>
      <c r="F1953" t="b">
        <v>1</v>
      </c>
      <c r="G1953" t="b">
        <v>0</v>
      </c>
      <c r="H1953" t="b">
        <v>0</v>
      </c>
      <c r="I1953" t="b">
        <v>0</v>
      </c>
    </row>
    <row r="1954" spans="1:9" x14ac:dyDescent="0.2">
      <c r="A1954" t="s">
        <v>1621</v>
      </c>
      <c r="B1954" t="s">
        <v>2443</v>
      </c>
      <c r="D1954" t="b">
        <f>IFERROR(VLOOKUP(B1954,PatData!$A$2:$A$2000,1,),"")&lt;&gt;""</f>
        <v>0</v>
      </c>
      <c r="E1954" t="s">
        <v>4828</v>
      </c>
      <c r="F1954" t="b">
        <v>1</v>
      </c>
      <c r="G1954" t="b">
        <v>0</v>
      </c>
      <c r="H1954" t="b">
        <v>0</v>
      </c>
      <c r="I1954" t="b">
        <v>0</v>
      </c>
    </row>
    <row r="1955" spans="1:9" x14ac:dyDescent="0.2">
      <c r="A1955" t="s">
        <v>1622</v>
      </c>
      <c r="B1955" t="s">
        <v>2444</v>
      </c>
      <c r="D1955" t="b">
        <f>IFERROR(VLOOKUP(B1955,PatData!$A$2:$A$2000,1,),"")&lt;&gt;""</f>
        <v>0</v>
      </c>
      <c r="E1955" t="s">
        <v>561</v>
      </c>
      <c r="F1955" t="b">
        <v>0</v>
      </c>
      <c r="G1955" t="b">
        <v>0</v>
      </c>
      <c r="H1955" t="b">
        <v>0</v>
      </c>
      <c r="I1955" t="b">
        <v>0</v>
      </c>
    </row>
    <row r="1956" spans="1:9" x14ac:dyDescent="0.2">
      <c r="A1956" t="s">
        <v>1623</v>
      </c>
      <c r="B1956" t="s">
        <v>2445</v>
      </c>
      <c r="D1956" t="b">
        <f>IFERROR(VLOOKUP(B1956,PatData!$A$2:$A$2000,1,),"")&lt;&gt;""</f>
        <v>0</v>
      </c>
      <c r="E1956" t="s">
        <v>4829</v>
      </c>
      <c r="F1956" t="b">
        <v>1</v>
      </c>
      <c r="G1956" t="b">
        <v>0</v>
      </c>
      <c r="H1956" t="b">
        <v>0</v>
      </c>
      <c r="I1956" t="b">
        <v>0</v>
      </c>
    </row>
    <row r="1957" spans="1:9" x14ac:dyDescent="0.2">
      <c r="A1957" t="s">
        <v>1624</v>
      </c>
      <c r="B1957" t="s">
        <v>2446</v>
      </c>
      <c r="D1957" t="b">
        <f>IFERROR(VLOOKUP(B1957,PatData!$A$2:$A$2000,1,),"")&lt;&gt;""</f>
        <v>0</v>
      </c>
      <c r="E1957" t="s">
        <v>4830</v>
      </c>
      <c r="F1957" t="b">
        <v>1</v>
      </c>
      <c r="G1957" t="b">
        <v>0</v>
      </c>
      <c r="H1957" t="b">
        <v>0</v>
      </c>
      <c r="I1957" t="b">
        <v>0</v>
      </c>
    </row>
    <row r="1958" spans="1:9" x14ac:dyDescent="0.2">
      <c r="A1958" t="s">
        <v>1625</v>
      </c>
      <c r="B1958" t="s">
        <v>2447</v>
      </c>
      <c r="D1958" t="b">
        <f>IFERROR(VLOOKUP(B1958,PatData!$A$2:$A$2000,1,),"")&lt;&gt;""</f>
        <v>0</v>
      </c>
      <c r="E1958" t="s">
        <v>440</v>
      </c>
      <c r="F1958" t="b">
        <v>0</v>
      </c>
      <c r="G1958" t="b">
        <v>0</v>
      </c>
      <c r="H1958" t="b">
        <v>0</v>
      </c>
      <c r="I1958" t="b">
        <v>0</v>
      </c>
    </row>
    <row r="1959" spans="1:9" x14ac:dyDescent="0.2">
      <c r="A1959" t="s">
        <v>1626</v>
      </c>
      <c r="B1959" t="s">
        <v>2448</v>
      </c>
      <c r="D1959" t="b">
        <f>IFERROR(VLOOKUP(B1959,PatData!$A$2:$A$2000,1,),"")&lt;&gt;""</f>
        <v>0</v>
      </c>
      <c r="E1959" t="s">
        <v>4831</v>
      </c>
      <c r="F1959" t="b">
        <v>1</v>
      </c>
      <c r="G1959" t="b">
        <v>0</v>
      </c>
      <c r="H1959" t="b">
        <v>0</v>
      </c>
      <c r="I1959" t="b">
        <v>0</v>
      </c>
    </row>
    <row r="1960" spans="1:9" x14ac:dyDescent="0.2">
      <c r="A1960" t="s">
        <v>1627</v>
      </c>
      <c r="B1960" t="s">
        <v>2449</v>
      </c>
      <c r="D1960" t="b">
        <f>IFERROR(VLOOKUP(B1960,PatData!$A$2:$A$2000,1,),"")&lt;&gt;""</f>
        <v>0</v>
      </c>
      <c r="E1960" t="s">
        <v>5302</v>
      </c>
      <c r="F1960" t="b">
        <v>1</v>
      </c>
      <c r="G1960" t="b">
        <v>0</v>
      </c>
      <c r="H1960" t="b">
        <v>0</v>
      </c>
      <c r="I1960" t="b">
        <v>0</v>
      </c>
    </row>
    <row r="1961" spans="1:9" x14ac:dyDescent="0.2">
      <c r="A1961" t="s">
        <v>1628</v>
      </c>
      <c r="B1961" t="s">
        <v>2450</v>
      </c>
      <c r="D1961" t="b">
        <f>IFERROR(VLOOKUP(B1961,PatData!$A$2:$A$2000,1,),"")&lt;&gt;""</f>
        <v>0</v>
      </c>
      <c r="E1961" t="s">
        <v>34</v>
      </c>
      <c r="F1961" t="b">
        <v>0</v>
      </c>
      <c r="G1961" t="b">
        <v>0</v>
      </c>
      <c r="H1961" t="b">
        <v>0</v>
      </c>
      <c r="I1961" t="b">
        <v>0</v>
      </c>
    </row>
    <row r="1962" spans="1:9" x14ac:dyDescent="0.2">
      <c r="A1962" t="s">
        <v>1629</v>
      </c>
      <c r="B1962" t="s">
        <v>2451</v>
      </c>
      <c r="D1962" t="b">
        <f>IFERROR(VLOOKUP(B1962,PatData!$A$2:$A$2000,1,),"")&lt;&gt;""</f>
        <v>0</v>
      </c>
      <c r="E1962" t="s">
        <v>5303</v>
      </c>
      <c r="F1962" t="b">
        <v>1</v>
      </c>
      <c r="G1962" t="b">
        <v>0</v>
      </c>
      <c r="H1962" t="b">
        <v>0</v>
      </c>
      <c r="I1962" t="b">
        <v>0</v>
      </c>
    </row>
    <row r="1963" spans="1:9" x14ac:dyDescent="0.2">
      <c r="A1963" t="s">
        <v>1630</v>
      </c>
      <c r="B1963" t="s">
        <v>2452</v>
      </c>
      <c r="D1963" t="b">
        <f>IFERROR(VLOOKUP(B1963,PatData!$A$2:$A$2000,1,),"")&lt;&gt;""</f>
        <v>0</v>
      </c>
      <c r="E1963" t="s">
        <v>5304</v>
      </c>
      <c r="F1963" t="b">
        <v>1</v>
      </c>
      <c r="G1963" t="b">
        <v>0</v>
      </c>
      <c r="H1963" t="b">
        <v>0</v>
      </c>
      <c r="I1963" t="b">
        <v>0</v>
      </c>
    </row>
    <row r="1964" spans="1:9" x14ac:dyDescent="0.2">
      <c r="A1964" t="s">
        <v>1631</v>
      </c>
      <c r="B1964" t="s">
        <v>2453</v>
      </c>
      <c r="D1964" t="b">
        <f>IFERROR(VLOOKUP(B1964,PatData!$A$2:$A$2000,1,),"")&lt;&gt;""</f>
        <v>0</v>
      </c>
      <c r="E1964" t="s">
        <v>563</v>
      </c>
      <c r="F1964" t="b">
        <v>0</v>
      </c>
      <c r="G1964" t="b">
        <v>0</v>
      </c>
      <c r="H1964" t="b">
        <v>0</v>
      </c>
      <c r="I1964" t="b">
        <v>0</v>
      </c>
    </row>
    <row r="1965" spans="1:9" x14ac:dyDescent="0.2">
      <c r="A1965" t="s">
        <v>1632</v>
      </c>
      <c r="B1965" t="s">
        <v>2454</v>
      </c>
      <c r="D1965" t="b">
        <f>IFERROR(VLOOKUP(B1965,PatData!$A$2:$A$2000,1,),"")&lt;&gt;""</f>
        <v>0</v>
      </c>
      <c r="E1965" t="s">
        <v>4832</v>
      </c>
      <c r="F1965" t="b">
        <v>1</v>
      </c>
      <c r="G1965" t="b">
        <v>0</v>
      </c>
      <c r="H1965" t="b">
        <v>0</v>
      </c>
      <c r="I1965" t="b">
        <v>0</v>
      </c>
    </row>
    <row r="1966" spans="1:9" x14ac:dyDescent="0.2">
      <c r="A1966" t="s">
        <v>1633</v>
      </c>
      <c r="B1966" t="s">
        <v>2455</v>
      </c>
      <c r="D1966" t="b">
        <f>IFERROR(VLOOKUP(B1966,PatData!$A$2:$A$2000,1,),"")&lt;&gt;""</f>
        <v>0</v>
      </c>
      <c r="E1966" t="s">
        <v>4833</v>
      </c>
      <c r="F1966" t="b">
        <v>1</v>
      </c>
      <c r="G1966" t="b">
        <v>0</v>
      </c>
      <c r="H1966" t="b">
        <v>0</v>
      </c>
      <c r="I1966" t="b">
        <v>0</v>
      </c>
    </row>
    <row r="1967" spans="1:9" x14ac:dyDescent="0.2">
      <c r="A1967" t="s">
        <v>1634</v>
      </c>
      <c r="B1967" t="s">
        <v>2456</v>
      </c>
      <c r="D1967" t="b">
        <f>IFERROR(VLOOKUP(B1967,PatData!$A$2:$A$2000,1,),"")&lt;&gt;""</f>
        <v>0</v>
      </c>
      <c r="E1967" t="s">
        <v>562</v>
      </c>
      <c r="F1967" t="b">
        <v>0</v>
      </c>
      <c r="G1967" t="b">
        <v>0</v>
      </c>
      <c r="H1967" t="b">
        <v>0</v>
      </c>
      <c r="I1967" t="b">
        <v>0</v>
      </c>
    </row>
    <row r="1968" spans="1:9" x14ac:dyDescent="0.2">
      <c r="A1968" t="s">
        <v>1635</v>
      </c>
      <c r="B1968" t="s">
        <v>2457</v>
      </c>
      <c r="D1968" t="b">
        <f>IFERROR(VLOOKUP(B1968,PatData!$A$2:$A$2000,1,),"")&lt;&gt;""</f>
        <v>0</v>
      </c>
      <c r="E1968" t="s">
        <v>5305</v>
      </c>
      <c r="F1968" t="b">
        <v>1</v>
      </c>
      <c r="G1968" t="b">
        <v>0</v>
      </c>
      <c r="H1968" t="b">
        <v>0</v>
      </c>
      <c r="I1968" t="b">
        <v>0</v>
      </c>
    </row>
    <row r="1969" spans="1:9" x14ac:dyDescent="0.2">
      <c r="A1969" t="s">
        <v>1636</v>
      </c>
      <c r="B1969" t="s">
        <v>2458</v>
      </c>
      <c r="D1969" t="b">
        <f>IFERROR(VLOOKUP(B1969,PatData!$A$2:$A$2000,1,),"")&lt;&gt;""</f>
        <v>0</v>
      </c>
      <c r="E1969" t="s">
        <v>5306</v>
      </c>
      <c r="F1969" t="b">
        <v>1</v>
      </c>
      <c r="G1969" t="b">
        <v>0</v>
      </c>
      <c r="H1969" t="b">
        <v>0</v>
      </c>
      <c r="I1969" t="b">
        <v>0</v>
      </c>
    </row>
    <row r="1970" spans="1:9" x14ac:dyDescent="0.2">
      <c r="A1970" t="s">
        <v>1637</v>
      </c>
      <c r="B1970" t="s">
        <v>2459</v>
      </c>
      <c r="D1970" t="b">
        <f>IFERROR(VLOOKUP(B1970,PatData!$A$2:$A$2000,1,),"")&lt;&gt;""</f>
        <v>0</v>
      </c>
      <c r="E1970" t="s">
        <v>345</v>
      </c>
      <c r="F1970" t="b">
        <v>0</v>
      </c>
      <c r="G1970" t="b">
        <v>0</v>
      </c>
      <c r="H1970" t="b">
        <v>0</v>
      </c>
      <c r="I1970" t="b">
        <v>0</v>
      </c>
    </row>
    <row r="1971" spans="1:9" x14ac:dyDescent="0.2">
      <c r="A1971" t="s">
        <v>1638</v>
      </c>
      <c r="B1971" t="s">
        <v>2460</v>
      </c>
      <c r="D1971" t="b">
        <f>IFERROR(VLOOKUP(B1971,PatData!$A$2:$A$2000,1,),"")&lt;&gt;""</f>
        <v>0</v>
      </c>
      <c r="E1971" t="s">
        <v>4834</v>
      </c>
      <c r="F1971" t="b">
        <v>1</v>
      </c>
      <c r="G1971" t="b">
        <v>0</v>
      </c>
      <c r="H1971" t="b">
        <v>0</v>
      </c>
      <c r="I1971" t="b">
        <v>0</v>
      </c>
    </row>
    <row r="1972" spans="1:9" x14ac:dyDescent="0.2">
      <c r="A1972" t="s">
        <v>1639</v>
      </c>
      <c r="B1972" t="s">
        <v>2461</v>
      </c>
      <c r="D1972" t="b">
        <f>IFERROR(VLOOKUP(B1972,PatData!$A$2:$A$2000,1,),"")&lt;&gt;""</f>
        <v>0</v>
      </c>
      <c r="E1972" t="s">
        <v>4835</v>
      </c>
      <c r="F1972" t="b">
        <v>1</v>
      </c>
      <c r="G1972" t="b">
        <v>0</v>
      </c>
      <c r="H1972" t="b">
        <v>0</v>
      </c>
      <c r="I1972" t="b">
        <v>0</v>
      </c>
    </row>
    <row r="1973" spans="1:9" x14ac:dyDescent="0.2">
      <c r="A1973" t="s">
        <v>1640</v>
      </c>
      <c r="B1973" t="s">
        <v>2462</v>
      </c>
      <c r="D1973" t="b">
        <f>IFERROR(VLOOKUP(B1973,PatData!$A$2:$A$2000,1,),"")&lt;&gt;""</f>
        <v>0</v>
      </c>
      <c r="E1973" t="s">
        <v>210</v>
      </c>
      <c r="F1973" t="b">
        <v>0</v>
      </c>
      <c r="G1973" t="b">
        <v>0</v>
      </c>
      <c r="H1973" t="b">
        <v>0</v>
      </c>
      <c r="I1973" t="b">
        <v>0</v>
      </c>
    </row>
    <row r="1974" spans="1:9" x14ac:dyDescent="0.2">
      <c r="A1974" t="s">
        <v>1641</v>
      </c>
      <c r="B1974" t="s">
        <v>2463</v>
      </c>
      <c r="D1974" t="b">
        <f>IFERROR(VLOOKUP(B1974,PatData!$A$2:$A$2000,1,),"")&lt;&gt;""</f>
        <v>0</v>
      </c>
      <c r="E1974" t="s">
        <v>3929</v>
      </c>
      <c r="F1974" t="b">
        <v>1</v>
      </c>
      <c r="G1974" t="b">
        <v>0</v>
      </c>
      <c r="H1974" t="b">
        <v>0</v>
      </c>
      <c r="I1974" t="b">
        <v>0</v>
      </c>
    </row>
    <row r="1975" spans="1:9" x14ac:dyDescent="0.2">
      <c r="A1975" t="s">
        <v>1642</v>
      </c>
      <c r="B1975" t="s">
        <v>2464</v>
      </c>
      <c r="D1975" t="b">
        <f>IFERROR(VLOOKUP(B1975,PatData!$A$2:$A$2000,1,),"")&lt;&gt;""</f>
        <v>0</v>
      </c>
      <c r="E1975" t="s">
        <v>3930</v>
      </c>
      <c r="F1975" t="b">
        <v>1</v>
      </c>
      <c r="G1975" t="b">
        <v>0</v>
      </c>
      <c r="H1975" t="b">
        <v>0</v>
      </c>
      <c r="I1975" t="b">
        <v>0</v>
      </c>
    </row>
    <row r="1976" spans="1:9" x14ac:dyDescent="0.2">
      <c r="A1976" t="s">
        <v>1643</v>
      </c>
      <c r="B1976" t="s">
        <v>2465</v>
      </c>
      <c r="D1976" t="b">
        <f>IFERROR(VLOOKUP(B1976,PatData!$A$2:$A$2000,1,),"")&lt;&gt;""</f>
        <v>0</v>
      </c>
      <c r="E1976" t="s">
        <v>3931</v>
      </c>
      <c r="F1976" t="b">
        <v>1</v>
      </c>
      <c r="G1976" t="b">
        <v>0</v>
      </c>
      <c r="H1976" t="b">
        <v>0</v>
      </c>
      <c r="I1976" t="b">
        <v>0</v>
      </c>
    </row>
    <row r="1977" spans="1:9" x14ac:dyDescent="0.2">
      <c r="A1977" t="s">
        <v>1644</v>
      </c>
      <c r="B1977" t="s">
        <v>2466</v>
      </c>
      <c r="D1977" t="b">
        <f>IFERROR(VLOOKUP(B1977,PatData!$A$2:$A$2000,1,),"")&lt;&gt;""</f>
        <v>0</v>
      </c>
      <c r="E1977" t="s">
        <v>3932</v>
      </c>
      <c r="F1977" t="b">
        <v>1</v>
      </c>
      <c r="G1977" t="b">
        <v>0</v>
      </c>
      <c r="H1977" t="b">
        <v>0</v>
      </c>
      <c r="I1977" t="b">
        <v>0</v>
      </c>
    </row>
    <row r="1978" spans="1:9" x14ac:dyDescent="0.2">
      <c r="A1978" t="s">
        <v>1645</v>
      </c>
      <c r="B1978" t="s">
        <v>2467</v>
      </c>
      <c r="D1978" t="b">
        <f>IFERROR(VLOOKUP(B1978,PatData!$A$2:$A$2000,1,),"")&lt;&gt;""</f>
        <v>0</v>
      </c>
      <c r="E1978" t="s">
        <v>3933</v>
      </c>
      <c r="F1978" t="b">
        <v>1</v>
      </c>
      <c r="G1978" t="b">
        <v>0</v>
      </c>
      <c r="H1978" t="b">
        <v>0</v>
      </c>
      <c r="I1978" t="b">
        <v>0</v>
      </c>
    </row>
    <row r="1979" spans="1:9" x14ac:dyDescent="0.2">
      <c r="A1979" t="s">
        <v>1646</v>
      </c>
      <c r="B1979" t="s">
        <v>2468</v>
      </c>
      <c r="D1979" t="b">
        <f>IFERROR(VLOOKUP(B1979,PatData!$A$2:$A$2000,1,),"")&lt;&gt;""</f>
        <v>0</v>
      </c>
      <c r="E1979" t="s">
        <v>3928</v>
      </c>
      <c r="F1979" t="b">
        <v>1</v>
      </c>
      <c r="G1979" t="b">
        <v>0</v>
      </c>
      <c r="H1979" t="b">
        <v>0</v>
      </c>
      <c r="I1979" t="b">
        <v>0</v>
      </c>
    </row>
    <row r="1980" spans="1:9" x14ac:dyDescent="0.2">
      <c r="A1980" t="s">
        <v>1647</v>
      </c>
      <c r="B1980" t="s">
        <v>2469</v>
      </c>
      <c r="D1980" t="b">
        <f>IFERROR(VLOOKUP(B1980,PatData!$A$2:$A$2000,1,),"")&lt;&gt;""</f>
        <v>0</v>
      </c>
      <c r="E1980" t="s">
        <v>4836</v>
      </c>
      <c r="F1980" t="b">
        <v>1</v>
      </c>
      <c r="G1980" t="b">
        <v>0</v>
      </c>
      <c r="H1980" t="b">
        <v>0</v>
      </c>
      <c r="I1980" t="b">
        <v>0</v>
      </c>
    </row>
    <row r="1981" spans="1:9" x14ac:dyDescent="0.2">
      <c r="A1981" t="s">
        <v>1648</v>
      </c>
      <c r="B1981" t="s">
        <v>2470</v>
      </c>
      <c r="D1981" t="b">
        <f>IFERROR(VLOOKUP(B1981,PatData!$A$2:$A$2000,1,),"")&lt;&gt;""</f>
        <v>0</v>
      </c>
      <c r="E1981" t="s">
        <v>3934</v>
      </c>
      <c r="F1981" t="b">
        <v>1</v>
      </c>
      <c r="G1981" t="b">
        <v>0</v>
      </c>
      <c r="H1981" t="b">
        <v>0</v>
      </c>
      <c r="I1981" t="b">
        <v>0</v>
      </c>
    </row>
    <row r="1982" spans="1:9" x14ac:dyDescent="0.2">
      <c r="A1982" t="s">
        <v>1649</v>
      </c>
      <c r="B1982" t="s">
        <v>2471</v>
      </c>
      <c r="D1982" t="b">
        <f>IFERROR(VLOOKUP(B1982,PatData!$A$2:$A$2000,1,),"")&lt;&gt;""</f>
        <v>0</v>
      </c>
      <c r="E1982" t="s">
        <v>3935</v>
      </c>
      <c r="F1982" t="b">
        <v>1</v>
      </c>
      <c r="G1982" t="b">
        <v>0</v>
      </c>
      <c r="H1982" t="b">
        <v>0</v>
      </c>
      <c r="I1982" t="b">
        <v>0</v>
      </c>
    </row>
    <row r="1983" spans="1:9" x14ac:dyDescent="0.2">
      <c r="A1983" t="s">
        <v>1650</v>
      </c>
      <c r="B1983" t="s">
        <v>2472</v>
      </c>
      <c r="D1983" t="b">
        <f>IFERROR(VLOOKUP(B1983,PatData!$A$2:$A$2000,1,),"")&lt;&gt;""</f>
        <v>0</v>
      </c>
      <c r="E1983" t="s">
        <v>439</v>
      </c>
      <c r="F1983" t="b">
        <v>0</v>
      </c>
      <c r="G1983" t="b">
        <v>0</v>
      </c>
      <c r="H1983" t="b">
        <v>0</v>
      </c>
      <c r="I1983" t="b">
        <v>0</v>
      </c>
    </row>
    <row r="1984" spans="1:9" x14ac:dyDescent="0.2">
      <c r="A1984" t="s">
        <v>1651</v>
      </c>
      <c r="B1984" t="s">
        <v>2473</v>
      </c>
      <c r="D1984" t="b">
        <f>IFERROR(VLOOKUP(B1984,PatData!$A$2:$A$2000,1,),"")&lt;&gt;""</f>
        <v>0</v>
      </c>
      <c r="E1984" t="s">
        <v>3936</v>
      </c>
      <c r="F1984" t="b">
        <v>1</v>
      </c>
      <c r="G1984" t="b">
        <v>0</v>
      </c>
      <c r="H1984" t="b">
        <v>0</v>
      </c>
      <c r="I1984" t="b">
        <v>0</v>
      </c>
    </row>
    <row r="1985" spans="1:9" x14ac:dyDescent="0.2">
      <c r="A1985" t="s">
        <v>1652</v>
      </c>
      <c r="B1985" t="s">
        <v>2474</v>
      </c>
      <c r="D1985" t="b">
        <f>IFERROR(VLOOKUP(B1985,PatData!$A$2:$A$2000,1,),"")&lt;&gt;""</f>
        <v>0</v>
      </c>
      <c r="E1985" t="s">
        <v>3937</v>
      </c>
      <c r="F1985" t="b">
        <v>1</v>
      </c>
      <c r="G1985" t="b">
        <v>0</v>
      </c>
      <c r="H1985" t="b">
        <v>0</v>
      </c>
      <c r="I1985" t="b">
        <v>0</v>
      </c>
    </row>
    <row r="1986" spans="1:9" x14ac:dyDescent="0.2">
      <c r="A1986" t="s">
        <v>1653</v>
      </c>
      <c r="B1986" t="s">
        <v>2475</v>
      </c>
      <c r="D1986" t="b">
        <f>IFERROR(VLOOKUP(B1986,PatData!$A$2:$A$2000,1,),"")&lt;&gt;""</f>
        <v>0</v>
      </c>
      <c r="E1986" t="s">
        <v>3938</v>
      </c>
      <c r="F1986" t="b">
        <v>1</v>
      </c>
      <c r="G1986" t="b">
        <v>0</v>
      </c>
      <c r="H1986" t="b">
        <v>0</v>
      </c>
      <c r="I1986" t="b">
        <v>0</v>
      </c>
    </row>
    <row r="1987" spans="1:9" x14ac:dyDescent="0.2">
      <c r="A1987" t="s">
        <v>1654</v>
      </c>
      <c r="B1987" t="s">
        <v>2476</v>
      </c>
      <c r="D1987" t="b">
        <f>IFERROR(VLOOKUP(B1987,PatData!$A$2:$A$2000,1,),"")&lt;&gt;""</f>
        <v>0</v>
      </c>
      <c r="E1987" t="s">
        <v>3939</v>
      </c>
      <c r="F1987" t="b">
        <v>1</v>
      </c>
      <c r="G1987" t="b">
        <v>0</v>
      </c>
      <c r="H1987" t="b">
        <v>0</v>
      </c>
      <c r="I1987" t="b">
        <v>0</v>
      </c>
    </row>
    <row r="1988" spans="1:9" x14ac:dyDescent="0.2">
      <c r="A1988" t="s">
        <v>1655</v>
      </c>
      <c r="B1988" t="s">
        <v>2477</v>
      </c>
      <c r="D1988" t="b">
        <f>IFERROR(VLOOKUP(B1988,PatData!$A$2:$A$2000,1,),"")&lt;&gt;""</f>
        <v>0</v>
      </c>
      <c r="E1988" t="s">
        <v>3940</v>
      </c>
      <c r="F1988" t="b">
        <v>1</v>
      </c>
      <c r="G1988" t="b">
        <v>0</v>
      </c>
      <c r="H1988" t="b">
        <v>0</v>
      </c>
      <c r="I1988" t="b">
        <v>0</v>
      </c>
    </row>
    <row r="1989" spans="1:9" x14ac:dyDescent="0.2">
      <c r="A1989" t="s">
        <v>1656</v>
      </c>
      <c r="B1989" t="s">
        <v>2478</v>
      </c>
      <c r="D1989" t="b">
        <f>IFERROR(VLOOKUP(B1989,PatData!$A$2:$A$2000,1,),"")&lt;&gt;""</f>
        <v>0</v>
      </c>
      <c r="E1989" t="s">
        <v>561</v>
      </c>
      <c r="F1989" t="b">
        <v>0</v>
      </c>
      <c r="G1989" t="b">
        <v>0</v>
      </c>
      <c r="H1989" t="b">
        <v>0</v>
      </c>
      <c r="I1989" t="b">
        <v>0</v>
      </c>
    </row>
    <row r="1990" spans="1:9" x14ac:dyDescent="0.2">
      <c r="A1990" t="s">
        <v>1657</v>
      </c>
      <c r="B1990" t="s">
        <v>2479</v>
      </c>
      <c r="D1990" t="b">
        <f>IFERROR(VLOOKUP(B1990,PatData!$A$2:$A$2000,1,),"")&lt;&gt;""</f>
        <v>0</v>
      </c>
      <c r="E1990" t="s">
        <v>3941</v>
      </c>
      <c r="F1990" t="b">
        <v>1</v>
      </c>
      <c r="G1990" t="b">
        <v>0</v>
      </c>
      <c r="H1990" t="b">
        <v>0</v>
      </c>
      <c r="I1990" t="b">
        <v>0</v>
      </c>
    </row>
    <row r="1991" spans="1:9" x14ac:dyDescent="0.2">
      <c r="A1991" t="s">
        <v>1658</v>
      </c>
      <c r="B1991" t="s">
        <v>2480</v>
      </c>
      <c r="D1991" t="b">
        <f>IFERROR(VLOOKUP(B1991,PatData!$A$2:$A$2000,1,),"")&lt;&gt;""</f>
        <v>0</v>
      </c>
      <c r="E1991" t="s">
        <v>3942</v>
      </c>
      <c r="F1991" t="b">
        <v>1</v>
      </c>
      <c r="G1991" t="b">
        <v>0</v>
      </c>
      <c r="H1991" t="b">
        <v>0</v>
      </c>
      <c r="I1991" t="b">
        <v>0</v>
      </c>
    </row>
    <row r="1992" spans="1:9" x14ac:dyDescent="0.2">
      <c r="A1992" t="s">
        <v>1659</v>
      </c>
      <c r="B1992" t="s">
        <v>2481</v>
      </c>
      <c r="D1992" t="b">
        <f>IFERROR(VLOOKUP(B1992,PatData!$A$2:$A$2000,1,),"")&lt;&gt;""</f>
        <v>0</v>
      </c>
      <c r="E1992" t="s">
        <v>440</v>
      </c>
      <c r="F1992" t="b">
        <v>0</v>
      </c>
      <c r="G1992" t="b">
        <v>0</v>
      </c>
      <c r="H1992" t="b">
        <v>0</v>
      </c>
      <c r="I1992" t="b">
        <v>0</v>
      </c>
    </row>
    <row r="1993" spans="1:9" x14ac:dyDescent="0.2">
      <c r="A1993" t="s">
        <v>1660</v>
      </c>
      <c r="B1993" t="s">
        <v>2482</v>
      </c>
      <c r="D1993" t="b">
        <f>IFERROR(VLOOKUP(B1993,PatData!$A$2:$A$2000,1,),"")&lt;&gt;""</f>
        <v>0</v>
      </c>
      <c r="E1993" t="s">
        <v>3943</v>
      </c>
      <c r="F1993" t="b">
        <v>1</v>
      </c>
      <c r="G1993" t="b">
        <v>0</v>
      </c>
      <c r="H1993" t="b">
        <v>0</v>
      </c>
      <c r="I1993" t="b">
        <v>0</v>
      </c>
    </row>
    <row r="1994" spans="1:9" x14ac:dyDescent="0.2">
      <c r="A1994" t="s">
        <v>1661</v>
      </c>
      <c r="B1994" t="s">
        <v>2483</v>
      </c>
      <c r="D1994" t="b">
        <f>IFERROR(VLOOKUP(B1994,PatData!$A$2:$A$2000,1,),"")&lt;&gt;""</f>
        <v>0</v>
      </c>
      <c r="E1994" t="s">
        <v>5307</v>
      </c>
      <c r="F1994" t="b">
        <v>1</v>
      </c>
      <c r="G1994" t="b">
        <v>0</v>
      </c>
      <c r="H1994" t="b">
        <v>0</v>
      </c>
      <c r="I1994" t="b">
        <v>0</v>
      </c>
    </row>
    <row r="1995" spans="1:9" x14ac:dyDescent="0.2">
      <c r="A1995" t="s">
        <v>1662</v>
      </c>
      <c r="B1995" t="s">
        <v>2484</v>
      </c>
      <c r="D1995" t="b">
        <f>IFERROR(VLOOKUP(B1995,PatData!$A$2:$A$2000,1,),"")&lt;&gt;""</f>
        <v>0</v>
      </c>
      <c r="E1995" t="s">
        <v>34</v>
      </c>
      <c r="F1995" t="b">
        <v>0</v>
      </c>
      <c r="G1995" t="b">
        <v>0</v>
      </c>
      <c r="H1995" t="b">
        <v>0</v>
      </c>
      <c r="I1995" t="b">
        <v>0</v>
      </c>
    </row>
    <row r="1996" spans="1:9" x14ac:dyDescent="0.2">
      <c r="A1996" t="s">
        <v>1663</v>
      </c>
      <c r="B1996" t="s">
        <v>2485</v>
      </c>
      <c r="D1996" t="b">
        <f>IFERROR(VLOOKUP(B1996,PatData!$A$2:$A$2000,1,),"")&lt;&gt;""</f>
        <v>0</v>
      </c>
      <c r="E1996" t="s">
        <v>5308</v>
      </c>
      <c r="F1996" t="b">
        <v>1</v>
      </c>
      <c r="G1996" t="b">
        <v>0</v>
      </c>
      <c r="H1996" t="b">
        <v>0</v>
      </c>
      <c r="I1996" t="b">
        <v>0</v>
      </c>
    </row>
    <row r="1997" spans="1:9" x14ac:dyDescent="0.2">
      <c r="A1997" t="s">
        <v>1664</v>
      </c>
      <c r="B1997" t="s">
        <v>2486</v>
      </c>
      <c r="D1997" t="b">
        <f>IFERROR(VLOOKUP(B1997,PatData!$A$2:$A$2000,1,),"")&lt;&gt;""</f>
        <v>0</v>
      </c>
      <c r="E1997" t="s">
        <v>5309</v>
      </c>
      <c r="F1997" t="b">
        <v>1</v>
      </c>
      <c r="G1997" t="b">
        <v>0</v>
      </c>
      <c r="H1997" t="b">
        <v>0</v>
      </c>
      <c r="I1997" t="b">
        <v>0</v>
      </c>
    </row>
    <row r="1998" spans="1:9" x14ac:dyDescent="0.2">
      <c r="A1998" t="s">
        <v>1665</v>
      </c>
      <c r="B1998" t="s">
        <v>2487</v>
      </c>
      <c r="D1998" t="b">
        <f>IFERROR(VLOOKUP(B1998,PatData!$A$2:$A$2000,1,),"")&lt;&gt;""</f>
        <v>0</v>
      </c>
      <c r="E1998" t="s">
        <v>563</v>
      </c>
      <c r="F1998" t="b">
        <v>0</v>
      </c>
      <c r="G1998" t="b">
        <v>0</v>
      </c>
      <c r="H1998" t="b">
        <v>0</v>
      </c>
      <c r="I1998" t="b">
        <v>0</v>
      </c>
    </row>
    <row r="1999" spans="1:9" x14ac:dyDescent="0.2">
      <c r="A1999" t="s">
        <v>1666</v>
      </c>
      <c r="B1999" t="s">
        <v>2488</v>
      </c>
      <c r="D1999" t="b">
        <f>IFERROR(VLOOKUP(B1999,PatData!$A$2:$A$2000,1,),"")&lt;&gt;""</f>
        <v>0</v>
      </c>
      <c r="E1999" t="s">
        <v>3944</v>
      </c>
      <c r="F1999" t="b">
        <v>1</v>
      </c>
      <c r="G1999" t="b">
        <v>0</v>
      </c>
      <c r="H1999" t="b">
        <v>0</v>
      </c>
      <c r="I1999" t="b">
        <v>0</v>
      </c>
    </row>
    <row r="2000" spans="1:9" x14ac:dyDescent="0.2">
      <c r="A2000" t="s">
        <v>1667</v>
      </c>
      <c r="B2000" t="s">
        <v>2489</v>
      </c>
      <c r="D2000" t="b">
        <f>IFERROR(VLOOKUP(B2000,PatData!$A$2:$A$2000,1,),"")&lt;&gt;""</f>
        <v>0</v>
      </c>
      <c r="E2000" t="s">
        <v>3945</v>
      </c>
      <c r="F2000" t="b">
        <v>1</v>
      </c>
      <c r="G2000" t="b">
        <v>0</v>
      </c>
      <c r="H2000" t="b">
        <v>0</v>
      </c>
      <c r="I2000" t="b">
        <v>0</v>
      </c>
    </row>
    <row r="2001" spans="1:9" x14ac:dyDescent="0.2">
      <c r="A2001" t="s">
        <v>1668</v>
      </c>
      <c r="B2001" t="s">
        <v>2490</v>
      </c>
      <c r="D2001" t="b">
        <f>IFERROR(VLOOKUP(B2001,PatData!$A$2:$A$2000,1,),"")&lt;&gt;""</f>
        <v>0</v>
      </c>
      <c r="E2001" t="s">
        <v>562</v>
      </c>
      <c r="F2001" t="b">
        <v>0</v>
      </c>
      <c r="G2001" t="b">
        <v>0</v>
      </c>
      <c r="H2001" t="b">
        <v>0</v>
      </c>
      <c r="I2001" t="b">
        <v>0</v>
      </c>
    </row>
    <row r="2002" spans="1:9" x14ac:dyDescent="0.2">
      <c r="A2002" t="s">
        <v>1669</v>
      </c>
      <c r="B2002" t="s">
        <v>2491</v>
      </c>
      <c r="D2002" t="b">
        <f>IFERROR(VLOOKUP(B2002,PatData!$A$2:$A$2000,1,),"")&lt;&gt;""</f>
        <v>0</v>
      </c>
      <c r="E2002" t="s">
        <v>5310</v>
      </c>
      <c r="F2002" t="b">
        <v>1</v>
      </c>
      <c r="G2002" t="b">
        <v>0</v>
      </c>
      <c r="H2002" t="b">
        <v>0</v>
      </c>
      <c r="I2002" t="b">
        <v>0</v>
      </c>
    </row>
    <row r="2003" spans="1:9" x14ac:dyDescent="0.2">
      <c r="A2003" t="s">
        <v>1670</v>
      </c>
      <c r="B2003" t="s">
        <v>2492</v>
      </c>
      <c r="D2003" t="b">
        <f>IFERROR(VLOOKUP(B2003,PatData!$A$2:$A$2000,1,),"")&lt;&gt;""</f>
        <v>0</v>
      </c>
      <c r="E2003" t="s">
        <v>5311</v>
      </c>
      <c r="F2003" t="b">
        <v>1</v>
      </c>
      <c r="G2003" t="b">
        <v>0</v>
      </c>
      <c r="H2003" t="b">
        <v>0</v>
      </c>
      <c r="I2003" t="b">
        <v>0</v>
      </c>
    </row>
    <row r="2004" spans="1:9" x14ac:dyDescent="0.2">
      <c r="A2004" t="s">
        <v>1671</v>
      </c>
      <c r="B2004" t="s">
        <v>2493</v>
      </c>
      <c r="D2004" t="b">
        <f>IFERROR(VLOOKUP(B2004,PatData!$A$2:$A$2000,1,),"")&lt;&gt;""</f>
        <v>0</v>
      </c>
      <c r="E2004" t="s">
        <v>345</v>
      </c>
      <c r="F2004" t="b">
        <v>0</v>
      </c>
      <c r="G2004" t="b">
        <v>0</v>
      </c>
      <c r="H2004" t="b">
        <v>0</v>
      </c>
      <c r="I2004" t="b">
        <v>0</v>
      </c>
    </row>
    <row r="2005" spans="1:9" x14ac:dyDescent="0.2">
      <c r="A2005" t="s">
        <v>1672</v>
      </c>
      <c r="B2005" t="s">
        <v>2494</v>
      </c>
      <c r="D2005" t="b">
        <f>IFERROR(VLOOKUP(B2005,PatData!$A$2:$A$2000,1,),"")&lt;&gt;""</f>
        <v>0</v>
      </c>
      <c r="E2005" t="s">
        <v>3946</v>
      </c>
      <c r="F2005" t="b">
        <v>1</v>
      </c>
      <c r="G2005" t="b">
        <v>0</v>
      </c>
      <c r="H2005" t="b">
        <v>0</v>
      </c>
      <c r="I2005" t="b">
        <v>0</v>
      </c>
    </row>
    <row r="2006" spans="1:9" x14ac:dyDescent="0.2">
      <c r="A2006" t="s">
        <v>1673</v>
      </c>
      <c r="B2006" t="s">
        <v>2495</v>
      </c>
      <c r="D2006" t="b">
        <f>IFERROR(VLOOKUP(B2006,PatData!$A$2:$A$2000,1,),"")&lt;&gt;""</f>
        <v>0</v>
      </c>
      <c r="E2006" t="s">
        <v>3947</v>
      </c>
      <c r="F2006" t="b">
        <v>1</v>
      </c>
      <c r="G2006" t="b">
        <v>0</v>
      </c>
      <c r="H2006" t="b">
        <v>0</v>
      </c>
      <c r="I2006" t="b">
        <v>0</v>
      </c>
    </row>
    <row r="2007" spans="1:9" x14ac:dyDescent="0.2">
      <c r="A2007" t="s">
        <v>1674</v>
      </c>
      <c r="B2007" t="s">
        <v>2496</v>
      </c>
      <c r="D2007" t="b">
        <f>IFERROR(VLOOKUP(B2007,PatData!$A$2:$A$2000,1,),"")&lt;&gt;""</f>
        <v>0</v>
      </c>
      <c r="E2007" t="s">
        <v>210</v>
      </c>
      <c r="F2007" t="b">
        <v>0</v>
      </c>
      <c r="G2007" t="b">
        <v>0</v>
      </c>
      <c r="H2007" t="b">
        <v>0</v>
      </c>
      <c r="I2007" t="b">
        <v>0</v>
      </c>
    </row>
    <row r="2008" spans="1:9" x14ac:dyDescent="0.2">
      <c r="A2008" t="s">
        <v>1675</v>
      </c>
      <c r="B2008" t="s">
        <v>2497</v>
      </c>
      <c r="D2008" t="b">
        <f>IFERROR(VLOOKUP(B2008,PatData!$A$2:$A$2000,1,),"")&lt;&gt;""</f>
        <v>0</v>
      </c>
      <c r="E2008" t="s">
        <v>3929</v>
      </c>
      <c r="F2008" t="b">
        <v>1</v>
      </c>
      <c r="G2008" t="b">
        <v>0</v>
      </c>
      <c r="H2008" t="b">
        <v>0</v>
      </c>
      <c r="I2008" t="b">
        <v>0</v>
      </c>
    </row>
    <row r="2009" spans="1:9" x14ac:dyDescent="0.2">
      <c r="A2009" t="s">
        <v>1676</v>
      </c>
      <c r="B2009" t="s">
        <v>2498</v>
      </c>
      <c r="D2009" t="b">
        <f>IFERROR(VLOOKUP(B2009,PatData!$A$2:$A$2000,1,),"")&lt;&gt;""</f>
        <v>0</v>
      </c>
      <c r="E2009" t="s">
        <v>3948</v>
      </c>
      <c r="F2009" t="b">
        <v>1</v>
      </c>
      <c r="G2009" t="b">
        <v>0</v>
      </c>
      <c r="H2009" t="b">
        <v>0</v>
      </c>
      <c r="I2009" t="b">
        <v>0</v>
      </c>
    </row>
    <row r="2010" spans="1:9" x14ac:dyDescent="0.2">
      <c r="A2010" t="s">
        <v>1677</v>
      </c>
      <c r="B2010" t="s">
        <v>2499</v>
      </c>
      <c r="D2010" t="b">
        <f>IFERROR(VLOOKUP(B2010,PatData!$A$2:$A$2000,1,),"")&lt;&gt;""</f>
        <v>0</v>
      </c>
      <c r="E2010" t="s">
        <v>3931</v>
      </c>
      <c r="F2010" t="b">
        <v>1</v>
      </c>
      <c r="G2010" t="b">
        <v>0</v>
      </c>
      <c r="H2010" t="b">
        <v>0</v>
      </c>
      <c r="I2010" t="b">
        <v>0</v>
      </c>
    </row>
    <row r="2011" spans="1:9" x14ac:dyDescent="0.2">
      <c r="A2011" t="s">
        <v>5170</v>
      </c>
      <c r="B2011" t="s">
        <v>5171</v>
      </c>
      <c r="D2011" t="b">
        <f>IFERROR(VLOOKUP(B2011,PatData!$A$2:$A$2000,1,),"")&lt;&gt;""</f>
        <v>0</v>
      </c>
      <c r="E2011" t="s">
        <v>5172</v>
      </c>
      <c r="F2011" t="b">
        <v>1</v>
      </c>
      <c r="G2011" t="b">
        <v>0</v>
      </c>
      <c r="H2011" t="b">
        <v>0</v>
      </c>
      <c r="I2011" t="b">
        <v>0</v>
      </c>
    </row>
    <row r="2012" spans="1:9" x14ac:dyDescent="0.2">
      <c r="A2012" t="s">
        <v>4837</v>
      </c>
      <c r="B2012" t="s">
        <v>2412</v>
      </c>
      <c r="D2012" t="b">
        <f>IFERROR(VLOOKUP(B2012,PatData!$A$2:$A$2000,1,),"")&lt;&gt;""</f>
        <v>0</v>
      </c>
      <c r="E2012" t="s">
        <v>3949</v>
      </c>
      <c r="F2012" t="b">
        <v>1</v>
      </c>
      <c r="G2012" t="b">
        <v>0</v>
      </c>
      <c r="H2012" t="b">
        <v>0</v>
      </c>
      <c r="I2012" t="b">
        <v>0</v>
      </c>
    </row>
    <row r="2013" spans="1:9" x14ac:dyDescent="0.2">
      <c r="A2013" t="s">
        <v>4838</v>
      </c>
      <c r="B2013" t="s">
        <v>2413</v>
      </c>
      <c r="D2013" t="b">
        <f>IFERROR(VLOOKUP(B2013,PatData!$A$2:$A$2000,1,),"")&lt;&gt;""</f>
        <v>0</v>
      </c>
      <c r="E2013" t="s">
        <v>3950</v>
      </c>
      <c r="F2013" t="b">
        <v>1</v>
      </c>
      <c r="G2013" t="b">
        <v>0</v>
      </c>
      <c r="H2013" t="b">
        <v>0</v>
      </c>
      <c r="I2013" t="b">
        <v>0</v>
      </c>
    </row>
    <row r="2014" spans="1:9" x14ac:dyDescent="0.2">
      <c r="A2014" t="s">
        <v>4839</v>
      </c>
      <c r="B2014" t="s">
        <v>2414</v>
      </c>
      <c r="D2014" t="b">
        <f>IFERROR(VLOOKUP(B2014,PatData!$A$2:$A$2000,1,),"")&lt;&gt;""</f>
        <v>0</v>
      </c>
      <c r="E2014" t="s">
        <v>3951</v>
      </c>
      <c r="F2014" t="b">
        <v>1</v>
      </c>
      <c r="G2014" t="b">
        <v>0</v>
      </c>
      <c r="H2014" t="b">
        <v>0</v>
      </c>
      <c r="I2014" t="b">
        <v>0</v>
      </c>
    </row>
    <row r="2015" spans="1:9" x14ac:dyDescent="0.2">
      <c r="A2015" t="s">
        <v>4840</v>
      </c>
      <c r="B2015" t="s">
        <v>2415</v>
      </c>
      <c r="D2015" t="b">
        <f>IFERROR(VLOOKUP(B2015,PatData!$A$2:$A$2000,1,),"")&lt;&gt;""</f>
        <v>0</v>
      </c>
      <c r="E2015" t="s">
        <v>3952</v>
      </c>
      <c r="F2015" t="b">
        <v>1</v>
      </c>
      <c r="G2015" t="b">
        <v>0</v>
      </c>
      <c r="H2015" t="b">
        <v>0</v>
      </c>
      <c r="I2015" t="b">
        <v>0</v>
      </c>
    </row>
    <row r="2016" spans="1:9" x14ac:dyDescent="0.2">
      <c r="A2016" t="s">
        <v>4841</v>
      </c>
      <c r="B2016" t="s">
        <v>2390</v>
      </c>
      <c r="D2016" t="b">
        <f>IFERROR(VLOOKUP(B2016,PatData!$A$2:$A$2000,1,),"")&lt;&gt;""</f>
        <v>0</v>
      </c>
      <c r="E2016" t="s">
        <v>2509</v>
      </c>
      <c r="F2016" t="b">
        <v>1</v>
      </c>
      <c r="G2016" t="b">
        <v>0</v>
      </c>
      <c r="H2016" t="b">
        <v>0</v>
      </c>
      <c r="I2016" t="b">
        <v>0</v>
      </c>
    </row>
    <row r="2017" spans="1:9" x14ac:dyDescent="0.2">
      <c r="A2017" t="s">
        <v>1288</v>
      </c>
      <c r="B2017" t="s">
        <v>1272</v>
      </c>
      <c r="D2017" t="b">
        <f>IFERROR(VLOOKUP(B2017,PatData!$A$2:$A$2000,1,),"")&lt;&gt;""</f>
        <v>0</v>
      </c>
      <c r="E2017" t="s">
        <v>2509</v>
      </c>
      <c r="F2017" t="b">
        <v>1</v>
      </c>
      <c r="G2017" t="b">
        <v>0</v>
      </c>
      <c r="H2017" t="b">
        <v>0</v>
      </c>
      <c r="I2017" t="b">
        <v>0</v>
      </c>
    </row>
    <row r="2018" spans="1:9" x14ac:dyDescent="0.2">
      <c r="A2018" t="s">
        <v>5073</v>
      </c>
      <c r="B2018" t="s">
        <v>1273</v>
      </c>
      <c r="D2018" t="b">
        <f>IFERROR(VLOOKUP(B2018,PatData!$A$2:$A$2000,1,),"")&lt;&gt;""</f>
        <v>0</v>
      </c>
      <c r="E2018" t="s">
        <v>2509</v>
      </c>
      <c r="F2018" t="b">
        <v>1</v>
      </c>
      <c r="G2018" t="b">
        <v>0</v>
      </c>
      <c r="H2018" t="b">
        <v>0</v>
      </c>
      <c r="I2018" t="b">
        <v>0</v>
      </c>
    </row>
    <row r="2019" spans="1:9" x14ac:dyDescent="0.2">
      <c r="A2019" t="s">
        <v>2105</v>
      </c>
      <c r="B2019" t="s">
        <v>1274</v>
      </c>
      <c r="D2019" t="b">
        <f>IFERROR(VLOOKUP(B2019,PatData!$A$2:$A$2000,1,),"")&lt;&gt;""</f>
        <v>0</v>
      </c>
      <c r="E2019" t="s">
        <v>2509</v>
      </c>
      <c r="F2019" t="b">
        <v>1</v>
      </c>
      <c r="G2019" t="b">
        <v>0</v>
      </c>
      <c r="H2019" t="b">
        <v>0</v>
      </c>
      <c r="I2019" t="b">
        <v>0</v>
      </c>
    </row>
    <row r="2020" spans="1:9" x14ac:dyDescent="0.2">
      <c r="A2020" t="s">
        <v>2108</v>
      </c>
      <c r="B2020" t="s">
        <v>1275</v>
      </c>
      <c r="D2020" t="b">
        <f>IFERROR(VLOOKUP(B2020,PatData!$A$2:$A$2000,1,),"")&lt;&gt;""</f>
        <v>0</v>
      </c>
      <c r="E2020" t="s">
        <v>2509</v>
      </c>
      <c r="F2020" t="b">
        <v>1</v>
      </c>
      <c r="G2020" t="b">
        <v>0</v>
      </c>
      <c r="H2020" t="b">
        <v>0</v>
      </c>
      <c r="I2020" t="b">
        <v>0</v>
      </c>
    </row>
    <row r="2021" spans="1:9" x14ac:dyDescent="0.2">
      <c r="A2021" t="s">
        <v>2110</v>
      </c>
      <c r="B2021" t="s">
        <v>1276</v>
      </c>
      <c r="D2021" t="b">
        <f>IFERROR(VLOOKUP(B2021,PatData!$A$2:$A$2000,1,),"")&lt;&gt;""</f>
        <v>0</v>
      </c>
      <c r="E2021" t="s">
        <v>2509</v>
      </c>
      <c r="F2021" t="b">
        <v>1</v>
      </c>
      <c r="G2021" t="b">
        <v>0</v>
      </c>
      <c r="H2021" t="b">
        <v>0</v>
      </c>
      <c r="I2021" t="b">
        <v>0</v>
      </c>
    </row>
    <row r="2022" spans="1:9" x14ac:dyDescent="0.2">
      <c r="A2022" t="s">
        <v>2111</v>
      </c>
      <c r="B2022" t="s">
        <v>1277</v>
      </c>
      <c r="D2022" t="b">
        <f>IFERROR(VLOOKUP(B2022,PatData!$A$2:$A$2000,1,),"")&lt;&gt;""</f>
        <v>0</v>
      </c>
      <c r="E2022" t="s">
        <v>2509</v>
      </c>
      <c r="F2022" t="b">
        <v>1</v>
      </c>
      <c r="G2022" t="b">
        <v>0</v>
      </c>
      <c r="H2022" t="b">
        <v>0</v>
      </c>
      <c r="I2022" t="b">
        <v>0</v>
      </c>
    </row>
    <row r="2023" spans="1:9" x14ac:dyDescent="0.2">
      <c r="A2023" t="s">
        <v>2112</v>
      </c>
      <c r="B2023" t="s">
        <v>1278</v>
      </c>
      <c r="D2023" t="b">
        <f>IFERROR(VLOOKUP(B2023,PatData!$A$2:$A$2000,1,),"")&lt;&gt;""</f>
        <v>0</v>
      </c>
      <c r="E2023" t="s">
        <v>2509</v>
      </c>
      <c r="F2023" t="b">
        <v>1</v>
      </c>
      <c r="G2023" t="b">
        <v>0</v>
      </c>
      <c r="H2023" t="b">
        <v>0</v>
      </c>
      <c r="I2023" t="b">
        <v>0</v>
      </c>
    </row>
    <row r="2024" spans="1:9" x14ac:dyDescent="0.2">
      <c r="A2024" t="s">
        <v>2113</v>
      </c>
      <c r="B2024" t="s">
        <v>1279</v>
      </c>
      <c r="D2024" t="b">
        <f>IFERROR(VLOOKUP(B2024,PatData!$A$2:$A$2000,1,),"")&lt;&gt;""</f>
        <v>0</v>
      </c>
      <c r="E2024" t="s">
        <v>2509</v>
      </c>
      <c r="F2024" t="b">
        <v>1</v>
      </c>
      <c r="G2024" t="b">
        <v>0</v>
      </c>
      <c r="H2024" t="b">
        <v>0</v>
      </c>
      <c r="I2024" t="b">
        <v>0</v>
      </c>
    </row>
    <row r="2025" spans="1:9" x14ac:dyDescent="0.2">
      <c r="A2025" t="s">
        <v>2114</v>
      </c>
      <c r="B2025" t="s">
        <v>1280</v>
      </c>
      <c r="D2025" t="b">
        <f>IFERROR(VLOOKUP(B2025,PatData!$A$2:$A$2000,1,),"")&lt;&gt;""</f>
        <v>0</v>
      </c>
      <c r="E2025" t="s">
        <v>2509</v>
      </c>
      <c r="F2025" t="b">
        <v>1</v>
      </c>
      <c r="G2025" t="b">
        <v>0</v>
      </c>
      <c r="H2025" t="b">
        <v>0</v>
      </c>
      <c r="I2025" t="b">
        <v>0</v>
      </c>
    </row>
    <row r="2026" spans="1:9" x14ac:dyDescent="0.2">
      <c r="A2026" t="s">
        <v>2115</v>
      </c>
      <c r="B2026" t="s">
        <v>1281</v>
      </c>
      <c r="D2026" t="b">
        <f>IFERROR(VLOOKUP(B2026,PatData!$A$2:$A$2000,1,),"")&lt;&gt;""</f>
        <v>0</v>
      </c>
      <c r="E2026" t="s">
        <v>2509</v>
      </c>
      <c r="F2026" t="b">
        <v>1</v>
      </c>
      <c r="G2026" t="b">
        <v>0</v>
      </c>
      <c r="H2026" t="b">
        <v>0</v>
      </c>
      <c r="I2026" t="b">
        <v>0</v>
      </c>
    </row>
    <row r="2027" spans="1:9" x14ac:dyDescent="0.2">
      <c r="A2027" t="s">
        <v>2116</v>
      </c>
      <c r="B2027" t="s">
        <v>1282</v>
      </c>
      <c r="D2027" t="b">
        <f>IFERROR(VLOOKUP(B2027,PatData!$A$2:$A$2000,1,),"")&lt;&gt;""</f>
        <v>0</v>
      </c>
      <c r="E2027" t="s">
        <v>2509</v>
      </c>
      <c r="F2027" t="b">
        <v>1</v>
      </c>
      <c r="G2027" t="b">
        <v>0</v>
      </c>
      <c r="H2027" t="b">
        <v>0</v>
      </c>
      <c r="I2027" t="b">
        <v>0</v>
      </c>
    </row>
    <row r="2028" spans="1:9" x14ac:dyDescent="0.2">
      <c r="A2028" t="s">
        <v>2117</v>
      </c>
      <c r="B2028" t="s">
        <v>1283</v>
      </c>
      <c r="D2028" t="b">
        <f>IFERROR(VLOOKUP(B2028,PatData!$A$2:$A$2000,1,),"")&lt;&gt;""</f>
        <v>0</v>
      </c>
      <c r="E2028" t="s">
        <v>2509</v>
      </c>
      <c r="F2028" t="b">
        <v>1</v>
      </c>
      <c r="G2028" t="b">
        <v>0</v>
      </c>
      <c r="H2028" t="b">
        <v>0</v>
      </c>
      <c r="I2028" t="b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Opm">
    <tabColor rgb="FF92D050"/>
  </sheetPr>
  <dimension ref="A1:B6"/>
  <sheetViews>
    <sheetView workbookViewId="0">
      <selection activeCell="B6" sqref="B6"/>
    </sheetView>
  </sheetViews>
  <sheetFormatPr defaultRowHeight="12.75" x14ac:dyDescent="0.2"/>
  <cols>
    <col min="1" max="1" width="37.7109375" customWidth="1"/>
    <col min="2" max="2" width="13.28515625" customWidth="1"/>
  </cols>
  <sheetData>
    <row r="1" spans="1:2" x14ac:dyDescent="0.2">
      <c r="A1" t="s">
        <v>85</v>
      </c>
      <c r="B1" t="s">
        <v>256</v>
      </c>
    </row>
    <row r="2" spans="1:2" x14ac:dyDescent="0.2">
      <c r="A2" t="s">
        <v>111</v>
      </c>
    </row>
    <row r="3" spans="1:2" x14ac:dyDescent="0.2">
      <c r="A3" s="321" t="s">
        <v>4906</v>
      </c>
    </row>
    <row r="4" spans="1:2" x14ac:dyDescent="0.2">
      <c r="A4" t="s">
        <v>67</v>
      </c>
      <c r="B4">
        <v>0</v>
      </c>
    </row>
    <row r="5" spans="1:2" x14ac:dyDescent="0.2">
      <c r="A5" t="s">
        <v>122</v>
      </c>
      <c r="B5" s="21"/>
    </row>
    <row r="6" spans="1:2" x14ac:dyDescent="0.2">
      <c r="A6" t="s">
        <v>155</v>
      </c>
      <c r="B6" t="s">
        <v>5113</v>
      </c>
    </row>
  </sheetData>
  <customSheetViews>
    <customSheetView guid="{33CCADFA-0D48-46A6-8927-2B2144029216}" state="veryHidden">
      <selection activeCell="C2" sqref="C2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8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H20"/>
  <sheetViews>
    <sheetView workbookViewId="0">
      <selection activeCell="C16" sqref="C16:D16"/>
    </sheetView>
  </sheetViews>
  <sheetFormatPr defaultRowHeight="12.75" x14ac:dyDescent="0.2"/>
  <cols>
    <col min="1" max="1" width="36.28515625" customWidth="1"/>
    <col min="2" max="2" width="10.5703125" style="1" customWidth="1"/>
    <col min="4" max="4" width="13.28515625" customWidth="1"/>
    <col min="5" max="5" width="12.42578125" style="1" customWidth="1"/>
    <col min="7" max="7" width="11.42578125" customWidth="1"/>
    <col min="8" max="8" width="11.7109375" customWidth="1"/>
  </cols>
  <sheetData>
    <row r="1" spans="1:8" x14ac:dyDescent="0.2">
      <c r="A1" s="361"/>
      <c r="D1" t="s">
        <v>61</v>
      </c>
      <c r="E1" s="1" t="s">
        <v>160</v>
      </c>
    </row>
    <row r="2" spans="1:8" x14ac:dyDescent="0.2">
      <c r="D2" t="s">
        <v>37</v>
      </c>
    </row>
    <row r="4" spans="1:8" x14ac:dyDescent="0.2">
      <c r="C4" s="5"/>
      <c r="D4" s="39" t="s">
        <v>239</v>
      </c>
      <c r="E4" s="39">
        <v>4.3478000000000003E-2</v>
      </c>
      <c r="H4" s="39"/>
    </row>
    <row r="5" spans="1:8" x14ac:dyDescent="0.2">
      <c r="C5" s="5"/>
      <c r="D5" s="39" t="s">
        <v>240</v>
      </c>
      <c r="E5" s="39">
        <v>2.5641000000000001E-2</v>
      </c>
      <c r="H5" s="39"/>
    </row>
    <row r="6" spans="1:8" x14ac:dyDescent="0.2">
      <c r="A6" s="361"/>
      <c r="D6" s="39" t="s">
        <v>241</v>
      </c>
      <c r="E6" s="39">
        <v>2.5000000000000001E-2</v>
      </c>
      <c r="H6" s="39"/>
    </row>
    <row r="7" spans="1:8" x14ac:dyDescent="0.2">
      <c r="D7" s="39" t="s">
        <v>248</v>
      </c>
      <c r="E7" s="39">
        <v>3.2288999999999998E-2</v>
      </c>
      <c r="H7" s="39"/>
    </row>
    <row r="8" spans="1:8" x14ac:dyDescent="0.2">
      <c r="D8" s="39" t="s">
        <v>242</v>
      </c>
      <c r="E8" s="39">
        <v>4.1140999999999997E-2</v>
      </c>
      <c r="H8" s="39"/>
    </row>
    <row r="9" spans="1:8" x14ac:dyDescent="0.2">
      <c r="D9" s="39"/>
      <c r="E9" s="39"/>
      <c r="H9" s="39"/>
    </row>
    <row r="10" spans="1:8" x14ac:dyDescent="0.2">
      <c r="D10" s="39"/>
      <c r="E10" s="39"/>
      <c r="H10" s="39"/>
    </row>
    <row r="11" spans="1:8" x14ac:dyDescent="0.2">
      <c r="D11" s="39"/>
      <c r="E11" s="39"/>
      <c r="H11" s="39"/>
    </row>
    <row r="12" spans="1:8" x14ac:dyDescent="0.2">
      <c r="D12" s="39"/>
      <c r="E12" s="39"/>
      <c r="H12" s="39"/>
    </row>
    <row r="13" spans="1:8" x14ac:dyDescent="0.2">
      <c r="D13" s="39"/>
      <c r="E13" s="39"/>
      <c r="H13" s="39"/>
    </row>
    <row r="14" spans="1:8" x14ac:dyDescent="0.2">
      <c r="D14" s="39"/>
      <c r="E14" s="39"/>
      <c r="H14" s="39"/>
    </row>
    <row r="15" spans="1:8" x14ac:dyDescent="0.2">
      <c r="D15" s="39"/>
      <c r="E15" s="39"/>
      <c r="H15" s="39"/>
    </row>
    <row r="16" spans="1:8" x14ac:dyDescent="0.2">
      <c r="D16" s="39"/>
      <c r="E16" s="39"/>
      <c r="H16" s="39"/>
    </row>
    <row r="17" spans="4:8" x14ac:dyDescent="0.2">
      <c r="D17" s="39"/>
      <c r="E17" s="39"/>
      <c r="H17" s="39"/>
    </row>
    <row r="18" spans="4:8" x14ac:dyDescent="0.2">
      <c r="D18" s="39"/>
      <c r="E18" s="39"/>
      <c r="H18" s="39"/>
    </row>
    <row r="19" spans="4:8" x14ac:dyDescent="0.2">
      <c r="D19" s="39"/>
      <c r="E19" s="39"/>
      <c r="H19" s="39"/>
    </row>
    <row r="20" spans="4:8" x14ac:dyDescent="0.2">
      <c r="D20" s="39"/>
      <c r="E20" s="39"/>
      <c r="H20" s="39"/>
    </row>
  </sheetData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21" sqref="A21"/>
    </sheetView>
  </sheetViews>
  <sheetFormatPr defaultRowHeight="12.75" x14ac:dyDescent="0.2"/>
  <sheetData>
    <row r="1" spans="1:2" x14ac:dyDescent="0.2">
      <c r="A1" s="361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361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360</v>
      </c>
      <c r="E17" t="s">
        <v>361</v>
      </c>
      <c r="F17" s="17">
        <f ca="1">TODAY()-__4_GebDatum+1</f>
        <v>41287</v>
      </c>
    </row>
    <row r="18" spans="1:6" x14ac:dyDescent="0.2">
      <c r="A18" s="18">
        <f ca="1">IF(F17&lt;6,VLOOKUP(F17,A1:B5,2),IF(F18&lt;6,150,IF(F18&lt;8,125,IF(F18&lt;10,100,IF(F18&lt;20,(1000+(F18-10)*50)/F18,IF(F18&lt;30,(1500+(F18-20)*20)/F18,(1700+(F18-30)*10)/F18))))))</f>
        <v>150</v>
      </c>
      <c r="E18" t="s">
        <v>362</v>
      </c>
      <c r="F18">
        <f>_Pat_Gewicht/10</f>
        <v>0</v>
      </c>
    </row>
    <row r="20" spans="1:6" x14ac:dyDescent="0.2">
      <c r="A20" t="s">
        <v>117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567"/>
  <sheetViews>
    <sheetView workbookViewId="0">
      <selection sqref="A1:B1567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2" x14ac:dyDescent="0.2">
      <c r="A1" t="s">
        <v>166</v>
      </c>
      <c r="B1" t="s">
        <v>167</v>
      </c>
    </row>
    <row r="2" spans="1:2" x14ac:dyDescent="0.2">
      <c r="A2" t="s">
        <v>1205</v>
      </c>
      <c r="B2" t="s">
        <v>5131</v>
      </c>
    </row>
    <row r="3" spans="1:2" x14ac:dyDescent="0.2">
      <c r="A3" t="s">
        <v>1206</v>
      </c>
      <c r="B3" t="s">
        <v>3804</v>
      </c>
    </row>
    <row r="4" spans="1:2" x14ac:dyDescent="0.2">
      <c r="A4" t="s">
        <v>1207</v>
      </c>
      <c r="B4" t="s">
        <v>5131</v>
      </c>
    </row>
    <row r="5" spans="1:2" x14ac:dyDescent="0.2">
      <c r="A5" t="s">
        <v>1208</v>
      </c>
      <c r="B5" t="s">
        <v>5131</v>
      </c>
    </row>
    <row r="6" spans="1:2" x14ac:dyDescent="0.2">
      <c r="A6" t="s">
        <v>1209</v>
      </c>
      <c r="B6">
        <v>2</v>
      </c>
    </row>
    <row r="7" spans="1:2" x14ac:dyDescent="0.2">
      <c r="A7" t="s">
        <v>2512</v>
      </c>
      <c r="B7" t="s">
        <v>5131</v>
      </c>
    </row>
    <row r="8" spans="1:2" x14ac:dyDescent="0.2">
      <c r="A8" t="s">
        <v>2513</v>
      </c>
      <c r="B8" t="s">
        <v>5131</v>
      </c>
    </row>
    <row r="9" spans="1:2" x14ac:dyDescent="0.2">
      <c r="A9" t="s">
        <v>2514</v>
      </c>
      <c r="B9" t="s">
        <v>5131</v>
      </c>
    </row>
    <row r="10" spans="1:2" x14ac:dyDescent="0.2">
      <c r="A10" t="s">
        <v>2515</v>
      </c>
      <c r="B10" t="s">
        <v>5131</v>
      </c>
    </row>
    <row r="11" spans="1:2" x14ac:dyDescent="0.2">
      <c r="A11" t="s">
        <v>2516</v>
      </c>
      <c r="B11" t="s">
        <v>5131</v>
      </c>
    </row>
    <row r="12" spans="1:2" x14ac:dyDescent="0.2">
      <c r="A12" t="s">
        <v>2517</v>
      </c>
      <c r="B12" t="s">
        <v>5131</v>
      </c>
    </row>
    <row r="13" spans="1:2" x14ac:dyDescent="0.2">
      <c r="A13" t="s">
        <v>2518</v>
      </c>
      <c r="B13" t="s">
        <v>5131</v>
      </c>
    </row>
    <row r="14" spans="1:2" x14ac:dyDescent="0.2">
      <c r="A14" t="s">
        <v>2519</v>
      </c>
      <c r="B14" t="s">
        <v>5131</v>
      </c>
    </row>
    <row r="15" spans="1:2" x14ac:dyDescent="0.2">
      <c r="A15" t="s">
        <v>2520</v>
      </c>
      <c r="B15" t="s">
        <v>5131</v>
      </c>
    </row>
    <row r="16" spans="1:2" x14ac:dyDescent="0.2">
      <c r="A16" t="s">
        <v>2521</v>
      </c>
      <c r="B16" t="s">
        <v>5131</v>
      </c>
    </row>
    <row r="17" spans="1:2" x14ac:dyDescent="0.2">
      <c r="A17" t="s">
        <v>2522</v>
      </c>
      <c r="B17" t="s">
        <v>5131</v>
      </c>
    </row>
    <row r="18" spans="1:2" x14ac:dyDescent="0.2">
      <c r="A18" t="s">
        <v>2523</v>
      </c>
      <c r="B18" t="s">
        <v>5131</v>
      </c>
    </row>
    <row r="19" spans="1:2" x14ac:dyDescent="0.2">
      <c r="A19" t="s">
        <v>2524</v>
      </c>
      <c r="B19" t="s">
        <v>5131</v>
      </c>
    </row>
    <row r="20" spans="1:2" x14ac:dyDescent="0.2">
      <c r="A20" t="s">
        <v>2525</v>
      </c>
      <c r="B20" t="s">
        <v>5131</v>
      </c>
    </row>
    <row r="21" spans="1:2" x14ac:dyDescent="0.2">
      <c r="A21" t="s">
        <v>2526</v>
      </c>
      <c r="B21" t="s">
        <v>5131</v>
      </c>
    </row>
    <row r="22" spans="1:2" x14ac:dyDescent="0.2">
      <c r="A22" t="s">
        <v>2527</v>
      </c>
      <c r="B22" t="s">
        <v>5131</v>
      </c>
    </row>
    <row r="23" spans="1:2" x14ac:dyDescent="0.2">
      <c r="A23" t="s">
        <v>2528</v>
      </c>
      <c r="B23" t="s">
        <v>5131</v>
      </c>
    </row>
    <row r="24" spans="1:2" x14ac:dyDescent="0.2">
      <c r="A24" t="s">
        <v>2529</v>
      </c>
      <c r="B24" t="s">
        <v>5131</v>
      </c>
    </row>
    <row r="25" spans="1:2" x14ac:dyDescent="0.2">
      <c r="A25" t="s">
        <v>2530</v>
      </c>
      <c r="B25" t="s">
        <v>5131</v>
      </c>
    </row>
    <row r="26" spans="1:2" x14ac:dyDescent="0.2">
      <c r="A26" t="s">
        <v>2531</v>
      </c>
      <c r="B26" t="s">
        <v>5131</v>
      </c>
    </row>
    <row r="27" spans="1:2" x14ac:dyDescent="0.2">
      <c r="A27" t="s">
        <v>2532</v>
      </c>
      <c r="B27" t="s">
        <v>5131</v>
      </c>
    </row>
    <row r="28" spans="1:2" x14ac:dyDescent="0.2">
      <c r="A28" t="s">
        <v>2533</v>
      </c>
      <c r="B28" t="s">
        <v>5131</v>
      </c>
    </row>
    <row r="29" spans="1:2" x14ac:dyDescent="0.2">
      <c r="A29" t="s">
        <v>2534</v>
      </c>
      <c r="B29" t="s">
        <v>5131</v>
      </c>
    </row>
    <row r="30" spans="1:2" x14ac:dyDescent="0.2">
      <c r="A30" t="s">
        <v>2535</v>
      </c>
      <c r="B30" t="s">
        <v>5131</v>
      </c>
    </row>
    <row r="31" spans="1:2" x14ac:dyDescent="0.2">
      <c r="A31" t="s">
        <v>2536</v>
      </c>
      <c r="B31" t="s">
        <v>5131</v>
      </c>
    </row>
    <row r="32" spans="1:2" x14ac:dyDescent="0.2">
      <c r="A32" t="s">
        <v>2537</v>
      </c>
      <c r="B32" t="s">
        <v>5131</v>
      </c>
    </row>
    <row r="33" spans="1:2" x14ac:dyDescent="0.2">
      <c r="A33" t="s">
        <v>2538</v>
      </c>
      <c r="B33" t="s">
        <v>5131</v>
      </c>
    </row>
    <row r="34" spans="1:2" x14ac:dyDescent="0.2">
      <c r="A34" t="s">
        <v>2539</v>
      </c>
      <c r="B34" t="s">
        <v>5131</v>
      </c>
    </row>
    <row r="35" spans="1:2" x14ac:dyDescent="0.2">
      <c r="A35" t="s">
        <v>2540</v>
      </c>
      <c r="B35" t="s">
        <v>5131</v>
      </c>
    </row>
    <row r="36" spans="1:2" x14ac:dyDescent="0.2">
      <c r="A36" t="s">
        <v>2541</v>
      </c>
      <c r="B36" t="s">
        <v>5131</v>
      </c>
    </row>
    <row r="37" spans="1:2" x14ac:dyDescent="0.2">
      <c r="A37" t="s">
        <v>2542</v>
      </c>
      <c r="B37" t="s">
        <v>5131</v>
      </c>
    </row>
    <row r="38" spans="1:2" x14ac:dyDescent="0.2">
      <c r="A38" t="s">
        <v>2543</v>
      </c>
      <c r="B38" t="s">
        <v>5131</v>
      </c>
    </row>
    <row r="39" spans="1:2" x14ac:dyDescent="0.2">
      <c r="A39" t="s">
        <v>2544</v>
      </c>
      <c r="B39" t="s">
        <v>5131</v>
      </c>
    </row>
    <row r="40" spans="1:2" x14ac:dyDescent="0.2">
      <c r="A40" t="s">
        <v>2545</v>
      </c>
      <c r="B40" t="s">
        <v>5131</v>
      </c>
    </row>
    <row r="41" spans="1:2" x14ac:dyDescent="0.2">
      <c r="A41" t="s">
        <v>2546</v>
      </c>
      <c r="B41" t="s">
        <v>5131</v>
      </c>
    </row>
    <row r="42" spans="1:2" x14ac:dyDescent="0.2">
      <c r="A42" t="s">
        <v>2547</v>
      </c>
      <c r="B42" t="s">
        <v>5131</v>
      </c>
    </row>
    <row r="43" spans="1:2" x14ac:dyDescent="0.2">
      <c r="A43" t="s">
        <v>2548</v>
      </c>
      <c r="B43" t="s">
        <v>5131</v>
      </c>
    </row>
    <row r="44" spans="1:2" x14ac:dyDescent="0.2">
      <c r="A44" t="s">
        <v>2549</v>
      </c>
      <c r="B44" t="s">
        <v>5131</v>
      </c>
    </row>
    <row r="45" spans="1:2" x14ac:dyDescent="0.2">
      <c r="A45" t="s">
        <v>2550</v>
      </c>
      <c r="B45" t="s">
        <v>5131</v>
      </c>
    </row>
    <row r="46" spans="1:2" x14ac:dyDescent="0.2">
      <c r="A46" t="s">
        <v>2551</v>
      </c>
      <c r="B46" t="s">
        <v>5131</v>
      </c>
    </row>
    <row r="47" spans="1:2" x14ac:dyDescent="0.2">
      <c r="A47" t="s">
        <v>2552</v>
      </c>
      <c r="B47" t="s">
        <v>5131</v>
      </c>
    </row>
    <row r="48" spans="1:2" x14ac:dyDescent="0.2">
      <c r="A48" t="s">
        <v>2553</v>
      </c>
      <c r="B48" t="s">
        <v>5131</v>
      </c>
    </row>
    <row r="49" spans="1:2" x14ac:dyDescent="0.2">
      <c r="A49" t="s">
        <v>2554</v>
      </c>
      <c r="B49" t="s">
        <v>5131</v>
      </c>
    </row>
    <row r="50" spans="1:2" x14ac:dyDescent="0.2">
      <c r="A50" t="s">
        <v>2555</v>
      </c>
      <c r="B50" t="s">
        <v>5131</v>
      </c>
    </row>
    <row r="51" spans="1:2" x14ac:dyDescent="0.2">
      <c r="A51" t="s">
        <v>2556</v>
      </c>
      <c r="B51" t="s">
        <v>5131</v>
      </c>
    </row>
    <row r="52" spans="1:2" x14ac:dyDescent="0.2">
      <c r="A52" t="s">
        <v>2557</v>
      </c>
      <c r="B52" t="s">
        <v>5131</v>
      </c>
    </row>
    <row r="53" spans="1:2" x14ac:dyDescent="0.2">
      <c r="A53" t="s">
        <v>2558</v>
      </c>
      <c r="B53" t="s">
        <v>5131</v>
      </c>
    </row>
    <row r="54" spans="1:2" x14ac:dyDescent="0.2">
      <c r="A54" t="s">
        <v>2559</v>
      </c>
      <c r="B54" t="s">
        <v>5131</v>
      </c>
    </row>
    <row r="55" spans="1:2" x14ac:dyDescent="0.2">
      <c r="A55" t="s">
        <v>2560</v>
      </c>
      <c r="B55" t="s">
        <v>5131</v>
      </c>
    </row>
    <row r="56" spans="1:2" x14ac:dyDescent="0.2">
      <c r="A56" t="s">
        <v>2561</v>
      </c>
      <c r="B56" t="s">
        <v>5131</v>
      </c>
    </row>
    <row r="57" spans="1:2" x14ac:dyDescent="0.2">
      <c r="A57" t="s">
        <v>2562</v>
      </c>
      <c r="B57" t="s">
        <v>5131</v>
      </c>
    </row>
    <row r="58" spans="1:2" x14ac:dyDescent="0.2">
      <c r="A58" t="s">
        <v>2563</v>
      </c>
      <c r="B58" t="s">
        <v>5131</v>
      </c>
    </row>
    <row r="59" spans="1:2" x14ac:dyDescent="0.2">
      <c r="A59" t="s">
        <v>2564</v>
      </c>
      <c r="B59" t="s">
        <v>5131</v>
      </c>
    </row>
    <row r="60" spans="1:2" x14ac:dyDescent="0.2">
      <c r="A60" t="s">
        <v>2565</v>
      </c>
      <c r="B60" t="s">
        <v>5131</v>
      </c>
    </row>
    <row r="61" spans="1:2" x14ac:dyDescent="0.2">
      <c r="A61" t="s">
        <v>2566</v>
      </c>
      <c r="B61" t="s">
        <v>5131</v>
      </c>
    </row>
    <row r="62" spans="1:2" x14ac:dyDescent="0.2">
      <c r="A62" t="s">
        <v>2567</v>
      </c>
      <c r="B62" t="s">
        <v>5131</v>
      </c>
    </row>
    <row r="63" spans="1:2" x14ac:dyDescent="0.2">
      <c r="A63" t="s">
        <v>2568</v>
      </c>
      <c r="B63" t="s">
        <v>5131</v>
      </c>
    </row>
    <row r="64" spans="1:2" x14ac:dyDescent="0.2">
      <c r="A64" t="s">
        <v>2569</v>
      </c>
      <c r="B64" t="s">
        <v>5131</v>
      </c>
    </row>
    <row r="65" spans="1:2" x14ac:dyDescent="0.2">
      <c r="A65" t="s">
        <v>2570</v>
      </c>
      <c r="B65" t="s">
        <v>5131</v>
      </c>
    </row>
    <row r="66" spans="1:2" x14ac:dyDescent="0.2">
      <c r="A66" t="s">
        <v>2571</v>
      </c>
      <c r="B66" t="s">
        <v>5131</v>
      </c>
    </row>
    <row r="67" spans="1:2" x14ac:dyDescent="0.2">
      <c r="A67" t="s">
        <v>2572</v>
      </c>
      <c r="B67">
        <v>0</v>
      </c>
    </row>
    <row r="68" spans="1:2" x14ac:dyDescent="0.2">
      <c r="A68" t="s">
        <v>2573</v>
      </c>
      <c r="B68">
        <v>0</v>
      </c>
    </row>
    <row r="69" spans="1:2" x14ac:dyDescent="0.2">
      <c r="A69" t="s">
        <v>2574</v>
      </c>
      <c r="B69">
        <v>0</v>
      </c>
    </row>
    <row r="70" spans="1:2" x14ac:dyDescent="0.2">
      <c r="A70" t="s">
        <v>2575</v>
      </c>
      <c r="B70">
        <v>0</v>
      </c>
    </row>
    <row r="71" spans="1:2" x14ac:dyDescent="0.2">
      <c r="A71" t="s">
        <v>2576</v>
      </c>
      <c r="B71">
        <v>0</v>
      </c>
    </row>
    <row r="72" spans="1:2" x14ac:dyDescent="0.2">
      <c r="A72" t="s">
        <v>2577</v>
      </c>
      <c r="B72">
        <v>0</v>
      </c>
    </row>
    <row r="73" spans="1:2" x14ac:dyDescent="0.2">
      <c r="A73" t="s">
        <v>2578</v>
      </c>
      <c r="B73">
        <v>0</v>
      </c>
    </row>
    <row r="74" spans="1:2" x14ac:dyDescent="0.2">
      <c r="A74" t="s">
        <v>2579</v>
      </c>
      <c r="B74">
        <v>0</v>
      </c>
    </row>
    <row r="75" spans="1:2" x14ac:dyDescent="0.2">
      <c r="A75" t="s">
        <v>2580</v>
      </c>
      <c r="B75">
        <v>0</v>
      </c>
    </row>
    <row r="76" spans="1:2" x14ac:dyDescent="0.2">
      <c r="A76" t="s">
        <v>2581</v>
      </c>
      <c r="B76">
        <v>0</v>
      </c>
    </row>
    <row r="77" spans="1:2" x14ac:dyDescent="0.2">
      <c r="A77" t="s">
        <v>2582</v>
      </c>
      <c r="B77">
        <v>0</v>
      </c>
    </row>
    <row r="78" spans="1:2" x14ac:dyDescent="0.2">
      <c r="A78" t="s">
        <v>2583</v>
      </c>
      <c r="B78">
        <v>0</v>
      </c>
    </row>
    <row r="79" spans="1:2" x14ac:dyDescent="0.2">
      <c r="A79" t="s">
        <v>2584</v>
      </c>
      <c r="B79">
        <v>0</v>
      </c>
    </row>
    <row r="80" spans="1:2" x14ac:dyDescent="0.2">
      <c r="A80" t="s">
        <v>2585</v>
      </c>
      <c r="B80">
        <v>0</v>
      </c>
    </row>
    <row r="81" spans="1:2" x14ac:dyDescent="0.2">
      <c r="A81" t="s">
        <v>2586</v>
      </c>
      <c r="B81">
        <v>0</v>
      </c>
    </row>
    <row r="82" spans="1:2" x14ac:dyDescent="0.2">
      <c r="A82" t="s">
        <v>2587</v>
      </c>
      <c r="B82">
        <v>0</v>
      </c>
    </row>
    <row r="83" spans="1:2" x14ac:dyDescent="0.2">
      <c r="A83" t="s">
        <v>2588</v>
      </c>
      <c r="B83">
        <v>0</v>
      </c>
    </row>
    <row r="84" spans="1:2" x14ac:dyDescent="0.2">
      <c r="A84" t="s">
        <v>2589</v>
      </c>
      <c r="B84">
        <v>0</v>
      </c>
    </row>
    <row r="85" spans="1:2" x14ac:dyDescent="0.2">
      <c r="A85" t="s">
        <v>2590</v>
      </c>
      <c r="B85">
        <v>0</v>
      </c>
    </row>
    <row r="86" spans="1:2" x14ac:dyDescent="0.2">
      <c r="A86" t="s">
        <v>2591</v>
      </c>
      <c r="B86">
        <v>0</v>
      </c>
    </row>
    <row r="87" spans="1:2" x14ac:dyDescent="0.2">
      <c r="A87" t="s">
        <v>2592</v>
      </c>
      <c r="B87">
        <v>0</v>
      </c>
    </row>
    <row r="88" spans="1:2" x14ac:dyDescent="0.2">
      <c r="A88" t="s">
        <v>2593</v>
      </c>
      <c r="B88">
        <v>0</v>
      </c>
    </row>
    <row r="89" spans="1:2" x14ac:dyDescent="0.2">
      <c r="A89" t="s">
        <v>2594</v>
      </c>
      <c r="B89">
        <v>0</v>
      </c>
    </row>
    <row r="90" spans="1:2" x14ac:dyDescent="0.2">
      <c r="A90" t="s">
        <v>2595</v>
      </c>
      <c r="B90">
        <v>0</v>
      </c>
    </row>
    <row r="91" spans="1:2" x14ac:dyDescent="0.2">
      <c r="A91" t="s">
        <v>2596</v>
      </c>
      <c r="B91">
        <v>0</v>
      </c>
    </row>
    <row r="92" spans="1:2" x14ac:dyDescent="0.2">
      <c r="A92" t="s">
        <v>2597</v>
      </c>
      <c r="B92">
        <v>0</v>
      </c>
    </row>
    <row r="93" spans="1:2" x14ac:dyDescent="0.2">
      <c r="A93" t="s">
        <v>2598</v>
      </c>
      <c r="B93">
        <v>0</v>
      </c>
    </row>
    <row r="94" spans="1:2" x14ac:dyDescent="0.2">
      <c r="A94" t="s">
        <v>2599</v>
      </c>
      <c r="B94">
        <v>0</v>
      </c>
    </row>
    <row r="95" spans="1:2" x14ac:dyDescent="0.2">
      <c r="A95" t="s">
        <v>2600</v>
      </c>
      <c r="B95">
        <v>0</v>
      </c>
    </row>
    <row r="96" spans="1:2" x14ac:dyDescent="0.2">
      <c r="A96" t="s">
        <v>2601</v>
      </c>
      <c r="B96">
        <v>0</v>
      </c>
    </row>
    <row r="97" spans="1:2" x14ac:dyDescent="0.2">
      <c r="A97" t="s">
        <v>2602</v>
      </c>
      <c r="B97" t="s">
        <v>5131</v>
      </c>
    </row>
    <row r="98" spans="1:2" x14ac:dyDescent="0.2">
      <c r="A98" t="s">
        <v>2603</v>
      </c>
      <c r="B98" t="s">
        <v>5131</v>
      </c>
    </row>
    <row r="99" spans="1:2" x14ac:dyDescent="0.2">
      <c r="A99" t="s">
        <v>2604</v>
      </c>
      <c r="B99" t="s">
        <v>5131</v>
      </c>
    </row>
    <row r="100" spans="1:2" x14ac:dyDescent="0.2">
      <c r="A100" t="s">
        <v>2605</v>
      </c>
      <c r="B100" t="s">
        <v>5131</v>
      </c>
    </row>
    <row r="101" spans="1:2" x14ac:dyDescent="0.2">
      <c r="A101" t="s">
        <v>2606</v>
      </c>
      <c r="B101" t="s">
        <v>5131</v>
      </c>
    </row>
    <row r="102" spans="1:2" x14ac:dyDescent="0.2">
      <c r="A102" t="s">
        <v>2607</v>
      </c>
      <c r="B102" t="s">
        <v>5131</v>
      </c>
    </row>
    <row r="103" spans="1:2" x14ac:dyDescent="0.2">
      <c r="A103" t="s">
        <v>2608</v>
      </c>
      <c r="B103" t="s">
        <v>5131</v>
      </c>
    </row>
    <row r="104" spans="1:2" x14ac:dyDescent="0.2">
      <c r="A104" t="s">
        <v>2609</v>
      </c>
      <c r="B104" t="s">
        <v>5131</v>
      </c>
    </row>
    <row r="105" spans="1:2" x14ac:dyDescent="0.2">
      <c r="A105" t="s">
        <v>2610</v>
      </c>
      <c r="B105" t="s">
        <v>5131</v>
      </c>
    </row>
    <row r="106" spans="1:2" x14ac:dyDescent="0.2">
      <c r="A106" t="s">
        <v>2611</v>
      </c>
      <c r="B106" t="s">
        <v>5131</v>
      </c>
    </row>
    <row r="107" spans="1:2" x14ac:dyDescent="0.2">
      <c r="A107" t="s">
        <v>2612</v>
      </c>
      <c r="B107" t="s">
        <v>5131</v>
      </c>
    </row>
    <row r="108" spans="1:2" x14ac:dyDescent="0.2">
      <c r="A108" t="s">
        <v>2613</v>
      </c>
      <c r="B108" t="s">
        <v>5131</v>
      </c>
    </row>
    <row r="109" spans="1:2" x14ac:dyDescent="0.2">
      <c r="A109" t="s">
        <v>2614</v>
      </c>
      <c r="B109" t="s">
        <v>5131</v>
      </c>
    </row>
    <row r="110" spans="1:2" x14ac:dyDescent="0.2">
      <c r="A110" t="s">
        <v>2615</v>
      </c>
      <c r="B110" t="s">
        <v>5131</v>
      </c>
    </row>
    <row r="111" spans="1:2" x14ac:dyDescent="0.2">
      <c r="A111" t="s">
        <v>2616</v>
      </c>
      <c r="B111" t="s">
        <v>5131</v>
      </c>
    </row>
    <row r="112" spans="1:2" x14ac:dyDescent="0.2">
      <c r="A112" t="s">
        <v>2617</v>
      </c>
      <c r="B112" t="s">
        <v>5131</v>
      </c>
    </row>
    <row r="113" spans="1:2" x14ac:dyDescent="0.2">
      <c r="A113" t="s">
        <v>2618</v>
      </c>
      <c r="B113" t="s">
        <v>5131</v>
      </c>
    </row>
    <row r="114" spans="1:2" x14ac:dyDescent="0.2">
      <c r="A114" t="s">
        <v>2619</v>
      </c>
      <c r="B114" t="s">
        <v>5131</v>
      </c>
    </row>
    <row r="115" spans="1:2" x14ac:dyDescent="0.2">
      <c r="A115" t="s">
        <v>2620</v>
      </c>
      <c r="B115" t="s">
        <v>5131</v>
      </c>
    </row>
    <row r="116" spans="1:2" x14ac:dyDescent="0.2">
      <c r="A116" t="s">
        <v>2621</v>
      </c>
      <c r="B116" t="s">
        <v>5131</v>
      </c>
    </row>
    <row r="117" spans="1:2" x14ac:dyDescent="0.2">
      <c r="A117" t="s">
        <v>2622</v>
      </c>
      <c r="B117" t="s">
        <v>5131</v>
      </c>
    </row>
    <row r="118" spans="1:2" x14ac:dyDescent="0.2">
      <c r="A118" t="s">
        <v>2623</v>
      </c>
      <c r="B118" t="s">
        <v>5131</v>
      </c>
    </row>
    <row r="119" spans="1:2" x14ac:dyDescent="0.2">
      <c r="A119" t="s">
        <v>2624</v>
      </c>
      <c r="B119" t="s">
        <v>5131</v>
      </c>
    </row>
    <row r="120" spans="1:2" x14ac:dyDescent="0.2">
      <c r="A120" t="s">
        <v>2625</v>
      </c>
      <c r="B120" t="s">
        <v>5131</v>
      </c>
    </row>
    <row r="121" spans="1:2" x14ac:dyDescent="0.2">
      <c r="A121" t="s">
        <v>2626</v>
      </c>
      <c r="B121" t="s">
        <v>5131</v>
      </c>
    </row>
    <row r="122" spans="1:2" x14ac:dyDescent="0.2">
      <c r="A122" t="s">
        <v>2627</v>
      </c>
      <c r="B122" t="s">
        <v>5131</v>
      </c>
    </row>
    <row r="123" spans="1:2" x14ac:dyDescent="0.2">
      <c r="A123" t="s">
        <v>2628</v>
      </c>
      <c r="B123" t="s">
        <v>5131</v>
      </c>
    </row>
    <row r="124" spans="1:2" x14ac:dyDescent="0.2">
      <c r="A124" t="s">
        <v>2629</v>
      </c>
      <c r="B124" t="s">
        <v>5131</v>
      </c>
    </row>
    <row r="125" spans="1:2" x14ac:dyDescent="0.2">
      <c r="A125" t="s">
        <v>2630</v>
      </c>
      <c r="B125" t="s">
        <v>5131</v>
      </c>
    </row>
    <row r="126" spans="1:2" x14ac:dyDescent="0.2">
      <c r="A126" t="s">
        <v>2631</v>
      </c>
      <c r="B126" t="s">
        <v>5131</v>
      </c>
    </row>
    <row r="127" spans="1:2" x14ac:dyDescent="0.2">
      <c r="A127" t="s">
        <v>2632</v>
      </c>
      <c r="B127" t="s">
        <v>5131</v>
      </c>
    </row>
    <row r="128" spans="1:2" x14ac:dyDescent="0.2">
      <c r="A128" t="s">
        <v>2633</v>
      </c>
      <c r="B128" t="s">
        <v>5131</v>
      </c>
    </row>
    <row r="129" spans="1:2" x14ac:dyDescent="0.2">
      <c r="A129" t="s">
        <v>2634</v>
      </c>
      <c r="B129" t="s">
        <v>5131</v>
      </c>
    </row>
    <row r="130" spans="1:2" x14ac:dyDescent="0.2">
      <c r="A130" t="s">
        <v>2635</v>
      </c>
      <c r="B130" t="s">
        <v>5131</v>
      </c>
    </row>
    <row r="131" spans="1:2" x14ac:dyDescent="0.2">
      <c r="A131" t="s">
        <v>2636</v>
      </c>
      <c r="B131" t="s">
        <v>5131</v>
      </c>
    </row>
    <row r="132" spans="1:2" x14ac:dyDescent="0.2">
      <c r="A132" t="s">
        <v>2637</v>
      </c>
      <c r="B132" t="s">
        <v>5131</v>
      </c>
    </row>
    <row r="133" spans="1:2" x14ac:dyDescent="0.2">
      <c r="A133" t="s">
        <v>2638</v>
      </c>
      <c r="B133" t="s">
        <v>5131</v>
      </c>
    </row>
    <row r="134" spans="1:2" x14ac:dyDescent="0.2">
      <c r="A134" t="s">
        <v>2639</v>
      </c>
      <c r="B134" t="s">
        <v>5131</v>
      </c>
    </row>
    <row r="135" spans="1:2" x14ac:dyDescent="0.2">
      <c r="A135" t="s">
        <v>2640</v>
      </c>
      <c r="B135" t="s">
        <v>5131</v>
      </c>
    </row>
    <row r="136" spans="1:2" x14ac:dyDescent="0.2">
      <c r="A136" t="s">
        <v>2641</v>
      </c>
      <c r="B136" t="s">
        <v>5131</v>
      </c>
    </row>
    <row r="137" spans="1:2" x14ac:dyDescent="0.2">
      <c r="A137" t="s">
        <v>2642</v>
      </c>
      <c r="B137" t="s">
        <v>5131</v>
      </c>
    </row>
    <row r="138" spans="1:2" x14ac:dyDescent="0.2">
      <c r="A138" t="s">
        <v>2643</v>
      </c>
      <c r="B138" t="s">
        <v>5131</v>
      </c>
    </row>
    <row r="139" spans="1:2" x14ac:dyDescent="0.2">
      <c r="A139" t="s">
        <v>2644</v>
      </c>
      <c r="B139" t="s">
        <v>5131</v>
      </c>
    </row>
    <row r="140" spans="1:2" x14ac:dyDescent="0.2">
      <c r="A140" t="s">
        <v>2645</v>
      </c>
      <c r="B140" t="s">
        <v>5131</v>
      </c>
    </row>
    <row r="141" spans="1:2" x14ac:dyDescent="0.2">
      <c r="A141" t="s">
        <v>2646</v>
      </c>
      <c r="B141" t="s">
        <v>5131</v>
      </c>
    </row>
    <row r="142" spans="1:2" x14ac:dyDescent="0.2">
      <c r="A142" t="s">
        <v>2647</v>
      </c>
      <c r="B142" t="s">
        <v>5131</v>
      </c>
    </row>
    <row r="143" spans="1:2" x14ac:dyDescent="0.2">
      <c r="A143" t="s">
        <v>2648</v>
      </c>
      <c r="B143" t="s">
        <v>5131</v>
      </c>
    </row>
    <row r="144" spans="1:2" x14ac:dyDescent="0.2">
      <c r="A144" t="s">
        <v>2649</v>
      </c>
      <c r="B144" t="s">
        <v>5131</v>
      </c>
    </row>
    <row r="145" spans="1:2" x14ac:dyDescent="0.2">
      <c r="A145" t="s">
        <v>2650</v>
      </c>
      <c r="B145" t="s">
        <v>5131</v>
      </c>
    </row>
    <row r="146" spans="1:2" x14ac:dyDescent="0.2">
      <c r="A146" t="s">
        <v>2651</v>
      </c>
      <c r="B146" t="s">
        <v>5131</v>
      </c>
    </row>
    <row r="147" spans="1:2" x14ac:dyDescent="0.2">
      <c r="A147" t="s">
        <v>2652</v>
      </c>
      <c r="B147" t="s">
        <v>5131</v>
      </c>
    </row>
    <row r="148" spans="1:2" x14ac:dyDescent="0.2">
      <c r="A148" t="s">
        <v>2653</v>
      </c>
      <c r="B148" t="s">
        <v>5131</v>
      </c>
    </row>
    <row r="149" spans="1:2" x14ac:dyDescent="0.2">
      <c r="A149" t="s">
        <v>2654</v>
      </c>
      <c r="B149" t="s">
        <v>5131</v>
      </c>
    </row>
    <row r="150" spans="1:2" x14ac:dyDescent="0.2">
      <c r="A150" t="s">
        <v>2655</v>
      </c>
      <c r="B150" t="s">
        <v>5131</v>
      </c>
    </row>
    <row r="151" spans="1:2" x14ac:dyDescent="0.2">
      <c r="A151" t="s">
        <v>2656</v>
      </c>
      <c r="B151" t="s">
        <v>5131</v>
      </c>
    </row>
    <row r="152" spans="1:2" x14ac:dyDescent="0.2">
      <c r="A152" t="s">
        <v>2657</v>
      </c>
      <c r="B152" t="s">
        <v>5131</v>
      </c>
    </row>
    <row r="153" spans="1:2" x14ac:dyDescent="0.2">
      <c r="A153" t="s">
        <v>2658</v>
      </c>
      <c r="B153" t="s">
        <v>5131</v>
      </c>
    </row>
    <row r="154" spans="1:2" x14ac:dyDescent="0.2">
      <c r="A154" t="s">
        <v>2659</v>
      </c>
      <c r="B154" t="s">
        <v>5131</v>
      </c>
    </row>
    <row r="155" spans="1:2" x14ac:dyDescent="0.2">
      <c r="A155" t="s">
        <v>2660</v>
      </c>
      <c r="B155" t="s">
        <v>5131</v>
      </c>
    </row>
    <row r="156" spans="1:2" x14ac:dyDescent="0.2">
      <c r="A156" t="s">
        <v>2661</v>
      </c>
      <c r="B156" t="s">
        <v>5131</v>
      </c>
    </row>
    <row r="157" spans="1:2" x14ac:dyDescent="0.2">
      <c r="A157" t="s">
        <v>2662</v>
      </c>
      <c r="B157" t="s">
        <v>5131</v>
      </c>
    </row>
    <row r="158" spans="1:2" x14ac:dyDescent="0.2">
      <c r="A158" t="s">
        <v>2663</v>
      </c>
      <c r="B158" t="s">
        <v>5131</v>
      </c>
    </row>
    <row r="159" spans="1:2" x14ac:dyDescent="0.2">
      <c r="A159" t="s">
        <v>2664</v>
      </c>
      <c r="B159" t="s">
        <v>5131</v>
      </c>
    </row>
    <row r="160" spans="1:2" x14ac:dyDescent="0.2">
      <c r="A160" t="s">
        <v>2665</v>
      </c>
      <c r="B160" t="s">
        <v>5131</v>
      </c>
    </row>
    <row r="161" spans="1:2" x14ac:dyDescent="0.2">
      <c r="A161" t="s">
        <v>2666</v>
      </c>
      <c r="B161" t="s">
        <v>5131</v>
      </c>
    </row>
    <row r="162" spans="1:2" x14ac:dyDescent="0.2">
      <c r="A162" t="s">
        <v>2667</v>
      </c>
      <c r="B162" t="s">
        <v>5131</v>
      </c>
    </row>
    <row r="163" spans="1:2" x14ac:dyDescent="0.2">
      <c r="A163" t="s">
        <v>2668</v>
      </c>
      <c r="B163" t="s">
        <v>5131</v>
      </c>
    </row>
    <row r="164" spans="1:2" x14ac:dyDescent="0.2">
      <c r="A164" t="s">
        <v>2669</v>
      </c>
      <c r="B164" t="s">
        <v>5131</v>
      </c>
    </row>
    <row r="165" spans="1:2" x14ac:dyDescent="0.2">
      <c r="A165" t="s">
        <v>2670</v>
      </c>
      <c r="B165" t="s">
        <v>5131</v>
      </c>
    </row>
    <row r="166" spans="1:2" x14ac:dyDescent="0.2">
      <c r="A166" t="s">
        <v>2671</v>
      </c>
      <c r="B166" t="s">
        <v>5131</v>
      </c>
    </row>
    <row r="167" spans="1:2" x14ac:dyDescent="0.2">
      <c r="A167" t="s">
        <v>2672</v>
      </c>
      <c r="B167" t="s">
        <v>5131</v>
      </c>
    </row>
    <row r="168" spans="1:2" x14ac:dyDescent="0.2">
      <c r="A168" t="s">
        <v>2673</v>
      </c>
      <c r="B168" t="s">
        <v>5131</v>
      </c>
    </row>
    <row r="169" spans="1:2" x14ac:dyDescent="0.2">
      <c r="A169" t="s">
        <v>2674</v>
      </c>
      <c r="B169" t="s">
        <v>5131</v>
      </c>
    </row>
    <row r="170" spans="1:2" x14ac:dyDescent="0.2">
      <c r="A170" t="s">
        <v>2675</v>
      </c>
      <c r="B170" t="s">
        <v>5131</v>
      </c>
    </row>
    <row r="171" spans="1:2" x14ac:dyDescent="0.2">
      <c r="A171" t="s">
        <v>2676</v>
      </c>
      <c r="B171" t="s">
        <v>5131</v>
      </c>
    </row>
    <row r="172" spans="1:2" x14ac:dyDescent="0.2">
      <c r="A172" t="s">
        <v>2677</v>
      </c>
      <c r="B172" t="s">
        <v>5131</v>
      </c>
    </row>
    <row r="173" spans="1:2" x14ac:dyDescent="0.2">
      <c r="A173" t="s">
        <v>2678</v>
      </c>
      <c r="B173" t="s">
        <v>5131</v>
      </c>
    </row>
    <row r="174" spans="1:2" x14ac:dyDescent="0.2">
      <c r="A174" t="s">
        <v>2679</v>
      </c>
      <c r="B174" t="s">
        <v>5131</v>
      </c>
    </row>
    <row r="175" spans="1:2" x14ac:dyDescent="0.2">
      <c r="A175" t="s">
        <v>2680</v>
      </c>
      <c r="B175" t="s">
        <v>5131</v>
      </c>
    </row>
    <row r="176" spans="1:2" x14ac:dyDescent="0.2">
      <c r="A176" t="s">
        <v>2681</v>
      </c>
      <c r="B176" t="s">
        <v>5131</v>
      </c>
    </row>
    <row r="177" spans="1:2" x14ac:dyDescent="0.2">
      <c r="A177" t="s">
        <v>2682</v>
      </c>
      <c r="B177" t="s">
        <v>5131</v>
      </c>
    </row>
    <row r="178" spans="1:2" x14ac:dyDescent="0.2">
      <c r="A178" t="s">
        <v>2683</v>
      </c>
      <c r="B178" t="s">
        <v>5131</v>
      </c>
    </row>
    <row r="179" spans="1:2" x14ac:dyDescent="0.2">
      <c r="A179" t="s">
        <v>2684</v>
      </c>
      <c r="B179" t="s">
        <v>5131</v>
      </c>
    </row>
    <row r="180" spans="1:2" x14ac:dyDescent="0.2">
      <c r="A180" t="s">
        <v>2685</v>
      </c>
      <c r="B180" t="s">
        <v>5131</v>
      </c>
    </row>
    <row r="181" spans="1:2" x14ac:dyDescent="0.2">
      <c r="A181" t="s">
        <v>2686</v>
      </c>
      <c r="B181" t="s">
        <v>5131</v>
      </c>
    </row>
    <row r="182" spans="1:2" x14ac:dyDescent="0.2">
      <c r="A182" t="s">
        <v>2687</v>
      </c>
      <c r="B182" t="s">
        <v>5131</v>
      </c>
    </row>
    <row r="183" spans="1:2" x14ac:dyDescent="0.2">
      <c r="A183" t="s">
        <v>2688</v>
      </c>
      <c r="B183" t="s">
        <v>5131</v>
      </c>
    </row>
    <row r="184" spans="1:2" x14ac:dyDescent="0.2">
      <c r="A184" t="s">
        <v>2689</v>
      </c>
      <c r="B184" t="s">
        <v>5131</v>
      </c>
    </row>
    <row r="185" spans="1:2" x14ac:dyDescent="0.2">
      <c r="A185" t="s">
        <v>2690</v>
      </c>
      <c r="B185" t="s">
        <v>5131</v>
      </c>
    </row>
    <row r="186" spans="1:2" x14ac:dyDescent="0.2">
      <c r="A186" t="s">
        <v>2691</v>
      </c>
      <c r="B186" t="s">
        <v>5131</v>
      </c>
    </row>
    <row r="187" spans="1:2" x14ac:dyDescent="0.2">
      <c r="A187" t="s">
        <v>2692</v>
      </c>
      <c r="B187" t="s">
        <v>5131</v>
      </c>
    </row>
    <row r="188" spans="1:2" x14ac:dyDescent="0.2">
      <c r="A188" t="s">
        <v>2693</v>
      </c>
      <c r="B188" t="s">
        <v>5131</v>
      </c>
    </row>
    <row r="189" spans="1:2" x14ac:dyDescent="0.2">
      <c r="A189" t="s">
        <v>2694</v>
      </c>
      <c r="B189" t="s">
        <v>5131</v>
      </c>
    </row>
    <row r="190" spans="1:2" x14ac:dyDescent="0.2">
      <c r="A190" t="s">
        <v>2695</v>
      </c>
      <c r="B190" t="s">
        <v>5131</v>
      </c>
    </row>
    <row r="191" spans="1:2" x14ac:dyDescent="0.2">
      <c r="A191" t="s">
        <v>2696</v>
      </c>
      <c r="B191" t="s">
        <v>5131</v>
      </c>
    </row>
    <row r="192" spans="1:2" x14ac:dyDescent="0.2">
      <c r="A192" t="s">
        <v>2697</v>
      </c>
      <c r="B192" t="s">
        <v>5131</v>
      </c>
    </row>
    <row r="193" spans="1:2" x14ac:dyDescent="0.2">
      <c r="A193" t="s">
        <v>2698</v>
      </c>
      <c r="B193" t="s">
        <v>5131</v>
      </c>
    </row>
    <row r="194" spans="1:2" x14ac:dyDescent="0.2">
      <c r="A194" t="s">
        <v>2699</v>
      </c>
      <c r="B194" t="s">
        <v>5131</v>
      </c>
    </row>
    <row r="195" spans="1:2" x14ac:dyDescent="0.2">
      <c r="A195" t="s">
        <v>2700</v>
      </c>
      <c r="B195" t="s">
        <v>5131</v>
      </c>
    </row>
    <row r="196" spans="1:2" x14ac:dyDescent="0.2">
      <c r="A196" t="s">
        <v>2701</v>
      </c>
      <c r="B196" t="s">
        <v>5131</v>
      </c>
    </row>
    <row r="197" spans="1:2" x14ac:dyDescent="0.2">
      <c r="A197" t="s">
        <v>2702</v>
      </c>
      <c r="B197" t="s">
        <v>5131</v>
      </c>
    </row>
    <row r="198" spans="1:2" x14ac:dyDescent="0.2">
      <c r="A198" t="s">
        <v>2703</v>
      </c>
      <c r="B198" t="s">
        <v>5131</v>
      </c>
    </row>
    <row r="199" spans="1:2" x14ac:dyDescent="0.2">
      <c r="A199" t="s">
        <v>2704</v>
      </c>
      <c r="B199" t="s">
        <v>5131</v>
      </c>
    </row>
    <row r="200" spans="1:2" x14ac:dyDescent="0.2">
      <c r="A200" t="s">
        <v>2705</v>
      </c>
      <c r="B200" t="s">
        <v>5131</v>
      </c>
    </row>
    <row r="201" spans="1:2" x14ac:dyDescent="0.2">
      <c r="A201" t="s">
        <v>2706</v>
      </c>
      <c r="B201" t="s">
        <v>5131</v>
      </c>
    </row>
    <row r="202" spans="1:2" x14ac:dyDescent="0.2">
      <c r="A202" t="s">
        <v>2707</v>
      </c>
      <c r="B202" t="s">
        <v>5131</v>
      </c>
    </row>
    <row r="203" spans="1:2" x14ac:dyDescent="0.2">
      <c r="A203" t="s">
        <v>2708</v>
      </c>
      <c r="B203" t="s">
        <v>5131</v>
      </c>
    </row>
    <row r="204" spans="1:2" x14ac:dyDescent="0.2">
      <c r="A204" t="s">
        <v>2709</v>
      </c>
      <c r="B204" t="s">
        <v>5131</v>
      </c>
    </row>
    <row r="205" spans="1:2" x14ac:dyDescent="0.2">
      <c r="A205" t="s">
        <v>2710</v>
      </c>
      <c r="B205" t="s">
        <v>5131</v>
      </c>
    </row>
    <row r="206" spans="1:2" x14ac:dyDescent="0.2">
      <c r="A206" t="s">
        <v>2711</v>
      </c>
      <c r="B206" t="s">
        <v>5131</v>
      </c>
    </row>
    <row r="207" spans="1:2" x14ac:dyDescent="0.2">
      <c r="A207" t="s">
        <v>2712</v>
      </c>
      <c r="B207" t="s">
        <v>5131</v>
      </c>
    </row>
    <row r="208" spans="1:2" x14ac:dyDescent="0.2">
      <c r="A208" t="s">
        <v>2713</v>
      </c>
      <c r="B208" t="s">
        <v>5131</v>
      </c>
    </row>
    <row r="209" spans="1:2" x14ac:dyDescent="0.2">
      <c r="A209" t="s">
        <v>2714</v>
      </c>
      <c r="B209" t="s">
        <v>5131</v>
      </c>
    </row>
    <row r="210" spans="1:2" x14ac:dyDescent="0.2">
      <c r="A210" t="s">
        <v>2715</v>
      </c>
      <c r="B210" t="s">
        <v>5131</v>
      </c>
    </row>
    <row r="211" spans="1:2" x14ac:dyDescent="0.2">
      <c r="A211" t="s">
        <v>2716</v>
      </c>
      <c r="B211" t="s">
        <v>5131</v>
      </c>
    </row>
    <row r="212" spans="1:2" x14ac:dyDescent="0.2">
      <c r="A212" t="s">
        <v>2717</v>
      </c>
      <c r="B212" t="s">
        <v>5131</v>
      </c>
    </row>
    <row r="213" spans="1:2" x14ac:dyDescent="0.2">
      <c r="A213" t="s">
        <v>2718</v>
      </c>
      <c r="B213" t="s">
        <v>5131</v>
      </c>
    </row>
    <row r="214" spans="1:2" x14ac:dyDescent="0.2">
      <c r="A214" t="s">
        <v>2719</v>
      </c>
      <c r="B214" t="s">
        <v>5131</v>
      </c>
    </row>
    <row r="215" spans="1:2" x14ac:dyDescent="0.2">
      <c r="A215" t="s">
        <v>2720</v>
      </c>
      <c r="B215" t="s">
        <v>5131</v>
      </c>
    </row>
    <row r="216" spans="1:2" x14ac:dyDescent="0.2">
      <c r="A216" t="s">
        <v>2721</v>
      </c>
      <c r="B216" t="s">
        <v>5131</v>
      </c>
    </row>
    <row r="217" spans="1:2" x14ac:dyDescent="0.2">
      <c r="A217" t="s">
        <v>2722</v>
      </c>
      <c r="B217">
        <v>0</v>
      </c>
    </row>
    <row r="218" spans="1:2" x14ac:dyDescent="0.2">
      <c r="A218" t="s">
        <v>2723</v>
      </c>
      <c r="B218">
        <v>0</v>
      </c>
    </row>
    <row r="219" spans="1:2" x14ac:dyDescent="0.2">
      <c r="A219" t="s">
        <v>2724</v>
      </c>
      <c r="B219">
        <v>0</v>
      </c>
    </row>
    <row r="220" spans="1:2" x14ac:dyDescent="0.2">
      <c r="A220" t="s">
        <v>2725</v>
      </c>
      <c r="B220">
        <v>0</v>
      </c>
    </row>
    <row r="221" spans="1:2" x14ac:dyDescent="0.2">
      <c r="A221" t="s">
        <v>2726</v>
      </c>
      <c r="B221">
        <v>0</v>
      </c>
    </row>
    <row r="222" spans="1:2" x14ac:dyDescent="0.2">
      <c r="A222" t="s">
        <v>2727</v>
      </c>
      <c r="B222">
        <v>0</v>
      </c>
    </row>
    <row r="223" spans="1:2" x14ac:dyDescent="0.2">
      <c r="A223" t="s">
        <v>2728</v>
      </c>
      <c r="B223">
        <v>0</v>
      </c>
    </row>
    <row r="224" spans="1:2" x14ac:dyDescent="0.2">
      <c r="A224" t="s">
        <v>2729</v>
      </c>
      <c r="B224">
        <v>0</v>
      </c>
    </row>
    <row r="225" spans="1:2" x14ac:dyDescent="0.2">
      <c r="A225" t="s">
        <v>2730</v>
      </c>
      <c r="B225">
        <v>0</v>
      </c>
    </row>
    <row r="226" spans="1:2" x14ac:dyDescent="0.2">
      <c r="A226" t="s">
        <v>2731</v>
      </c>
      <c r="B226">
        <v>0</v>
      </c>
    </row>
    <row r="227" spans="1:2" x14ac:dyDescent="0.2">
      <c r="A227" t="s">
        <v>2732</v>
      </c>
      <c r="B227">
        <v>0</v>
      </c>
    </row>
    <row r="228" spans="1:2" x14ac:dyDescent="0.2">
      <c r="A228" t="s">
        <v>2733</v>
      </c>
      <c r="B228">
        <v>0</v>
      </c>
    </row>
    <row r="229" spans="1:2" x14ac:dyDescent="0.2">
      <c r="A229" t="s">
        <v>2734</v>
      </c>
      <c r="B229">
        <v>0</v>
      </c>
    </row>
    <row r="230" spans="1:2" x14ac:dyDescent="0.2">
      <c r="A230" t="s">
        <v>2735</v>
      </c>
      <c r="B230">
        <v>0</v>
      </c>
    </row>
    <row r="231" spans="1:2" x14ac:dyDescent="0.2">
      <c r="A231" t="s">
        <v>2736</v>
      </c>
      <c r="B231">
        <v>0</v>
      </c>
    </row>
    <row r="232" spans="1:2" x14ac:dyDescent="0.2">
      <c r="A232" t="s">
        <v>2737</v>
      </c>
      <c r="B232">
        <v>0</v>
      </c>
    </row>
    <row r="233" spans="1:2" x14ac:dyDescent="0.2">
      <c r="A233" t="s">
        <v>2738</v>
      </c>
      <c r="B233">
        <v>0</v>
      </c>
    </row>
    <row r="234" spans="1:2" x14ac:dyDescent="0.2">
      <c r="A234" t="s">
        <v>2739</v>
      </c>
      <c r="B234">
        <v>0</v>
      </c>
    </row>
    <row r="235" spans="1:2" x14ac:dyDescent="0.2">
      <c r="A235" t="s">
        <v>2740</v>
      </c>
      <c r="B235">
        <v>0</v>
      </c>
    </row>
    <row r="236" spans="1:2" x14ac:dyDescent="0.2">
      <c r="A236" t="s">
        <v>2741</v>
      </c>
      <c r="B236">
        <v>0</v>
      </c>
    </row>
    <row r="237" spans="1:2" x14ac:dyDescent="0.2">
      <c r="A237" t="s">
        <v>2742</v>
      </c>
      <c r="B237">
        <v>0</v>
      </c>
    </row>
    <row r="238" spans="1:2" x14ac:dyDescent="0.2">
      <c r="A238" t="s">
        <v>2743</v>
      </c>
      <c r="B238">
        <v>0</v>
      </c>
    </row>
    <row r="239" spans="1:2" x14ac:dyDescent="0.2">
      <c r="A239" t="s">
        <v>2744</v>
      </c>
      <c r="B239">
        <v>0</v>
      </c>
    </row>
    <row r="240" spans="1:2" x14ac:dyDescent="0.2">
      <c r="A240" t="s">
        <v>2745</v>
      </c>
      <c r="B240">
        <v>0</v>
      </c>
    </row>
    <row r="241" spans="1:2" x14ac:dyDescent="0.2">
      <c r="A241" t="s">
        <v>2746</v>
      </c>
      <c r="B241">
        <v>0</v>
      </c>
    </row>
    <row r="242" spans="1:2" x14ac:dyDescent="0.2">
      <c r="A242" t="s">
        <v>2747</v>
      </c>
      <c r="B242">
        <v>0</v>
      </c>
    </row>
    <row r="243" spans="1:2" x14ac:dyDescent="0.2">
      <c r="A243" t="s">
        <v>2748</v>
      </c>
      <c r="B243">
        <v>0</v>
      </c>
    </row>
    <row r="244" spans="1:2" x14ac:dyDescent="0.2">
      <c r="A244" t="s">
        <v>2749</v>
      </c>
      <c r="B244">
        <v>0</v>
      </c>
    </row>
    <row r="245" spans="1:2" x14ac:dyDescent="0.2">
      <c r="A245" t="s">
        <v>2750</v>
      </c>
      <c r="B245">
        <v>0</v>
      </c>
    </row>
    <row r="246" spans="1:2" x14ac:dyDescent="0.2">
      <c r="A246" t="s">
        <v>2751</v>
      </c>
      <c r="B246">
        <v>0</v>
      </c>
    </row>
    <row r="247" spans="1:2" x14ac:dyDescent="0.2">
      <c r="A247" t="s">
        <v>2782</v>
      </c>
      <c r="B247">
        <v>0</v>
      </c>
    </row>
    <row r="248" spans="1:2" x14ac:dyDescent="0.2">
      <c r="A248" t="s">
        <v>2783</v>
      </c>
      <c r="B248">
        <v>0</v>
      </c>
    </row>
    <row r="249" spans="1:2" x14ac:dyDescent="0.2">
      <c r="A249" t="s">
        <v>2784</v>
      </c>
      <c r="B249">
        <v>0</v>
      </c>
    </row>
    <row r="250" spans="1:2" x14ac:dyDescent="0.2">
      <c r="A250" t="s">
        <v>2785</v>
      </c>
      <c r="B250">
        <v>0</v>
      </c>
    </row>
    <row r="251" spans="1:2" x14ac:dyDescent="0.2">
      <c r="A251" t="s">
        <v>2786</v>
      </c>
      <c r="B251">
        <v>0</v>
      </c>
    </row>
    <row r="252" spans="1:2" x14ac:dyDescent="0.2">
      <c r="A252" t="s">
        <v>2787</v>
      </c>
      <c r="B252">
        <v>0</v>
      </c>
    </row>
    <row r="253" spans="1:2" x14ac:dyDescent="0.2">
      <c r="A253" t="s">
        <v>2788</v>
      </c>
      <c r="B253">
        <v>0</v>
      </c>
    </row>
    <row r="254" spans="1:2" x14ac:dyDescent="0.2">
      <c r="A254" t="s">
        <v>2789</v>
      </c>
      <c r="B254">
        <v>0</v>
      </c>
    </row>
    <row r="255" spans="1:2" x14ac:dyDescent="0.2">
      <c r="A255" t="s">
        <v>2790</v>
      </c>
      <c r="B255">
        <v>0</v>
      </c>
    </row>
    <row r="256" spans="1:2" x14ac:dyDescent="0.2">
      <c r="A256" t="s">
        <v>2791</v>
      </c>
      <c r="B256">
        <v>0</v>
      </c>
    </row>
    <row r="257" spans="1:2" x14ac:dyDescent="0.2">
      <c r="A257" t="s">
        <v>2792</v>
      </c>
      <c r="B257">
        <v>0</v>
      </c>
    </row>
    <row r="258" spans="1:2" x14ac:dyDescent="0.2">
      <c r="A258" t="s">
        <v>2793</v>
      </c>
      <c r="B258">
        <v>0</v>
      </c>
    </row>
    <row r="259" spans="1:2" x14ac:dyDescent="0.2">
      <c r="A259" t="s">
        <v>2794</v>
      </c>
      <c r="B259">
        <v>0</v>
      </c>
    </row>
    <row r="260" spans="1:2" x14ac:dyDescent="0.2">
      <c r="A260" t="s">
        <v>2795</v>
      </c>
      <c r="B260">
        <v>0</v>
      </c>
    </row>
    <row r="261" spans="1:2" x14ac:dyDescent="0.2">
      <c r="A261" t="s">
        <v>2796</v>
      </c>
      <c r="B261">
        <v>0</v>
      </c>
    </row>
    <row r="262" spans="1:2" x14ac:dyDescent="0.2">
      <c r="A262" t="s">
        <v>2797</v>
      </c>
      <c r="B262">
        <v>0</v>
      </c>
    </row>
    <row r="263" spans="1:2" x14ac:dyDescent="0.2">
      <c r="A263" t="s">
        <v>2798</v>
      </c>
      <c r="B263">
        <v>0</v>
      </c>
    </row>
    <row r="264" spans="1:2" x14ac:dyDescent="0.2">
      <c r="A264" t="s">
        <v>2799</v>
      </c>
      <c r="B264">
        <v>0</v>
      </c>
    </row>
    <row r="265" spans="1:2" x14ac:dyDescent="0.2">
      <c r="A265" t="s">
        <v>2800</v>
      </c>
      <c r="B265">
        <v>0</v>
      </c>
    </row>
    <row r="266" spans="1:2" x14ac:dyDescent="0.2">
      <c r="A266" t="s">
        <v>2801</v>
      </c>
      <c r="B266">
        <v>0</v>
      </c>
    </row>
    <row r="267" spans="1:2" x14ac:dyDescent="0.2">
      <c r="A267" t="s">
        <v>2802</v>
      </c>
      <c r="B267">
        <v>0</v>
      </c>
    </row>
    <row r="268" spans="1:2" x14ac:dyDescent="0.2">
      <c r="A268" t="s">
        <v>2803</v>
      </c>
      <c r="B268">
        <v>0</v>
      </c>
    </row>
    <row r="269" spans="1:2" x14ac:dyDescent="0.2">
      <c r="A269" t="s">
        <v>2804</v>
      </c>
      <c r="B269">
        <v>0</v>
      </c>
    </row>
    <row r="270" spans="1:2" x14ac:dyDescent="0.2">
      <c r="A270" t="s">
        <v>2805</v>
      </c>
      <c r="B270">
        <v>0</v>
      </c>
    </row>
    <row r="271" spans="1:2" x14ac:dyDescent="0.2">
      <c r="A271" t="s">
        <v>2806</v>
      </c>
      <c r="B271">
        <v>0</v>
      </c>
    </row>
    <row r="272" spans="1:2" x14ac:dyDescent="0.2">
      <c r="A272" t="s">
        <v>2807</v>
      </c>
      <c r="B272">
        <v>0</v>
      </c>
    </row>
    <row r="273" spans="1:2" x14ac:dyDescent="0.2">
      <c r="A273" t="s">
        <v>2808</v>
      </c>
      <c r="B273">
        <v>0</v>
      </c>
    </row>
    <row r="274" spans="1:2" x14ac:dyDescent="0.2">
      <c r="A274" t="s">
        <v>2809</v>
      </c>
      <c r="B274">
        <v>0</v>
      </c>
    </row>
    <row r="275" spans="1:2" x14ac:dyDescent="0.2">
      <c r="A275" t="s">
        <v>2810</v>
      </c>
      <c r="B275">
        <v>0</v>
      </c>
    </row>
    <row r="276" spans="1:2" x14ac:dyDescent="0.2">
      <c r="A276" t="s">
        <v>2811</v>
      </c>
      <c r="B276">
        <v>0</v>
      </c>
    </row>
    <row r="277" spans="1:2" x14ac:dyDescent="0.2">
      <c r="A277" t="s">
        <v>2812</v>
      </c>
      <c r="B277" t="s">
        <v>5131</v>
      </c>
    </row>
    <row r="278" spans="1:2" x14ac:dyDescent="0.2">
      <c r="A278" t="s">
        <v>2813</v>
      </c>
      <c r="B278" t="s">
        <v>5131</v>
      </c>
    </row>
    <row r="279" spans="1:2" x14ac:dyDescent="0.2">
      <c r="A279" t="s">
        <v>2814</v>
      </c>
      <c r="B279" t="s">
        <v>5131</v>
      </c>
    </row>
    <row r="280" spans="1:2" x14ac:dyDescent="0.2">
      <c r="A280" t="s">
        <v>2815</v>
      </c>
      <c r="B280" t="s">
        <v>5131</v>
      </c>
    </row>
    <row r="281" spans="1:2" x14ac:dyDescent="0.2">
      <c r="A281" t="s">
        <v>2816</v>
      </c>
      <c r="B281" t="s">
        <v>5131</v>
      </c>
    </row>
    <row r="282" spans="1:2" x14ac:dyDescent="0.2">
      <c r="A282" t="s">
        <v>2817</v>
      </c>
      <c r="B282" t="s">
        <v>5131</v>
      </c>
    </row>
    <row r="283" spans="1:2" x14ac:dyDescent="0.2">
      <c r="A283" t="s">
        <v>2818</v>
      </c>
      <c r="B283" t="s">
        <v>5131</v>
      </c>
    </row>
    <row r="284" spans="1:2" x14ac:dyDescent="0.2">
      <c r="A284" t="s">
        <v>2819</v>
      </c>
      <c r="B284" t="s">
        <v>5131</v>
      </c>
    </row>
    <row r="285" spans="1:2" x14ac:dyDescent="0.2">
      <c r="A285" t="s">
        <v>2820</v>
      </c>
      <c r="B285" t="s">
        <v>5131</v>
      </c>
    </row>
    <row r="286" spans="1:2" x14ac:dyDescent="0.2">
      <c r="A286" t="s">
        <v>2821</v>
      </c>
      <c r="B286" t="s">
        <v>5131</v>
      </c>
    </row>
    <row r="287" spans="1:2" x14ac:dyDescent="0.2">
      <c r="A287" t="s">
        <v>2822</v>
      </c>
      <c r="B287" t="s">
        <v>5131</v>
      </c>
    </row>
    <row r="288" spans="1:2" x14ac:dyDescent="0.2">
      <c r="A288" t="s">
        <v>2823</v>
      </c>
      <c r="B288" t="s">
        <v>5131</v>
      </c>
    </row>
    <row r="289" spans="1:2" x14ac:dyDescent="0.2">
      <c r="A289" t="s">
        <v>2824</v>
      </c>
      <c r="B289" t="s">
        <v>5131</v>
      </c>
    </row>
    <row r="290" spans="1:2" x14ac:dyDescent="0.2">
      <c r="A290" t="s">
        <v>2825</v>
      </c>
      <c r="B290" t="s">
        <v>5131</v>
      </c>
    </row>
    <row r="291" spans="1:2" x14ac:dyDescent="0.2">
      <c r="A291" t="s">
        <v>2826</v>
      </c>
      <c r="B291" t="s">
        <v>5131</v>
      </c>
    </row>
    <row r="292" spans="1:2" x14ac:dyDescent="0.2">
      <c r="A292" t="s">
        <v>2827</v>
      </c>
      <c r="B292" t="s">
        <v>5131</v>
      </c>
    </row>
    <row r="293" spans="1:2" x14ac:dyDescent="0.2">
      <c r="A293" t="s">
        <v>2828</v>
      </c>
      <c r="B293" t="s">
        <v>5131</v>
      </c>
    </row>
    <row r="294" spans="1:2" x14ac:dyDescent="0.2">
      <c r="A294" t="s">
        <v>2829</v>
      </c>
      <c r="B294" t="s">
        <v>5131</v>
      </c>
    </row>
    <row r="295" spans="1:2" x14ac:dyDescent="0.2">
      <c r="A295" t="s">
        <v>2830</v>
      </c>
      <c r="B295" t="s">
        <v>5131</v>
      </c>
    </row>
    <row r="296" spans="1:2" x14ac:dyDescent="0.2">
      <c r="A296" t="s">
        <v>2831</v>
      </c>
      <c r="B296" t="s">
        <v>5131</v>
      </c>
    </row>
    <row r="297" spans="1:2" x14ac:dyDescent="0.2">
      <c r="A297" t="s">
        <v>2832</v>
      </c>
      <c r="B297" t="s">
        <v>5131</v>
      </c>
    </row>
    <row r="298" spans="1:2" x14ac:dyDescent="0.2">
      <c r="A298" t="s">
        <v>2833</v>
      </c>
      <c r="B298" t="s">
        <v>5131</v>
      </c>
    </row>
    <row r="299" spans="1:2" x14ac:dyDescent="0.2">
      <c r="A299" t="s">
        <v>2834</v>
      </c>
      <c r="B299" t="s">
        <v>5131</v>
      </c>
    </row>
    <row r="300" spans="1:2" x14ac:dyDescent="0.2">
      <c r="A300" t="s">
        <v>2835</v>
      </c>
      <c r="B300" t="s">
        <v>5131</v>
      </c>
    </row>
    <row r="301" spans="1:2" x14ac:dyDescent="0.2">
      <c r="A301" t="s">
        <v>2836</v>
      </c>
      <c r="B301" t="s">
        <v>5131</v>
      </c>
    </row>
    <row r="302" spans="1:2" x14ac:dyDescent="0.2">
      <c r="A302" t="s">
        <v>2837</v>
      </c>
      <c r="B302" t="s">
        <v>5131</v>
      </c>
    </row>
    <row r="303" spans="1:2" x14ac:dyDescent="0.2">
      <c r="A303" t="s">
        <v>2838</v>
      </c>
      <c r="B303" t="s">
        <v>5131</v>
      </c>
    </row>
    <row r="304" spans="1:2" x14ac:dyDescent="0.2">
      <c r="A304" t="s">
        <v>2839</v>
      </c>
      <c r="B304" t="s">
        <v>5131</v>
      </c>
    </row>
    <row r="305" spans="1:2" x14ac:dyDescent="0.2">
      <c r="A305" t="s">
        <v>2840</v>
      </c>
      <c r="B305" t="s">
        <v>5131</v>
      </c>
    </row>
    <row r="306" spans="1:2" x14ac:dyDescent="0.2">
      <c r="A306" t="s">
        <v>2841</v>
      </c>
      <c r="B306" t="s">
        <v>5131</v>
      </c>
    </row>
    <row r="307" spans="1:2" x14ac:dyDescent="0.2">
      <c r="A307" t="s">
        <v>4976</v>
      </c>
      <c r="B307" t="b">
        <v>0</v>
      </c>
    </row>
    <row r="308" spans="1:2" x14ac:dyDescent="0.2">
      <c r="A308" t="s">
        <v>4977</v>
      </c>
      <c r="B308" t="b">
        <v>0</v>
      </c>
    </row>
    <row r="309" spans="1:2" x14ac:dyDescent="0.2">
      <c r="A309" t="s">
        <v>4978</v>
      </c>
      <c r="B309" t="b">
        <v>0</v>
      </c>
    </row>
    <row r="310" spans="1:2" x14ac:dyDescent="0.2">
      <c r="A310" t="s">
        <v>4979</v>
      </c>
      <c r="B310" t="b">
        <v>0</v>
      </c>
    </row>
    <row r="311" spans="1:2" x14ac:dyDescent="0.2">
      <c r="A311" t="s">
        <v>4980</v>
      </c>
      <c r="B311" t="b">
        <v>0</v>
      </c>
    </row>
    <row r="312" spans="1:2" x14ac:dyDescent="0.2">
      <c r="A312" t="s">
        <v>4981</v>
      </c>
      <c r="B312" t="b">
        <v>0</v>
      </c>
    </row>
    <row r="313" spans="1:2" x14ac:dyDescent="0.2">
      <c r="A313" t="s">
        <v>4982</v>
      </c>
      <c r="B313" t="b">
        <v>0</v>
      </c>
    </row>
    <row r="314" spans="1:2" x14ac:dyDescent="0.2">
      <c r="A314" t="s">
        <v>4983</v>
      </c>
      <c r="B314" t="b">
        <v>0</v>
      </c>
    </row>
    <row r="315" spans="1:2" x14ac:dyDescent="0.2">
      <c r="A315" t="s">
        <v>4984</v>
      </c>
      <c r="B315" t="b">
        <v>0</v>
      </c>
    </row>
    <row r="316" spans="1:2" x14ac:dyDescent="0.2">
      <c r="A316" t="s">
        <v>4985</v>
      </c>
      <c r="B316" t="b">
        <v>0</v>
      </c>
    </row>
    <row r="317" spans="1:2" x14ac:dyDescent="0.2">
      <c r="A317" t="s">
        <v>4986</v>
      </c>
      <c r="B317" t="b">
        <v>0</v>
      </c>
    </row>
    <row r="318" spans="1:2" x14ac:dyDescent="0.2">
      <c r="A318" t="s">
        <v>4987</v>
      </c>
      <c r="B318" t="b">
        <v>0</v>
      </c>
    </row>
    <row r="319" spans="1:2" x14ac:dyDescent="0.2">
      <c r="A319" t="s">
        <v>4988</v>
      </c>
      <c r="B319" t="b">
        <v>0</v>
      </c>
    </row>
    <row r="320" spans="1:2" x14ac:dyDescent="0.2">
      <c r="A320" t="s">
        <v>4989</v>
      </c>
      <c r="B320" t="b">
        <v>0</v>
      </c>
    </row>
    <row r="321" spans="1:2" x14ac:dyDescent="0.2">
      <c r="A321" t="s">
        <v>4990</v>
      </c>
      <c r="B321" t="b">
        <v>0</v>
      </c>
    </row>
    <row r="322" spans="1:2" x14ac:dyDescent="0.2">
      <c r="A322" t="s">
        <v>4991</v>
      </c>
      <c r="B322" t="b">
        <v>0</v>
      </c>
    </row>
    <row r="323" spans="1:2" x14ac:dyDescent="0.2">
      <c r="A323" t="s">
        <v>4992</v>
      </c>
      <c r="B323" t="b">
        <v>0</v>
      </c>
    </row>
    <row r="324" spans="1:2" x14ac:dyDescent="0.2">
      <c r="A324" t="s">
        <v>4993</v>
      </c>
      <c r="B324" t="b">
        <v>0</v>
      </c>
    </row>
    <row r="325" spans="1:2" x14ac:dyDescent="0.2">
      <c r="A325" t="s">
        <v>4994</v>
      </c>
      <c r="B325" t="b">
        <v>0</v>
      </c>
    </row>
    <row r="326" spans="1:2" x14ac:dyDescent="0.2">
      <c r="A326" t="s">
        <v>4995</v>
      </c>
      <c r="B326" t="b">
        <v>0</v>
      </c>
    </row>
    <row r="327" spans="1:2" x14ac:dyDescent="0.2">
      <c r="A327" t="s">
        <v>4996</v>
      </c>
      <c r="B327" t="b">
        <v>0</v>
      </c>
    </row>
    <row r="328" spans="1:2" x14ac:dyDescent="0.2">
      <c r="A328" t="s">
        <v>4997</v>
      </c>
      <c r="B328" t="b">
        <v>0</v>
      </c>
    </row>
    <row r="329" spans="1:2" x14ac:dyDescent="0.2">
      <c r="A329" t="s">
        <v>4998</v>
      </c>
      <c r="B329" t="b">
        <v>0</v>
      </c>
    </row>
    <row r="330" spans="1:2" x14ac:dyDescent="0.2">
      <c r="A330" t="s">
        <v>4999</v>
      </c>
      <c r="B330" t="b">
        <v>0</v>
      </c>
    </row>
    <row r="331" spans="1:2" x14ac:dyDescent="0.2">
      <c r="A331" t="s">
        <v>5000</v>
      </c>
      <c r="B331" t="b">
        <v>0</v>
      </c>
    </row>
    <row r="332" spans="1:2" x14ac:dyDescent="0.2">
      <c r="A332" t="s">
        <v>5001</v>
      </c>
      <c r="B332" t="b">
        <v>0</v>
      </c>
    </row>
    <row r="333" spans="1:2" x14ac:dyDescent="0.2">
      <c r="A333" t="s">
        <v>5002</v>
      </c>
      <c r="B333" t="b">
        <v>0</v>
      </c>
    </row>
    <row r="334" spans="1:2" x14ac:dyDescent="0.2">
      <c r="A334" t="s">
        <v>5003</v>
      </c>
      <c r="B334" t="b">
        <v>0</v>
      </c>
    </row>
    <row r="335" spans="1:2" x14ac:dyDescent="0.2">
      <c r="A335" t="s">
        <v>5004</v>
      </c>
      <c r="B335" t="b">
        <v>0</v>
      </c>
    </row>
    <row r="336" spans="1:2" x14ac:dyDescent="0.2">
      <c r="A336" t="s">
        <v>5005</v>
      </c>
      <c r="B336" t="b">
        <v>0</v>
      </c>
    </row>
    <row r="337" spans="1:2" x14ac:dyDescent="0.2">
      <c r="A337" t="s">
        <v>5006</v>
      </c>
      <c r="B337" t="s">
        <v>5131</v>
      </c>
    </row>
    <row r="338" spans="1:2" x14ac:dyDescent="0.2">
      <c r="A338" t="s">
        <v>5007</v>
      </c>
      <c r="B338" t="s">
        <v>5131</v>
      </c>
    </row>
    <row r="339" spans="1:2" x14ac:dyDescent="0.2">
      <c r="A339" t="s">
        <v>5008</v>
      </c>
      <c r="B339" t="s">
        <v>5131</v>
      </c>
    </row>
    <row r="340" spans="1:2" x14ac:dyDescent="0.2">
      <c r="A340" t="s">
        <v>5009</v>
      </c>
      <c r="B340" t="s">
        <v>5131</v>
      </c>
    </row>
    <row r="341" spans="1:2" x14ac:dyDescent="0.2">
      <c r="A341" t="s">
        <v>5010</v>
      </c>
      <c r="B341" t="s">
        <v>5131</v>
      </c>
    </row>
    <row r="342" spans="1:2" x14ac:dyDescent="0.2">
      <c r="A342" t="s">
        <v>5011</v>
      </c>
      <c r="B342" t="s">
        <v>5131</v>
      </c>
    </row>
    <row r="343" spans="1:2" x14ac:dyDescent="0.2">
      <c r="A343" t="s">
        <v>5012</v>
      </c>
      <c r="B343" t="s">
        <v>5131</v>
      </c>
    </row>
    <row r="344" spans="1:2" x14ac:dyDescent="0.2">
      <c r="A344" t="s">
        <v>5013</v>
      </c>
      <c r="B344" t="s">
        <v>5131</v>
      </c>
    </row>
    <row r="345" spans="1:2" x14ac:dyDescent="0.2">
      <c r="A345" t="s">
        <v>5014</v>
      </c>
      <c r="B345" t="s">
        <v>5131</v>
      </c>
    </row>
    <row r="346" spans="1:2" x14ac:dyDescent="0.2">
      <c r="A346" t="s">
        <v>5015</v>
      </c>
      <c r="B346" t="s">
        <v>5131</v>
      </c>
    </row>
    <row r="347" spans="1:2" x14ac:dyDescent="0.2">
      <c r="A347" t="s">
        <v>5016</v>
      </c>
      <c r="B347" t="s">
        <v>5131</v>
      </c>
    </row>
    <row r="348" spans="1:2" x14ac:dyDescent="0.2">
      <c r="A348" t="s">
        <v>5017</v>
      </c>
      <c r="B348" t="s">
        <v>5131</v>
      </c>
    </row>
    <row r="349" spans="1:2" x14ac:dyDescent="0.2">
      <c r="A349" t="s">
        <v>5018</v>
      </c>
      <c r="B349" t="s">
        <v>5131</v>
      </c>
    </row>
    <row r="350" spans="1:2" x14ac:dyDescent="0.2">
      <c r="A350" t="s">
        <v>5019</v>
      </c>
      <c r="B350" t="s">
        <v>5131</v>
      </c>
    </row>
    <row r="351" spans="1:2" x14ac:dyDescent="0.2">
      <c r="A351" t="s">
        <v>5020</v>
      </c>
      <c r="B351" t="s">
        <v>5131</v>
      </c>
    </row>
    <row r="352" spans="1:2" x14ac:dyDescent="0.2">
      <c r="A352" t="s">
        <v>5021</v>
      </c>
      <c r="B352" t="s">
        <v>5131</v>
      </c>
    </row>
    <row r="353" spans="1:2" x14ac:dyDescent="0.2">
      <c r="A353" t="s">
        <v>5022</v>
      </c>
      <c r="B353" t="s">
        <v>5131</v>
      </c>
    </row>
    <row r="354" spans="1:2" x14ac:dyDescent="0.2">
      <c r="A354" t="s">
        <v>5023</v>
      </c>
      <c r="B354" t="s">
        <v>5131</v>
      </c>
    </row>
    <row r="355" spans="1:2" x14ac:dyDescent="0.2">
      <c r="A355" t="s">
        <v>5024</v>
      </c>
      <c r="B355" t="s">
        <v>5131</v>
      </c>
    </row>
    <row r="356" spans="1:2" x14ac:dyDescent="0.2">
      <c r="A356" t="s">
        <v>5025</v>
      </c>
      <c r="B356" t="s">
        <v>5131</v>
      </c>
    </row>
    <row r="357" spans="1:2" x14ac:dyDescent="0.2">
      <c r="A357" t="s">
        <v>5026</v>
      </c>
      <c r="B357" t="s">
        <v>5131</v>
      </c>
    </row>
    <row r="358" spans="1:2" x14ac:dyDescent="0.2">
      <c r="A358" t="s">
        <v>5027</v>
      </c>
      <c r="B358" t="s">
        <v>5131</v>
      </c>
    </row>
    <row r="359" spans="1:2" x14ac:dyDescent="0.2">
      <c r="A359" t="s">
        <v>5028</v>
      </c>
      <c r="B359" t="s">
        <v>5131</v>
      </c>
    </row>
    <row r="360" spans="1:2" x14ac:dyDescent="0.2">
      <c r="A360" t="s">
        <v>5029</v>
      </c>
      <c r="B360" t="s">
        <v>5131</v>
      </c>
    </row>
    <row r="361" spans="1:2" x14ac:dyDescent="0.2">
      <c r="A361" t="s">
        <v>5030</v>
      </c>
      <c r="B361" t="s">
        <v>5131</v>
      </c>
    </row>
    <row r="362" spans="1:2" x14ac:dyDescent="0.2">
      <c r="A362" t="s">
        <v>5031</v>
      </c>
      <c r="B362" t="s">
        <v>5131</v>
      </c>
    </row>
    <row r="363" spans="1:2" x14ac:dyDescent="0.2">
      <c r="A363" t="s">
        <v>5032</v>
      </c>
      <c r="B363" t="s">
        <v>5131</v>
      </c>
    </row>
    <row r="364" spans="1:2" x14ac:dyDescent="0.2">
      <c r="A364" t="s">
        <v>5033</v>
      </c>
      <c r="B364" t="s">
        <v>5131</v>
      </c>
    </row>
    <row r="365" spans="1:2" x14ac:dyDescent="0.2">
      <c r="A365" t="s">
        <v>5034</v>
      </c>
      <c r="B365" t="s">
        <v>5131</v>
      </c>
    </row>
    <row r="366" spans="1:2" x14ac:dyDescent="0.2">
      <c r="A366" t="s">
        <v>5035</v>
      </c>
      <c r="B366" t="s">
        <v>5131</v>
      </c>
    </row>
    <row r="367" spans="1:2" x14ac:dyDescent="0.2">
      <c r="A367" t="s">
        <v>2842</v>
      </c>
      <c r="B367">
        <v>0</v>
      </c>
    </row>
    <row r="368" spans="1:2" x14ac:dyDescent="0.2">
      <c r="A368" t="s">
        <v>2843</v>
      </c>
      <c r="B368">
        <v>0</v>
      </c>
    </row>
    <row r="369" spans="1:2" x14ac:dyDescent="0.2">
      <c r="A369" t="s">
        <v>2844</v>
      </c>
      <c r="B369">
        <v>0</v>
      </c>
    </row>
    <row r="370" spans="1:2" x14ac:dyDescent="0.2">
      <c r="A370" t="s">
        <v>2845</v>
      </c>
      <c r="B370">
        <v>0</v>
      </c>
    </row>
    <row r="371" spans="1:2" x14ac:dyDescent="0.2">
      <c r="A371" t="s">
        <v>2846</v>
      </c>
      <c r="B371">
        <v>0</v>
      </c>
    </row>
    <row r="372" spans="1:2" x14ac:dyDescent="0.2">
      <c r="A372" t="s">
        <v>2847</v>
      </c>
      <c r="B372">
        <v>0</v>
      </c>
    </row>
    <row r="373" spans="1:2" x14ac:dyDescent="0.2">
      <c r="A373" t="s">
        <v>2848</v>
      </c>
      <c r="B373">
        <v>0</v>
      </c>
    </row>
    <row r="374" spans="1:2" x14ac:dyDescent="0.2">
      <c r="A374" t="s">
        <v>2849</v>
      </c>
      <c r="B374">
        <v>0</v>
      </c>
    </row>
    <row r="375" spans="1:2" x14ac:dyDescent="0.2">
      <c r="A375" t="s">
        <v>2850</v>
      </c>
      <c r="B375">
        <v>0</v>
      </c>
    </row>
    <row r="376" spans="1:2" x14ac:dyDescent="0.2">
      <c r="A376" t="s">
        <v>2851</v>
      </c>
      <c r="B376">
        <v>0</v>
      </c>
    </row>
    <row r="377" spans="1:2" x14ac:dyDescent="0.2">
      <c r="A377" t="s">
        <v>2852</v>
      </c>
      <c r="B377">
        <v>0</v>
      </c>
    </row>
    <row r="378" spans="1:2" x14ac:dyDescent="0.2">
      <c r="A378" t="s">
        <v>2853</v>
      </c>
      <c r="B378">
        <v>0</v>
      </c>
    </row>
    <row r="379" spans="1:2" x14ac:dyDescent="0.2">
      <c r="A379" t="s">
        <v>2854</v>
      </c>
      <c r="B379">
        <v>0</v>
      </c>
    </row>
    <row r="380" spans="1:2" x14ac:dyDescent="0.2">
      <c r="A380" t="s">
        <v>2855</v>
      </c>
      <c r="B380">
        <v>0</v>
      </c>
    </row>
    <row r="381" spans="1:2" x14ac:dyDescent="0.2">
      <c r="A381" t="s">
        <v>2856</v>
      </c>
      <c r="B381">
        <v>0</v>
      </c>
    </row>
    <row r="382" spans="1:2" x14ac:dyDescent="0.2">
      <c r="A382" t="s">
        <v>2857</v>
      </c>
      <c r="B382">
        <v>0</v>
      </c>
    </row>
    <row r="383" spans="1:2" x14ac:dyDescent="0.2">
      <c r="A383" t="s">
        <v>2858</v>
      </c>
      <c r="B383">
        <v>0</v>
      </c>
    </row>
    <row r="384" spans="1:2" x14ac:dyDescent="0.2">
      <c r="A384" t="s">
        <v>2859</v>
      </c>
      <c r="B384">
        <v>0</v>
      </c>
    </row>
    <row r="385" spans="1:2" x14ac:dyDescent="0.2">
      <c r="A385" t="s">
        <v>2860</v>
      </c>
      <c r="B385">
        <v>0</v>
      </c>
    </row>
    <row r="386" spans="1:2" x14ac:dyDescent="0.2">
      <c r="A386" t="s">
        <v>2861</v>
      </c>
      <c r="B386">
        <v>0</v>
      </c>
    </row>
    <row r="387" spans="1:2" x14ac:dyDescent="0.2">
      <c r="A387" t="s">
        <v>2862</v>
      </c>
      <c r="B387">
        <v>0</v>
      </c>
    </row>
    <row r="388" spans="1:2" x14ac:dyDescent="0.2">
      <c r="A388" t="s">
        <v>2863</v>
      </c>
      <c r="B388">
        <v>0</v>
      </c>
    </row>
    <row r="389" spans="1:2" x14ac:dyDescent="0.2">
      <c r="A389" t="s">
        <v>2864</v>
      </c>
      <c r="B389">
        <v>0</v>
      </c>
    </row>
    <row r="390" spans="1:2" x14ac:dyDescent="0.2">
      <c r="A390" t="s">
        <v>2865</v>
      </c>
      <c r="B390">
        <v>0</v>
      </c>
    </row>
    <row r="391" spans="1:2" x14ac:dyDescent="0.2">
      <c r="A391" t="s">
        <v>2866</v>
      </c>
      <c r="B391">
        <v>0</v>
      </c>
    </row>
    <row r="392" spans="1:2" x14ac:dyDescent="0.2">
      <c r="A392" t="s">
        <v>2867</v>
      </c>
      <c r="B392">
        <v>0</v>
      </c>
    </row>
    <row r="393" spans="1:2" x14ac:dyDescent="0.2">
      <c r="A393" t="s">
        <v>2868</v>
      </c>
      <c r="B393">
        <v>0</v>
      </c>
    </row>
    <row r="394" spans="1:2" x14ac:dyDescent="0.2">
      <c r="A394" t="s">
        <v>2869</v>
      </c>
      <c r="B394">
        <v>0</v>
      </c>
    </row>
    <row r="395" spans="1:2" x14ac:dyDescent="0.2">
      <c r="A395" t="s">
        <v>2870</v>
      </c>
      <c r="B395">
        <v>0</v>
      </c>
    </row>
    <row r="396" spans="1:2" x14ac:dyDescent="0.2">
      <c r="A396" t="s">
        <v>2871</v>
      </c>
      <c r="B396">
        <v>0</v>
      </c>
    </row>
    <row r="397" spans="1:2" x14ac:dyDescent="0.2">
      <c r="A397" t="s">
        <v>2872</v>
      </c>
      <c r="B397">
        <v>0</v>
      </c>
    </row>
    <row r="398" spans="1:2" x14ac:dyDescent="0.2">
      <c r="A398" t="s">
        <v>2873</v>
      </c>
      <c r="B398">
        <v>0</v>
      </c>
    </row>
    <row r="399" spans="1:2" x14ac:dyDescent="0.2">
      <c r="A399" t="s">
        <v>2874</v>
      </c>
      <c r="B399">
        <v>0</v>
      </c>
    </row>
    <row r="400" spans="1:2" x14ac:dyDescent="0.2">
      <c r="A400" t="s">
        <v>2875</v>
      </c>
      <c r="B400">
        <v>0</v>
      </c>
    </row>
    <row r="401" spans="1:2" x14ac:dyDescent="0.2">
      <c r="A401" t="s">
        <v>2876</v>
      </c>
      <c r="B401">
        <v>0</v>
      </c>
    </row>
    <row r="402" spans="1:2" x14ac:dyDescent="0.2">
      <c r="A402" t="s">
        <v>2877</v>
      </c>
      <c r="B402">
        <v>0</v>
      </c>
    </row>
    <row r="403" spans="1:2" x14ac:dyDescent="0.2">
      <c r="A403" t="s">
        <v>2878</v>
      </c>
      <c r="B403">
        <v>0</v>
      </c>
    </row>
    <row r="404" spans="1:2" x14ac:dyDescent="0.2">
      <c r="A404" t="s">
        <v>2879</v>
      </c>
      <c r="B404">
        <v>0</v>
      </c>
    </row>
    <row r="405" spans="1:2" x14ac:dyDescent="0.2">
      <c r="A405" t="s">
        <v>2880</v>
      </c>
      <c r="B405">
        <v>0</v>
      </c>
    </row>
    <row r="406" spans="1:2" x14ac:dyDescent="0.2">
      <c r="A406" t="s">
        <v>2881</v>
      </c>
      <c r="B406">
        <v>0</v>
      </c>
    </row>
    <row r="407" spans="1:2" x14ac:dyDescent="0.2">
      <c r="A407" t="s">
        <v>2882</v>
      </c>
      <c r="B407">
        <v>0</v>
      </c>
    </row>
    <row r="408" spans="1:2" x14ac:dyDescent="0.2">
      <c r="A408" t="s">
        <v>2883</v>
      </c>
      <c r="B408">
        <v>0</v>
      </c>
    </row>
    <row r="409" spans="1:2" x14ac:dyDescent="0.2">
      <c r="A409" t="s">
        <v>2884</v>
      </c>
      <c r="B409">
        <v>0</v>
      </c>
    </row>
    <row r="410" spans="1:2" x14ac:dyDescent="0.2">
      <c r="A410" t="s">
        <v>2885</v>
      </c>
      <c r="B410">
        <v>0</v>
      </c>
    </row>
    <row r="411" spans="1:2" x14ac:dyDescent="0.2">
      <c r="A411" t="s">
        <v>2886</v>
      </c>
      <c r="B411">
        <v>0</v>
      </c>
    </row>
    <row r="412" spans="1:2" x14ac:dyDescent="0.2">
      <c r="A412" t="s">
        <v>2887</v>
      </c>
      <c r="B412">
        <v>0</v>
      </c>
    </row>
    <row r="413" spans="1:2" x14ac:dyDescent="0.2">
      <c r="A413" t="s">
        <v>2888</v>
      </c>
      <c r="B413">
        <v>0</v>
      </c>
    </row>
    <row r="414" spans="1:2" x14ac:dyDescent="0.2">
      <c r="A414" t="s">
        <v>2889</v>
      </c>
      <c r="B414">
        <v>0</v>
      </c>
    </row>
    <row r="415" spans="1:2" x14ac:dyDescent="0.2">
      <c r="A415" t="s">
        <v>2890</v>
      </c>
      <c r="B415">
        <v>0</v>
      </c>
    </row>
    <row r="416" spans="1:2" x14ac:dyDescent="0.2">
      <c r="A416" t="s">
        <v>2891</v>
      </c>
      <c r="B416">
        <v>0</v>
      </c>
    </row>
    <row r="417" spans="1:2" x14ac:dyDescent="0.2">
      <c r="A417" t="s">
        <v>2892</v>
      </c>
      <c r="B417">
        <v>0</v>
      </c>
    </row>
    <row r="418" spans="1:2" x14ac:dyDescent="0.2">
      <c r="A418" t="s">
        <v>2893</v>
      </c>
      <c r="B418">
        <v>0</v>
      </c>
    </row>
    <row r="419" spans="1:2" x14ac:dyDescent="0.2">
      <c r="A419" t="s">
        <v>2894</v>
      </c>
      <c r="B419">
        <v>0</v>
      </c>
    </row>
    <row r="420" spans="1:2" x14ac:dyDescent="0.2">
      <c r="A420" t="s">
        <v>2895</v>
      </c>
      <c r="B420">
        <v>0</v>
      </c>
    </row>
    <row r="421" spans="1:2" x14ac:dyDescent="0.2">
      <c r="A421" t="s">
        <v>2896</v>
      </c>
      <c r="B421">
        <v>0</v>
      </c>
    </row>
    <row r="422" spans="1:2" x14ac:dyDescent="0.2">
      <c r="A422" t="s">
        <v>2897</v>
      </c>
      <c r="B422">
        <v>0</v>
      </c>
    </row>
    <row r="423" spans="1:2" x14ac:dyDescent="0.2">
      <c r="A423" t="s">
        <v>2898</v>
      </c>
      <c r="B423">
        <v>0</v>
      </c>
    </row>
    <row r="424" spans="1:2" x14ac:dyDescent="0.2">
      <c r="A424" t="s">
        <v>2899</v>
      </c>
      <c r="B424">
        <v>0</v>
      </c>
    </row>
    <row r="425" spans="1:2" x14ac:dyDescent="0.2">
      <c r="A425" t="s">
        <v>2900</v>
      </c>
      <c r="B425">
        <v>0</v>
      </c>
    </row>
    <row r="426" spans="1:2" x14ac:dyDescent="0.2">
      <c r="A426" t="s">
        <v>2901</v>
      </c>
      <c r="B426">
        <v>0</v>
      </c>
    </row>
    <row r="427" spans="1:2" x14ac:dyDescent="0.2">
      <c r="A427" t="s">
        <v>2902</v>
      </c>
      <c r="B427" t="s">
        <v>5131</v>
      </c>
    </row>
    <row r="428" spans="1:2" x14ac:dyDescent="0.2">
      <c r="A428" t="s">
        <v>2903</v>
      </c>
      <c r="B428" t="s">
        <v>5131</v>
      </c>
    </row>
    <row r="429" spans="1:2" x14ac:dyDescent="0.2">
      <c r="A429" t="s">
        <v>2904</v>
      </c>
      <c r="B429" t="s">
        <v>5131</v>
      </c>
    </row>
    <row r="430" spans="1:2" x14ac:dyDescent="0.2">
      <c r="A430" t="s">
        <v>2905</v>
      </c>
      <c r="B430" t="s">
        <v>5131</v>
      </c>
    </row>
    <row r="431" spans="1:2" x14ac:dyDescent="0.2">
      <c r="A431" t="s">
        <v>2906</v>
      </c>
      <c r="B431" t="s">
        <v>5131</v>
      </c>
    </row>
    <row r="432" spans="1:2" x14ac:dyDescent="0.2">
      <c r="A432" t="s">
        <v>2907</v>
      </c>
      <c r="B432" t="s">
        <v>5131</v>
      </c>
    </row>
    <row r="433" spans="1:2" x14ac:dyDescent="0.2">
      <c r="A433" t="s">
        <v>2908</v>
      </c>
      <c r="B433" t="s">
        <v>5131</v>
      </c>
    </row>
    <row r="434" spans="1:2" x14ac:dyDescent="0.2">
      <c r="A434" t="s">
        <v>2909</v>
      </c>
      <c r="B434" t="s">
        <v>5131</v>
      </c>
    </row>
    <row r="435" spans="1:2" x14ac:dyDescent="0.2">
      <c r="A435" t="s">
        <v>2910</v>
      </c>
      <c r="B435" t="s">
        <v>5131</v>
      </c>
    </row>
    <row r="436" spans="1:2" x14ac:dyDescent="0.2">
      <c r="A436" t="s">
        <v>2911</v>
      </c>
      <c r="B436" t="s">
        <v>5131</v>
      </c>
    </row>
    <row r="437" spans="1:2" x14ac:dyDescent="0.2">
      <c r="A437" t="s">
        <v>2912</v>
      </c>
      <c r="B437" t="s">
        <v>5131</v>
      </c>
    </row>
    <row r="438" spans="1:2" x14ac:dyDescent="0.2">
      <c r="A438" t="s">
        <v>2913</v>
      </c>
      <c r="B438" t="s">
        <v>5131</v>
      </c>
    </row>
    <row r="439" spans="1:2" x14ac:dyDescent="0.2">
      <c r="A439" t="s">
        <v>2914</v>
      </c>
      <c r="B439" t="s">
        <v>5131</v>
      </c>
    </row>
    <row r="440" spans="1:2" x14ac:dyDescent="0.2">
      <c r="A440" t="s">
        <v>2915</v>
      </c>
      <c r="B440" t="s">
        <v>5131</v>
      </c>
    </row>
    <row r="441" spans="1:2" x14ac:dyDescent="0.2">
      <c r="A441" t="s">
        <v>2916</v>
      </c>
      <c r="B441" t="s">
        <v>5131</v>
      </c>
    </row>
    <row r="442" spans="1:2" x14ac:dyDescent="0.2">
      <c r="A442" t="s">
        <v>2917</v>
      </c>
      <c r="B442" t="s">
        <v>5131</v>
      </c>
    </row>
    <row r="443" spans="1:2" x14ac:dyDescent="0.2">
      <c r="A443" t="s">
        <v>2918</v>
      </c>
      <c r="B443" t="s">
        <v>5131</v>
      </c>
    </row>
    <row r="444" spans="1:2" x14ac:dyDescent="0.2">
      <c r="A444" t="s">
        <v>2919</v>
      </c>
      <c r="B444" t="s">
        <v>5131</v>
      </c>
    </row>
    <row r="445" spans="1:2" x14ac:dyDescent="0.2">
      <c r="A445" t="s">
        <v>2920</v>
      </c>
      <c r="B445" t="s">
        <v>5131</v>
      </c>
    </row>
    <row r="446" spans="1:2" x14ac:dyDescent="0.2">
      <c r="A446" t="s">
        <v>2921</v>
      </c>
      <c r="B446" t="s">
        <v>5131</v>
      </c>
    </row>
    <row r="447" spans="1:2" x14ac:dyDescent="0.2">
      <c r="A447" t="s">
        <v>2922</v>
      </c>
      <c r="B447" t="s">
        <v>5131</v>
      </c>
    </row>
    <row r="448" spans="1:2" x14ac:dyDescent="0.2">
      <c r="A448" t="s">
        <v>2923</v>
      </c>
      <c r="B448" t="s">
        <v>5131</v>
      </c>
    </row>
    <row r="449" spans="1:2" x14ac:dyDescent="0.2">
      <c r="A449" t="s">
        <v>2924</v>
      </c>
      <c r="B449" t="s">
        <v>5131</v>
      </c>
    </row>
    <row r="450" spans="1:2" x14ac:dyDescent="0.2">
      <c r="A450" t="s">
        <v>2925</v>
      </c>
      <c r="B450" t="s">
        <v>5131</v>
      </c>
    </row>
    <row r="451" spans="1:2" x14ac:dyDescent="0.2">
      <c r="A451" t="s">
        <v>2926</v>
      </c>
      <c r="B451" t="s">
        <v>5131</v>
      </c>
    </row>
    <row r="452" spans="1:2" x14ac:dyDescent="0.2">
      <c r="A452" t="s">
        <v>2927</v>
      </c>
      <c r="B452" t="s">
        <v>5131</v>
      </c>
    </row>
    <row r="453" spans="1:2" x14ac:dyDescent="0.2">
      <c r="A453" t="s">
        <v>2928</v>
      </c>
      <c r="B453" t="s">
        <v>5131</v>
      </c>
    </row>
    <row r="454" spans="1:2" x14ac:dyDescent="0.2">
      <c r="A454" t="s">
        <v>2929</v>
      </c>
      <c r="B454" t="s">
        <v>5131</v>
      </c>
    </row>
    <row r="455" spans="1:2" x14ac:dyDescent="0.2">
      <c r="A455" t="s">
        <v>2930</v>
      </c>
      <c r="B455" t="s">
        <v>5131</v>
      </c>
    </row>
    <row r="456" spans="1:2" x14ac:dyDescent="0.2">
      <c r="A456" t="s">
        <v>2931</v>
      </c>
      <c r="B456" t="s">
        <v>5131</v>
      </c>
    </row>
    <row r="457" spans="1:2" x14ac:dyDescent="0.2">
      <c r="A457" t="s">
        <v>2932</v>
      </c>
      <c r="B457">
        <v>1</v>
      </c>
    </row>
    <row r="458" spans="1:2" x14ac:dyDescent="0.2">
      <c r="A458" t="s">
        <v>2933</v>
      </c>
      <c r="B458">
        <v>1</v>
      </c>
    </row>
    <row r="459" spans="1:2" x14ac:dyDescent="0.2">
      <c r="A459" t="s">
        <v>2934</v>
      </c>
      <c r="B459">
        <v>1</v>
      </c>
    </row>
    <row r="460" spans="1:2" x14ac:dyDescent="0.2">
      <c r="A460" t="s">
        <v>2935</v>
      </c>
      <c r="B460">
        <v>1</v>
      </c>
    </row>
    <row r="461" spans="1:2" x14ac:dyDescent="0.2">
      <c r="A461" t="s">
        <v>2936</v>
      </c>
      <c r="B461">
        <v>1</v>
      </c>
    </row>
    <row r="462" spans="1:2" x14ac:dyDescent="0.2">
      <c r="A462" t="s">
        <v>2937</v>
      </c>
      <c r="B462">
        <v>1</v>
      </c>
    </row>
    <row r="463" spans="1:2" x14ac:dyDescent="0.2">
      <c r="A463" t="s">
        <v>2938</v>
      </c>
      <c r="B463">
        <v>1</v>
      </c>
    </row>
    <row r="464" spans="1:2" x14ac:dyDescent="0.2">
      <c r="A464" t="s">
        <v>2939</v>
      </c>
      <c r="B464">
        <v>1</v>
      </c>
    </row>
    <row r="465" spans="1:2" x14ac:dyDescent="0.2">
      <c r="A465" t="s">
        <v>2940</v>
      </c>
      <c r="B465">
        <v>1</v>
      </c>
    </row>
    <row r="466" spans="1:2" x14ac:dyDescent="0.2">
      <c r="A466" t="s">
        <v>2941</v>
      </c>
      <c r="B466">
        <v>1</v>
      </c>
    </row>
    <row r="467" spans="1:2" x14ac:dyDescent="0.2">
      <c r="A467" t="s">
        <v>2942</v>
      </c>
      <c r="B467">
        <v>1</v>
      </c>
    </row>
    <row r="468" spans="1:2" x14ac:dyDescent="0.2">
      <c r="A468" t="s">
        <v>2943</v>
      </c>
      <c r="B468">
        <v>1</v>
      </c>
    </row>
    <row r="469" spans="1:2" x14ac:dyDescent="0.2">
      <c r="A469" t="s">
        <v>2944</v>
      </c>
      <c r="B469">
        <v>1</v>
      </c>
    </row>
    <row r="470" spans="1:2" x14ac:dyDescent="0.2">
      <c r="A470" t="s">
        <v>2945</v>
      </c>
      <c r="B470">
        <v>1</v>
      </c>
    </row>
    <row r="471" spans="1:2" x14ac:dyDescent="0.2">
      <c r="A471" t="s">
        <v>2946</v>
      </c>
      <c r="B471">
        <v>1</v>
      </c>
    </row>
    <row r="472" spans="1:2" x14ac:dyDescent="0.2">
      <c r="A472" t="s">
        <v>2947</v>
      </c>
      <c r="B472">
        <v>1</v>
      </c>
    </row>
    <row r="473" spans="1:2" x14ac:dyDescent="0.2">
      <c r="A473" t="s">
        <v>2948</v>
      </c>
      <c r="B473">
        <v>1</v>
      </c>
    </row>
    <row r="474" spans="1:2" x14ac:dyDescent="0.2">
      <c r="A474" t="s">
        <v>2949</v>
      </c>
      <c r="B474">
        <v>1</v>
      </c>
    </row>
    <row r="475" spans="1:2" x14ac:dyDescent="0.2">
      <c r="A475" t="s">
        <v>2950</v>
      </c>
      <c r="B475">
        <v>1</v>
      </c>
    </row>
    <row r="476" spans="1:2" x14ac:dyDescent="0.2">
      <c r="A476" t="s">
        <v>2951</v>
      </c>
      <c r="B476">
        <v>1</v>
      </c>
    </row>
    <row r="477" spans="1:2" x14ac:dyDescent="0.2">
      <c r="A477" t="s">
        <v>2952</v>
      </c>
      <c r="B477">
        <v>1</v>
      </c>
    </row>
    <row r="478" spans="1:2" x14ac:dyDescent="0.2">
      <c r="A478" t="s">
        <v>2953</v>
      </c>
      <c r="B478">
        <v>1</v>
      </c>
    </row>
    <row r="479" spans="1:2" x14ac:dyDescent="0.2">
      <c r="A479" t="s">
        <v>2954</v>
      </c>
      <c r="B479">
        <v>1</v>
      </c>
    </row>
    <row r="480" spans="1:2" x14ac:dyDescent="0.2">
      <c r="A480" t="s">
        <v>2955</v>
      </c>
      <c r="B480">
        <v>1</v>
      </c>
    </row>
    <row r="481" spans="1:2" x14ac:dyDescent="0.2">
      <c r="A481" t="s">
        <v>2956</v>
      </c>
      <c r="B481">
        <v>1</v>
      </c>
    </row>
    <row r="482" spans="1:2" x14ac:dyDescent="0.2">
      <c r="A482" t="s">
        <v>2957</v>
      </c>
      <c r="B482">
        <v>1</v>
      </c>
    </row>
    <row r="483" spans="1:2" x14ac:dyDescent="0.2">
      <c r="A483" t="s">
        <v>2958</v>
      </c>
      <c r="B483">
        <v>1</v>
      </c>
    </row>
    <row r="484" spans="1:2" x14ac:dyDescent="0.2">
      <c r="A484" t="s">
        <v>2959</v>
      </c>
      <c r="B484">
        <v>1</v>
      </c>
    </row>
    <row r="485" spans="1:2" x14ac:dyDescent="0.2">
      <c r="A485" t="s">
        <v>2960</v>
      </c>
      <c r="B485">
        <v>1</v>
      </c>
    </row>
    <row r="486" spans="1:2" x14ac:dyDescent="0.2">
      <c r="A486" t="s">
        <v>2961</v>
      </c>
      <c r="B486">
        <v>1</v>
      </c>
    </row>
    <row r="487" spans="1:2" x14ac:dyDescent="0.2">
      <c r="A487" t="s">
        <v>2962</v>
      </c>
      <c r="B487" t="s">
        <v>5131</v>
      </c>
    </row>
    <row r="488" spans="1:2" x14ac:dyDescent="0.2">
      <c r="A488" t="s">
        <v>2963</v>
      </c>
      <c r="B488" t="s">
        <v>5131</v>
      </c>
    </row>
    <row r="489" spans="1:2" x14ac:dyDescent="0.2">
      <c r="A489" t="s">
        <v>2964</v>
      </c>
      <c r="B489" t="s">
        <v>5131</v>
      </c>
    </row>
    <row r="490" spans="1:2" x14ac:dyDescent="0.2">
      <c r="A490" t="s">
        <v>2965</v>
      </c>
      <c r="B490" t="s">
        <v>5131</v>
      </c>
    </row>
    <row r="491" spans="1:2" x14ac:dyDescent="0.2">
      <c r="A491" t="s">
        <v>2966</v>
      </c>
      <c r="B491" t="s">
        <v>5131</v>
      </c>
    </row>
    <row r="492" spans="1:2" x14ac:dyDescent="0.2">
      <c r="A492" t="s">
        <v>2967</v>
      </c>
      <c r="B492" t="s">
        <v>5131</v>
      </c>
    </row>
    <row r="493" spans="1:2" x14ac:dyDescent="0.2">
      <c r="A493" t="s">
        <v>2968</v>
      </c>
      <c r="B493" t="s">
        <v>5131</v>
      </c>
    </row>
    <row r="494" spans="1:2" x14ac:dyDescent="0.2">
      <c r="A494" t="s">
        <v>2969</v>
      </c>
      <c r="B494" t="s">
        <v>5131</v>
      </c>
    </row>
    <row r="495" spans="1:2" x14ac:dyDescent="0.2">
      <c r="A495" t="s">
        <v>2970</v>
      </c>
      <c r="B495" t="s">
        <v>5131</v>
      </c>
    </row>
    <row r="496" spans="1:2" x14ac:dyDescent="0.2">
      <c r="A496" t="s">
        <v>2971</v>
      </c>
      <c r="B496" t="s">
        <v>5131</v>
      </c>
    </row>
    <row r="497" spans="1:2" x14ac:dyDescent="0.2">
      <c r="A497" t="s">
        <v>2972</v>
      </c>
      <c r="B497" t="s">
        <v>5131</v>
      </c>
    </row>
    <row r="498" spans="1:2" x14ac:dyDescent="0.2">
      <c r="A498" t="s">
        <v>2973</v>
      </c>
      <c r="B498" t="s">
        <v>5131</v>
      </c>
    </row>
    <row r="499" spans="1:2" x14ac:dyDescent="0.2">
      <c r="A499" t="s">
        <v>2974</v>
      </c>
      <c r="B499" t="s">
        <v>5131</v>
      </c>
    </row>
    <row r="500" spans="1:2" x14ac:dyDescent="0.2">
      <c r="A500" t="s">
        <v>2975</v>
      </c>
      <c r="B500" t="s">
        <v>5131</v>
      </c>
    </row>
    <row r="501" spans="1:2" x14ac:dyDescent="0.2">
      <c r="A501" t="s">
        <v>2976</v>
      </c>
      <c r="B501" t="s">
        <v>5131</v>
      </c>
    </row>
    <row r="502" spans="1:2" x14ac:dyDescent="0.2">
      <c r="A502" t="s">
        <v>2977</v>
      </c>
      <c r="B502" t="s">
        <v>5131</v>
      </c>
    </row>
    <row r="503" spans="1:2" x14ac:dyDescent="0.2">
      <c r="A503" t="s">
        <v>2978</v>
      </c>
      <c r="B503" t="s">
        <v>5131</v>
      </c>
    </row>
    <row r="504" spans="1:2" x14ac:dyDescent="0.2">
      <c r="A504" t="s">
        <v>2979</v>
      </c>
      <c r="B504" t="s">
        <v>5131</v>
      </c>
    </row>
    <row r="505" spans="1:2" x14ac:dyDescent="0.2">
      <c r="A505" t="s">
        <v>2980</v>
      </c>
      <c r="B505" t="s">
        <v>5131</v>
      </c>
    </row>
    <row r="506" spans="1:2" x14ac:dyDescent="0.2">
      <c r="A506" t="s">
        <v>2981</v>
      </c>
      <c r="B506" t="s">
        <v>5131</v>
      </c>
    </row>
    <row r="507" spans="1:2" x14ac:dyDescent="0.2">
      <c r="A507" t="s">
        <v>2982</v>
      </c>
      <c r="B507" t="s">
        <v>5131</v>
      </c>
    </row>
    <row r="508" spans="1:2" x14ac:dyDescent="0.2">
      <c r="A508" t="s">
        <v>2983</v>
      </c>
      <c r="B508" t="s">
        <v>5131</v>
      </c>
    </row>
    <row r="509" spans="1:2" x14ac:dyDescent="0.2">
      <c r="A509" t="s">
        <v>2984</v>
      </c>
      <c r="B509" t="s">
        <v>5131</v>
      </c>
    </row>
    <row r="510" spans="1:2" x14ac:dyDescent="0.2">
      <c r="A510" t="s">
        <v>2985</v>
      </c>
      <c r="B510" t="s">
        <v>5131</v>
      </c>
    </row>
    <row r="511" spans="1:2" x14ac:dyDescent="0.2">
      <c r="A511" t="s">
        <v>2986</v>
      </c>
      <c r="B511" t="s">
        <v>5131</v>
      </c>
    </row>
    <row r="512" spans="1:2" x14ac:dyDescent="0.2">
      <c r="A512" t="s">
        <v>2987</v>
      </c>
      <c r="B512" t="s">
        <v>5131</v>
      </c>
    </row>
    <row r="513" spans="1:2" x14ac:dyDescent="0.2">
      <c r="A513" t="s">
        <v>2988</v>
      </c>
      <c r="B513" t="s">
        <v>5131</v>
      </c>
    </row>
    <row r="514" spans="1:2" x14ac:dyDescent="0.2">
      <c r="A514" t="s">
        <v>2989</v>
      </c>
      <c r="B514" t="s">
        <v>5131</v>
      </c>
    </row>
    <row r="515" spans="1:2" x14ac:dyDescent="0.2">
      <c r="A515" t="s">
        <v>2990</v>
      </c>
      <c r="B515" t="s">
        <v>5131</v>
      </c>
    </row>
    <row r="516" spans="1:2" x14ac:dyDescent="0.2">
      <c r="A516" t="s">
        <v>2991</v>
      </c>
      <c r="B516" t="s">
        <v>5131</v>
      </c>
    </row>
    <row r="517" spans="1:2" x14ac:dyDescent="0.2">
      <c r="A517" t="s">
        <v>5074</v>
      </c>
      <c r="B517" t="s">
        <v>5131</v>
      </c>
    </row>
    <row r="518" spans="1:2" x14ac:dyDescent="0.2">
      <c r="A518" t="s">
        <v>5075</v>
      </c>
      <c r="B518" t="s">
        <v>5131</v>
      </c>
    </row>
    <row r="519" spans="1:2" x14ac:dyDescent="0.2">
      <c r="A519" t="s">
        <v>5076</v>
      </c>
      <c r="B519" t="s">
        <v>5131</v>
      </c>
    </row>
    <row r="520" spans="1:2" x14ac:dyDescent="0.2">
      <c r="A520" t="s">
        <v>5077</v>
      </c>
      <c r="B520" t="s">
        <v>5131</v>
      </c>
    </row>
    <row r="521" spans="1:2" x14ac:dyDescent="0.2">
      <c r="A521" t="s">
        <v>5078</v>
      </c>
      <c r="B521" t="s">
        <v>5131</v>
      </c>
    </row>
    <row r="522" spans="1:2" x14ac:dyDescent="0.2">
      <c r="A522" t="s">
        <v>5079</v>
      </c>
      <c r="B522" t="s">
        <v>5131</v>
      </c>
    </row>
    <row r="523" spans="1:2" x14ac:dyDescent="0.2">
      <c r="A523" t="s">
        <v>5080</v>
      </c>
      <c r="B523" t="s">
        <v>5131</v>
      </c>
    </row>
    <row r="524" spans="1:2" x14ac:dyDescent="0.2">
      <c r="A524" t="s">
        <v>5081</v>
      </c>
      <c r="B524" t="s">
        <v>5131</v>
      </c>
    </row>
    <row r="525" spans="1:2" x14ac:dyDescent="0.2">
      <c r="A525" t="s">
        <v>5082</v>
      </c>
      <c r="B525" t="s">
        <v>5131</v>
      </c>
    </row>
    <row r="526" spans="1:2" x14ac:dyDescent="0.2">
      <c r="A526" t="s">
        <v>5083</v>
      </c>
      <c r="B526" t="s">
        <v>5131</v>
      </c>
    </row>
    <row r="527" spans="1:2" x14ac:dyDescent="0.2">
      <c r="A527" t="s">
        <v>5084</v>
      </c>
      <c r="B527" t="s">
        <v>5131</v>
      </c>
    </row>
    <row r="528" spans="1:2" x14ac:dyDescent="0.2">
      <c r="A528" t="s">
        <v>5085</v>
      </c>
      <c r="B528" t="s">
        <v>5131</v>
      </c>
    </row>
    <row r="529" spans="1:2" x14ac:dyDescent="0.2">
      <c r="A529" t="s">
        <v>5086</v>
      </c>
      <c r="B529" t="s">
        <v>5131</v>
      </c>
    </row>
    <row r="530" spans="1:2" x14ac:dyDescent="0.2">
      <c r="A530" t="s">
        <v>5087</v>
      </c>
      <c r="B530" t="s">
        <v>5131</v>
      </c>
    </row>
    <row r="531" spans="1:2" x14ac:dyDescent="0.2">
      <c r="A531" t="s">
        <v>5088</v>
      </c>
      <c r="B531" t="s">
        <v>5131</v>
      </c>
    </row>
    <row r="532" spans="1:2" x14ac:dyDescent="0.2">
      <c r="A532" t="s">
        <v>5089</v>
      </c>
      <c r="B532" t="s">
        <v>5131</v>
      </c>
    </row>
    <row r="533" spans="1:2" x14ac:dyDescent="0.2">
      <c r="A533" t="s">
        <v>5090</v>
      </c>
      <c r="B533" t="s">
        <v>5131</v>
      </c>
    </row>
    <row r="534" spans="1:2" x14ac:dyDescent="0.2">
      <c r="A534" t="s">
        <v>5091</v>
      </c>
      <c r="B534" t="s">
        <v>5131</v>
      </c>
    </row>
    <row r="535" spans="1:2" x14ac:dyDescent="0.2">
      <c r="A535" t="s">
        <v>5092</v>
      </c>
      <c r="B535" t="s">
        <v>5131</v>
      </c>
    </row>
    <row r="536" spans="1:2" x14ac:dyDescent="0.2">
      <c r="A536" t="s">
        <v>5093</v>
      </c>
      <c r="B536" t="s">
        <v>5131</v>
      </c>
    </row>
    <row r="537" spans="1:2" x14ac:dyDescent="0.2">
      <c r="A537" t="s">
        <v>5094</v>
      </c>
      <c r="B537" t="s">
        <v>5131</v>
      </c>
    </row>
    <row r="538" spans="1:2" x14ac:dyDescent="0.2">
      <c r="A538" t="s">
        <v>5095</v>
      </c>
      <c r="B538" t="s">
        <v>5131</v>
      </c>
    </row>
    <row r="539" spans="1:2" x14ac:dyDescent="0.2">
      <c r="A539" t="s">
        <v>5096</v>
      </c>
      <c r="B539" t="s">
        <v>5131</v>
      </c>
    </row>
    <row r="540" spans="1:2" x14ac:dyDescent="0.2">
      <c r="A540" t="s">
        <v>5097</v>
      </c>
      <c r="B540" t="s">
        <v>5131</v>
      </c>
    </row>
    <row r="541" spans="1:2" x14ac:dyDescent="0.2">
      <c r="A541" t="s">
        <v>5098</v>
      </c>
      <c r="B541" t="s">
        <v>5131</v>
      </c>
    </row>
    <row r="542" spans="1:2" x14ac:dyDescent="0.2">
      <c r="A542" t="s">
        <v>5099</v>
      </c>
      <c r="B542" t="s">
        <v>5131</v>
      </c>
    </row>
    <row r="543" spans="1:2" x14ac:dyDescent="0.2">
      <c r="A543" t="s">
        <v>5100</v>
      </c>
      <c r="B543" t="s">
        <v>5131</v>
      </c>
    </row>
    <row r="544" spans="1:2" x14ac:dyDescent="0.2">
      <c r="A544" t="s">
        <v>5101</v>
      </c>
      <c r="B544" t="s">
        <v>5131</v>
      </c>
    </row>
    <row r="545" spans="1:2" x14ac:dyDescent="0.2">
      <c r="A545" t="s">
        <v>5102</v>
      </c>
      <c r="B545" t="s">
        <v>5131</v>
      </c>
    </row>
    <row r="546" spans="1:2" x14ac:dyDescent="0.2">
      <c r="A546" t="s">
        <v>5103</v>
      </c>
      <c r="B546" t="s">
        <v>5131</v>
      </c>
    </row>
    <row r="547" spans="1:2" x14ac:dyDescent="0.2">
      <c r="A547" t="s">
        <v>3021</v>
      </c>
      <c r="B547">
        <v>0</v>
      </c>
    </row>
    <row r="548" spans="1:2" x14ac:dyDescent="0.2">
      <c r="A548" t="s">
        <v>3023</v>
      </c>
      <c r="B548" t="s">
        <v>5131</v>
      </c>
    </row>
    <row r="549" spans="1:2" x14ac:dyDescent="0.2">
      <c r="A549" t="s">
        <v>3025</v>
      </c>
      <c r="B549">
        <v>5000</v>
      </c>
    </row>
    <row r="550" spans="1:2" x14ac:dyDescent="0.2">
      <c r="A550" t="s">
        <v>3026</v>
      </c>
      <c r="B550">
        <v>1</v>
      </c>
    </row>
    <row r="551" spans="1:2" x14ac:dyDescent="0.2">
      <c r="A551" t="s">
        <v>3028</v>
      </c>
      <c r="B551">
        <v>0</v>
      </c>
    </row>
    <row r="552" spans="1:2" x14ac:dyDescent="0.2">
      <c r="A552" t="s">
        <v>3031</v>
      </c>
      <c r="B552">
        <v>0</v>
      </c>
    </row>
    <row r="553" spans="1:2" x14ac:dyDescent="0.2">
      <c r="A553" t="s">
        <v>3032</v>
      </c>
      <c r="B553">
        <v>0</v>
      </c>
    </row>
    <row r="554" spans="1:2" x14ac:dyDescent="0.2">
      <c r="A554" t="s">
        <v>3034</v>
      </c>
      <c r="B554">
        <v>0</v>
      </c>
    </row>
    <row r="555" spans="1:2" x14ac:dyDescent="0.2">
      <c r="A555" t="s">
        <v>3037</v>
      </c>
      <c r="B555">
        <v>0</v>
      </c>
    </row>
    <row r="556" spans="1:2" x14ac:dyDescent="0.2">
      <c r="A556" t="s">
        <v>3038</v>
      </c>
      <c r="B556">
        <v>0</v>
      </c>
    </row>
    <row r="557" spans="1:2" x14ac:dyDescent="0.2">
      <c r="A557" t="s">
        <v>3040</v>
      </c>
      <c r="B557">
        <v>5000</v>
      </c>
    </row>
    <row r="558" spans="1:2" x14ac:dyDescent="0.2">
      <c r="A558" t="s">
        <v>3042</v>
      </c>
      <c r="B558">
        <v>5000</v>
      </c>
    </row>
    <row r="559" spans="1:2" x14ac:dyDescent="0.2">
      <c r="A559" t="s">
        <v>3155</v>
      </c>
      <c r="B559">
        <v>0</v>
      </c>
    </row>
    <row r="560" spans="1:2" x14ac:dyDescent="0.2">
      <c r="A560" t="s">
        <v>3044</v>
      </c>
      <c r="B560">
        <v>5000</v>
      </c>
    </row>
    <row r="561" spans="1:2" x14ac:dyDescent="0.2">
      <c r="A561" t="s">
        <v>3054</v>
      </c>
      <c r="B561">
        <v>1</v>
      </c>
    </row>
    <row r="562" spans="1:2" x14ac:dyDescent="0.2">
      <c r="A562" t="s">
        <v>3055</v>
      </c>
      <c r="B562">
        <v>1</v>
      </c>
    </row>
    <row r="563" spans="1:2" x14ac:dyDescent="0.2">
      <c r="A563" t="s">
        <v>3056</v>
      </c>
      <c r="B563">
        <v>1</v>
      </c>
    </row>
    <row r="564" spans="1:2" x14ac:dyDescent="0.2">
      <c r="A564" t="s">
        <v>3057</v>
      </c>
      <c r="B564">
        <v>1</v>
      </c>
    </row>
    <row r="565" spans="1:2" x14ac:dyDescent="0.2">
      <c r="A565" t="s">
        <v>3058</v>
      </c>
      <c r="B565">
        <v>1</v>
      </c>
    </row>
    <row r="566" spans="1:2" x14ac:dyDescent="0.2">
      <c r="A566" t="s">
        <v>3059</v>
      </c>
      <c r="B566">
        <v>1</v>
      </c>
    </row>
    <row r="567" spans="1:2" x14ac:dyDescent="0.2">
      <c r="A567" t="s">
        <v>3060</v>
      </c>
      <c r="B567">
        <v>1</v>
      </c>
    </row>
    <row r="568" spans="1:2" x14ac:dyDescent="0.2">
      <c r="A568" t="s">
        <v>3061</v>
      </c>
      <c r="B568">
        <v>1</v>
      </c>
    </row>
    <row r="569" spans="1:2" x14ac:dyDescent="0.2">
      <c r="A569" t="s">
        <v>3062</v>
      </c>
      <c r="B569">
        <v>1</v>
      </c>
    </row>
    <row r="570" spans="1:2" x14ac:dyDescent="0.2">
      <c r="A570" t="s">
        <v>3072</v>
      </c>
      <c r="B570">
        <v>0</v>
      </c>
    </row>
    <row r="571" spans="1:2" x14ac:dyDescent="0.2">
      <c r="A571" t="s">
        <v>3073</v>
      </c>
      <c r="B571">
        <v>0</v>
      </c>
    </row>
    <row r="572" spans="1:2" x14ac:dyDescent="0.2">
      <c r="A572" t="s">
        <v>3074</v>
      </c>
      <c r="B572">
        <v>0</v>
      </c>
    </row>
    <row r="573" spans="1:2" x14ac:dyDescent="0.2">
      <c r="A573" t="s">
        <v>3075</v>
      </c>
      <c r="B573">
        <v>0</v>
      </c>
    </row>
    <row r="574" spans="1:2" x14ac:dyDescent="0.2">
      <c r="A574" t="s">
        <v>3076</v>
      </c>
      <c r="B574">
        <v>0</v>
      </c>
    </row>
    <row r="575" spans="1:2" x14ac:dyDescent="0.2">
      <c r="A575" t="s">
        <v>3077</v>
      </c>
      <c r="B575">
        <v>0</v>
      </c>
    </row>
    <row r="576" spans="1:2" x14ac:dyDescent="0.2">
      <c r="A576" t="s">
        <v>3078</v>
      </c>
      <c r="B576">
        <v>0</v>
      </c>
    </row>
    <row r="577" spans="1:2" x14ac:dyDescent="0.2">
      <c r="A577" t="s">
        <v>3079</v>
      </c>
      <c r="B577">
        <v>0</v>
      </c>
    </row>
    <row r="578" spans="1:2" x14ac:dyDescent="0.2">
      <c r="A578" t="s">
        <v>3080</v>
      </c>
      <c r="B578">
        <v>0</v>
      </c>
    </row>
    <row r="579" spans="1:2" x14ac:dyDescent="0.2">
      <c r="A579" t="s">
        <v>3083</v>
      </c>
      <c r="B579" t="s">
        <v>5131</v>
      </c>
    </row>
    <row r="580" spans="1:2" x14ac:dyDescent="0.2">
      <c r="A580" t="s">
        <v>3084</v>
      </c>
      <c r="B580" t="s">
        <v>5131</v>
      </c>
    </row>
    <row r="581" spans="1:2" x14ac:dyDescent="0.2">
      <c r="A581" t="s">
        <v>3086</v>
      </c>
      <c r="B581">
        <v>5000</v>
      </c>
    </row>
    <row r="582" spans="1:2" x14ac:dyDescent="0.2">
      <c r="A582" t="s">
        <v>3087</v>
      </c>
      <c r="B582">
        <v>5000</v>
      </c>
    </row>
    <row r="583" spans="1:2" x14ac:dyDescent="0.2">
      <c r="A583" t="s">
        <v>3089</v>
      </c>
      <c r="B583">
        <v>5000</v>
      </c>
    </row>
    <row r="584" spans="1:2" x14ac:dyDescent="0.2">
      <c r="A584" t="s">
        <v>3099</v>
      </c>
      <c r="B584">
        <v>0</v>
      </c>
    </row>
    <row r="585" spans="1:2" x14ac:dyDescent="0.2">
      <c r="A585" t="s">
        <v>3100</v>
      </c>
      <c r="B585">
        <v>0</v>
      </c>
    </row>
    <row r="586" spans="1:2" x14ac:dyDescent="0.2">
      <c r="A586" t="s">
        <v>3101</v>
      </c>
      <c r="B586">
        <v>0</v>
      </c>
    </row>
    <row r="587" spans="1:2" x14ac:dyDescent="0.2">
      <c r="A587" t="s">
        <v>3102</v>
      </c>
      <c r="B587">
        <v>0</v>
      </c>
    </row>
    <row r="588" spans="1:2" x14ac:dyDescent="0.2">
      <c r="A588" t="s">
        <v>3103</v>
      </c>
      <c r="B588">
        <v>0</v>
      </c>
    </row>
    <row r="589" spans="1:2" x14ac:dyDescent="0.2">
      <c r="A589" t="s">
        <v>3104</v>
      </c>
      <c r="B589">
        <v>0</v>
      </c>
    </row>
    <row r="590" spans="1:2" x14ac:dyDescent="0.2">
      <c r="A590" t="s">
        <v>3105</v>
      </c>
      <c r="B590">
        <v>0</v>
      </c>
    </row>
    <row r="591" spans="1:2" x14ac:dyDescent="0.2">
      <c r="A591" t="s">
        <v>3106</v>
      </c>
      <c r="B591">
        <v>0</v>
      </c>
    </row>
    <row r="592" spans="1:2" x14ac:dyDescent="0.2">
      <c r="A592" t="s">
        <v>3107</v>
      </c>
      <c r="B592">
        <v>0</v>
      </c>
    </row>
    <row r="593" spans="1:2" x14ac:dyDescent="0.2">
      <c r="A593" t="s">
        <v>3123</v>
      </c>
      <c r="B593">
        <v>1</v>
      </c>
    </row>
    <row r="594" spans="1:2" x14ac:dyDescent="0.2">
      <c r="A594" t="s">
        <v>3124</v>
      </c>
      <c r="B594">
        <v>1</v>
      </c>
    </row>
    <row r="595" spans="1:2" x14ac:dyDescent="0.2">
      <c r="A595" t="s">
        <v>3125</v>
      </c>
      <c r="B595">
        <v>1</v>
      </c>
    </row>
    <row r="596" spans="1:2" x14ac:dyDescent="0.2">
      <c r="A596" t="s">
        <v>3126</v>
      </c>
      <c r="B596">
        <v>1</v>
      </c>
    </row>
    <row r="597" spans="1:2" x14ac:dyDescent="0.2">
      <c r="A597" t="s">
        <v>3127</v>
      </c>
      <c r="B597">
        <v>1</v>
      </c>
    </row>
    <row r="598" spans="1:2" x14ac:dyDescent="0.2">
      <c r="A598" t="s">
        <v>3128</v>
      </c>
      <c r="B598">
        <v>1</v>
      </c>
    </row>
    <row r="599" spans="1:2" x14ac:dyDescent="0.2">
      <c r="A599" t="s">
        <v>3129</v>
      </c>
      <c r="B599">
        <v>1</v>
      </c>
    </row>
    <row r="600" spans="1:2" x14ac:dyDescent="0.2">
      <c r="A600" t="s">
        <v>3130</v>
      </c>
      <c r="B600">
        <v>1</v>
      </c>
    </row>
    <row r="601" spans="1:2" x14ac:dyDescent="0.2">
      <c r="A601" t="s">
        <v>3131</v>
      </c>
      <c r="B601">
        <v>1</v>
      </c>
    </row>
    <row r="602" spans="1:2" x14ac:dyDescent="0.2">
      <c r="A602" t="s">
        <v>3120</v>
      </c>
      <c r="B602">
        <v>1</v>
      </c>
    </row>
    <row r="603" spans="1:2" x14ac:dyDescent="0.2">
      <c r="A603" t="s">
        <v>3121</v>
      </c>
      <c r="B603">
        <v>1</v>
      </c>
    </row>
    <row r="604" spans="1:2" x14ac:dyDescent="0.2">
      <c r="A604" t="s">
        <v>3122</v>
      </c>
      <c r="B604">
        <v>1</v>
      </c>
    </row>
    <row r="605" spans="1:2" x14ac:dyDescent="0.2">
      <c r="A605" t="s">
        <v>3133</v>
      </c>
      <c r="B605" t="b">
        <v>0</v>
      </c>
    </row>
    <row r="606" spans="1:2" x14ac:dyDescent="0.2">
      <c r="A606" t="s">
        <v>3143</v>
      </c>
      <c r="B606">
        <v>1</v>
      </c>
    </row>
    <row r="607" spans="1:2" x14ac:dyDescent="0.2">
      <c r="A607" t="s">
        <v>3144</v>
      </c>
      <c r="B607">
        <v>1</v>
      </c>
    </row>
    <row r="608" spans="1:2" x14ac:dyDescent="0.2">
      <c r="A608" t="s">
        <v>3145</v>
      </c>
      <c r="B608">
        <v>1</v>
      </c>
    </row>
    <row r="609" spans="1:2" x14ac:dyDescent="0.2">
      <c r="A609" t="s">
        <v>3146</v>
      </c>
      <c r="B609">
        <v>1</v>
      </c>
    </row>
    <row r="610" spans="1:2" x14ac:dyDescent="0.2">
      <c r="A610" t="s">
        <v>3147</v>
      </c>
      <c r="B610">
        <v>1</v>
      </c>
    </row>
    <row r="611" spans="1:2" x14ac:dyDescent="0.2">
      <c r="A611" t="s">
        <v>3148</v>
      </c>
      <c r="B611">
        <v>1</v>
      </c>
    </row>
    <row r="612" spans="1:2" x14ac:dyDescent="0.2">
      <c r="A612" t="s">
        <v>3149</v>
      </c>
      <c r="B612">
        <v>1</v>
      </c>
    </row>
    <row r="613" spans="1:2" x14ac:dyDescent="0.2">
      <c r="A613" t="s">
        <v>3150</v>
      </c>
      <c r="B613">
        <v>1</v>
      </c>
    </row>
    <row r="614" spans="1:2" x14ac:dyDescent="0.2">
      <c r="A614" t="s">
        <v>3151</v>
      </c>
      <c r="B614">
        <v>1</v>
      </c>
    </row>
    <row r="615" spans="1:2" x14ac:dyDescent="0.2">
      <c r="A615" t="s">
        <v>3153</v>
      </c>
      <c r="B615">
        <v>5000</v>
      </c>
    </row>
    <row r="616" spans="1:2" x14ac:dyDescent="0.2">
      <c r="A616" t="s">
        <v>3157</v>
      </c>
      <c r="B616">
        <v>5000</v>
      </c>
    </row>
    <row r="617" spans="1:2" x14ac:dyDescent="0.2">
      <c r="A617" t="s">
        <v>3159</v>
      </c>
      <c r="B617">
        <v>5000</v>
      </c>
    </row>
    <row r="618" spans="1:2" x14ac:dyDescent="0.2">
      <c r="A618" t="s">
        <v>3175</v>
      </c>
      <c r="B618">
        <v>0</v>
      </c>
    </row>
    <row r="619" spans="1:2" x14ac:dyDescent="0.2">
      <c r="A619" t="s">
        <v>3176</v>
      </c>
      <c r="B619">
        <v>0</v>
      </c>
    </row>
    <row r="620" spans="1:2" x14ac:dyDescent="0.2">
      <c r="A620" t="s">
        <v>3177</v>
      </c>
      <c r="B620">
        <v>0</v>
      </c>
    </row>
    <row r="621" spans="1:2" x14ac:dyDescent="0.2">
      <c r="A621" t="s">
        <v>3178</v>
      </c>
      <c r="B621">
        <v>0</v>
      </c>
    </row>
    <row r="622" spans="1:2" x14ac:dyDescent="0.2">
      <c r="A622" t="s">
        <v>3179</v>
      </c>
      <c r="B622">
        <v>0</v>
      </c>
    </row>
    <row r="623" spans="1:2" x14ac:dyDescent="0.2">
      <c r="A623" t="s">
        <v>3180</v>
      </c>
      <c r="B623">
        <v>0</v>
      </c>
    </row>
    <row r="624" spans="1:2" x14ac:dyDescent="0.2">
      <c r="A624" t="s">
        <v>3181</v>
      </c>
      <c r="B624">
        <v>0</v>
      </c>
    </row>
    <row r="625" spans="1:2" x14ac:dyDescent="0.2">
      <c r="A625" t="s">
        <v>3182</v>
      </c>
      <c r="B625">
        <v>0</v>
      </c>
    </row>
    <row r="626" spans="1:2" x14ac:dyDescent="0.2">
      <c r="A626" t="s">
        <v>3183</v>
      </c>
      <c r="B626">
        <v>0</v>
      </c>
    </row>
    <row r="627" spans="1:2" x14ac:dyDescent="0.2">
      <c r="A627" t="s">
        <v>3172</v>
      </c>
      <c r="B627">
        <v>0</v>
      </c>
    </row>
    <row r="628" spans="1:2" x14ac:dyDescent="0.2">
      <c r="A628" t="s">
        <v>3173</v>
      </c>
      <c r="B628">
        <v>0</v>
      </c>
    </row>
    <row r="629" spans="1:2" x14ac:dyDescent="0.2">
      <c r="A629" t="s">
        <v>3174</v>
      </c>
      <c r="B629">
        <v>0</v>
      </c>
    </row>
    <row r="630" spans="1:2" x14ac:dyDescent="0.2">
      <c r="A630" t="s">
        <v>3194</v>
      </c>
      <c r="B630" t="s">
        <v>5131</v>
      </c>
    </row>
    <row r="631" spans="1:2" x14ac:dyDescent="0.2">
      <c r="A631" t="s">
        <v>3204</v>
      </c>
      <c r="B631">
        <v>1</v>
      </c>
    </row>
    <row r="632" spans="1:2" x14ac:dyDescent="0.2">
      <c r="A632" t="s">
        <v>3205</v>
      </c>
      <c r="B632">
        <v>1</v>
      </c>
    </row>
    <row r="633" spans="1:2" x14ac:dyDescent="0.2">
      <c r="A633" t="s">
        <v>3206</v>
      </c>
      <c r="B633">
        <v>1</v>
      </c>
    </row>
    <row r="634" spans="1:2" x14ac:dyDescent="0.2">
      <c r="A634" t="s">
        <v>3207</v>
      </c>
      <c r="B634">
        <v>1</v>
      </c>
    </row>
    <row r="635" spans="1:2" x14ac:dyDescent="0.2">
      <c r="A635" t="s">
        <v>3208</v>
      </c>
      <c r="B635">
        <v>1</v>
      </c>
    </row>
    <row r="636" spans="1:2" x14ac:dyDescent="0.2">
      <c r="A636" t="s">
        <v>3209</v>
      </c>
      <c r="B636">
        <v>1</v>
      </c>
    </row>
    <row r="637" spans="1:2" x14ac:dyDescent="0.2">
      <c r="A637" t="s">
        <v>3210</v>
      </c>
      <c r="B637">
        <v>1</v>
      </c>
    </row>
    <row r="638" spans="1:2" x14ac:dyDescent="0.2">
      <c r="A638" t="s">
        <v>3211</v>
      </c>
      <c r="B638">
        <v>1</v>
      </c>
    </row>
    <row r="639" spans="1:2" x14ac:dyDescent="0.2">
      <c r="A639" t="s">
        <v>3212</v>
      </c>
      <c r="B639">
        <v>1</v>
      </c>
    </row>
    <row r="640" spans="1:2" x14ac:dyDescent="0.2">
      <c r="A640" t="s">
        <v>3006</v>
      </c>
      <c r="B640">
        <v>1</v>
      </c>
    </row>
    <row r="641" spans="1:2" x14ac:dyDescent="0.2">
      <c r="A641" t="s">
        <v>3007</v>
      </c>
      <c r="B641">
        <v>0</v>
      </c>
    </row>
    <row r="642" spans="1:2" x14ac:dyDescent="0.2">
      <c r="A642" t="s">
        <v>3012</v>
      </c>
      <c r="B642">
        <v>0</v>
      </c>
    </row>
    <row r="643" spans="1:2" x14ac:dyDescent="0.2">
      <c r="A643" t="s">
        <v>3013</v>
      </c>
      <c r="B643">
        <v>0</v>
      </c>
    </row>
    <row r="644" spans="1:2" x14ac:dyDescent="0.2">
      <c r="A644" t="s">
        <v>3014</v>
      </c>
      <c r="B644">
        <v>0</v>
      </c>
    </row>
    <row r="645" spans="1:2" x14ac:dyDescent="0.2">
      <c r="A645" t="s">
        <v>3015</v>
      </c>
      <c r="B645">
        <v>0</v>
      </c>
    </row>
    <row r="646" spans="1:2" x14ac:dyDescent="0.2">
      <c r="A646" t="s">
        <v>3016</v>
      </c>
      <c r="B646">
        <v>0</v>
      </c>
    </row>
    <row r="647" spans="1:2" x14ac:dyDescent="0.2">
      <c r="A647" t="s">
        <v>3017</v>
      </c>
      <c r="B647">
        <v>0</v>
      </c>
    </row>
    <row r="648" spans="1:2" x14ac:dyDescent="0.2">
      <c r="A648" t="s">
        <v>3018</v>
      </c>
      <c r="B648">
        <v>0</v>
      </c>
    </row>
    <row r="649" spans="1:2" x14ac:dyDescent="0.2">
      <c r="A649" t="s">
        <v>3019</v>
      </c>
      <c r="B649">
        <v>0</v>
      </c>
    </row>
    <row r="650" spans="1:2" x14ac:dyDescent="0.2">
      <c r="A650" t="s">
        <v>3008</v>
      </c>
      <c r="B650" t="b">
        <v>0</v>
      </c>
    </row>
    <row r="651" spans="1:2" x14ac:dyDescent="0.2">
      <c r="A651" t="s">
        <v>3009</v>
      </c>
      <c r="B651" t="b">
        <v>0</v>
      </c>
    </row>
    <row r="652" spans="1:2" x14ac:dyDescent="0.2">
      <c r="A652" t="s">
        <v>3010</v>
      </c>
      <c r="B652" t="b">
        <v>0</v>
      </c>
    </row>
    <row r="653" spans="1:2" x14ac:dyDescent="0.2">
      <c r="A653" t="s">
        <v>3011</v>
      </c>
      <c r="B653" t="b">
        <v>0</v>
      </c>
    </row>
    <row r="654" spans="1:2" x14ac:dyDescent="0.2">
      <c r="A654" t="s">
        <v>3216</v>
      </c>
      <c r="B654">
        <v>1</v>
      </c>
    </row>
    <row r="655" spans="1:2" x14ac:dyDescent="0.2">
      <c r="A655" t="s">
        <v>2191</v>
      </c>
      <c r="B655" t="b">
        <v>0</v>
      </c>
    </row>
    <row r="656" spans="1:2" x14ac:dyDescent="0.2">
      <c r="A656" t="s">
        <v>2192</v>
      </c>
      <c r="B656" t="b">
        <v>0</v>
      </c>
    </row>
    <row r="657" spans="1:2" x14ac:dyDescent="0.2">
      <c r="A657" t="s">
        <v>2193</v>
      </c>
      <c r="B657" t="b">
        <v>0</v>
      </c>
    </row>
    <row r="658" spans="1:2" x14ac:dyDescent="0.2">
      <c r="A658" t="s">
        <v>2194</v>
      </c>
      <c r="B658" t="b">
        <v>0</v>
      </c>
    </row>
    <row r="659" spans="1:2" x14ac:dyDescent="0.2">
      <c r="A659" t="s">
        <v>2195</v>
      </c>
      <c r="B659" t="b">
        <v>0</v>
      </c>
    </row>
    <row r="660" spans="1:2" x14ac:dyDescent="0.2">
      <c r="A660" t="s">
        <v>2196</v>
      </c>
      <c r="B660" t="b">
        <v>0</v>
      </c>
    </row>
    <row r="661" spans="1:2" x14ac:dyDescent="0.2">
      <c r="A661" t="s">
        <v>2197</v>
      </c>
      <c r="B661" t="b">
        <v>0</v>
      </c>
    </row>
    <row r="662" spans="1:2" x14ac:dyDescent="0.2">
      <c r="A662" t="s">
        <v>2198</v>
      </c>
      <c r="B662" t="b">
        <v>0</v>
      </c>
    </row>
    <row r="663" spans="1:2" x14ac:dyDescent="0.2">
      <c r="A663" t="s">
        <v>2199</v>
      </c>
      <c r="B663" t="b">
        <v>0</v>
      </c>
    </row>
    <row r="664" spans="1:2" x14ac:dyDescent="0.2">
      <c r="A664" t="s">
        <v>2200</v>
      </c>
      <c r="B664" t="b">
        <v>0</v>
      </c>
    </row>
    <row r="665" spans="1:2" x14ac:dyDescent="0.2">
      <c r="A665" t="s">
        <v>2201</v>
      </c>
      <c r="B665" t="b">
        <v>0</v>
      </c>
    </row>
    <row r="666" spans="1:2" x14ac:dyDescent="0.2">
      <c r="A666" t="s">
        <v>2202</v>
      </c>
      <c r="B666" t="b">
        <v>0</v>
      </c>
    </row>
    <row r="667" spans="1:2" x14ac:dyDescent="0.2">
      <c r="A667" t="s">
        <v>2203</v>
      </c>
      <c r="B667" t="b">
        <v>0</v>
      </c>
    </row>
    <row r="668" spans="1:2" x14ac:dyDescent="0.2">
      <c r="A668" t="s">
        <v>2204</v>
      </c>
      <c r="B668" t="b">
        <v>0</v>
      </c>
    </row>
    <row r="669" spans="1:2" x14ac:dyDescent="0.2">
      <c r="A669" t="s">
        <v>2205</v>
      </c>
      <c r="B669" t="b">
        <v>0</v>
      </c>
    </row>
    <row r="670" spans="1:2" x14ac:dyDescent="0.2">
      <c r="A670" t="s">
        <v>2206</v>
      </c>
      <c r="B670" t="b">
        <v>0</v>
      </c>
    </row>
    <row r="671" spans="1:2" x14ac:dyDescent="0.2">
      <c r="A671" t="s">
        <v>2207</v>
      </c>
      <c r="B671" t="b">
        <v>0</v>
      </c>
    </row>
    <row r="672" spans="1:2" x14ac:dyDescent="0.2">
      <c r="A672" t="s">
        <v>2208</v>
      </c>
      <c r="B672" t="b">
        <v>0</v>
      </c>
    </row>
    <row r="673" spans="1:2" x14ac:dyDescent="0.2">
      <c r="A673" t="s">
        <v>2209</v>
      </c>
      <c r="B673" t="b">
        <v>0</v>
      </c>
    </row>
    <row r="674" spans="1:2" x14ac:dyDescent="0.2">
      <c r="A674" t="s">
        <v>2210</v>
      </c>
      <c r="B674" t="b">
        <v>0</v>
      </c>
    </row>
    <row r="675" spans="1:2" x14ac:dyDescent="0.2">
      <c r="A675" t="s">
        <v>2211</v>
      </c>
      <c r="B675" t="b">
        <v>0</v>
      </c>
    </row>
    <row r="676" spans="1:2" x14ac:dyDescent="0.2">
      <c r="A676" t="s">
        <v>2212</v>
      </c>
      <c r="B676" t="b">
        <v>0</v>
      </c>
    </row>
    <row r="677" spans="1:2" x14ac:dyDescent="0.2">
      <c r="A677" t="s">
        <v>2213</v>
      </c>
      <c r="B677" t="b">
        <v>0</v>
      </c>
    </row>
    <row r="678" spans="1:2" x14ac:dyDescent="0.2">
      <c r="A678" t="s">
        <v>2214</v>
      </c>
      <c r="B678" t="b">
        <v>0</v>
      </c>
    </row>
    <row r="679" spans="1:2" x14ac:dyDescent="0.2">
      <c r="A679" t="s">
        <v>2215</v>
      </c>
      <c r="B679" t="b">
        <v>0</v>
      </c>
    </row>
    <row r="680" spans="1:2" x14ac:dyDescent="0.2">
      <c r="A680" t="s">
        <v>2216</v>
      </c>
      <c r="B680" t="b">
        <v>0</v>
      </c>
    </row>
    <row r="681" spans="1:2" x14ac:dyDescent="0.2">
      <c r="A681" t="s">
        <v>2217</v>
      </c>
      <c r="B681" t="b">
        <v>0</v>
      </c>
    </row>
    <row r="682" spans="1:2" x14ac:dyDescent="0.2">
      <c r="A682" t="s">
        <v>2218</v>
      </c>
      <c r="B682" t="b">
        <v>0</v>
      </c>
    </row>
    <row r="683" spans="1:2" x14ac:dyDescent="0.2">
      <c r="A683" t="s">
        <v>2219</v>
      </c>
      <c r="B683" t="b">
        <v>0</v>
      </c>
    </row>
    <row r="684" spans="1:2" x14ac:dyDescent="0.2">
      <c r="A684" t="s">
        <v>2220</v>
      </c>
      <c r="B684" t="b">
        <v>0</v>
      </c>
    </row>
    <row r="685" spans="1:2" x14ac:dyDescent="0.2">
      <c r="A685" t="s">
        <v>2221</v>
      </c>
      <c r="B685" t="b">
        <v>0</v>
      </c>
    </row>
    <row r="686" spans="1:2" x14ac:dyDescent="0.2">
      <c r="A686" t="s">
        <v>2222</v>
      </c>
      <c r="B686" t="b">
        <v>0</v>
      </c>
    </row>
    <row r="687" spans="1:2" x14ac:dyDescent="0.2">
      <c r="A687" t="s">
        <v>2223</v>
      </c>
      <c r="B687" t="b">
        <v>0</v>
      </c>
    </row>
    <row r="688" spans="1:2" x14ac:dyDescent="0.2">
      <c r="A688" t="s">
        <v>2224</v>
      </c>
      <c r="B688" t="b">
        <v>0</v>
      </c>
    </row>
    <row r="689" spans="1:2" x14ac:dyDescent="0.2">
      <c r="A689" t="s">
        <v>2225</v>
      </c>
      <c r="B689" t="b">
        <v>0</v>
      </c>
    </row>
    <row r="690" spans="1:2" x14ac:dyDescent="0.2">
      <c r="A690" t="s">
        <v>2226</v>
      </c>
      <c r="B690" t="b">
        <v>0</v>
      </c>
    </row>
    <row r="691" spans="1:2" x14ac:dyDescent="0.2">
      <c r="A691" t="s">
        <v>2227</v>
      </c>
      <c r="B691" t="b">
        <v>0</v>
      </c>
    </row>
    <row r="692" spans="1:2" x14ac:dyDescent="0.2">
      <c r="A692" t="s">
        <v>2228</v>
      </c>
      <c r="B692" t="b">
        <v>0</v>
      </c>
    </row>
    <row r="693" spans="1:2" x14ac:dyDescent="0.2">
      <c r="A693" t="s">
        <v>2229</v>
      </c>
      <c r="B693" t="b">
        <v>0</v>
      </c>
    </row>
    <row r="694" spans="1:2" x14ac:dyDescent="0.2">
      <c r="A694" t="s">
        <v>2230</v>
      </c>
      <c r="B694" t="b">
        <v>0</v>
      </c>
    </row>
    <row r="695" spans="1:2" x14ac:dyDescent="0.2">
      <c r="A695" t="s">
        <v>2231</v>
      </c>
      <c r="B695" t="b">
        <v>0</v>
      </c>
    </row>
    <row r="696" spans="1:2" x14ac:dyDescent="0.2">
      <c r="A696" t="s">
        <v>2232</v>
      </c>
      <c r="B696" t="b">
        <v>0</v>
      </c>
    </row>
    <row r="697" spans="1:2" x14ac:dyDescent="0.2">
      <c r="A697" t="s">
        <v>2233</v>
      </c>
      <c r="B697" t="b">
        <v>0</v>
      </c>
    </row>
    <row r="698" spans="1:2" x14ac:dyDescent="0.2">
      <c r="A698" t="s">
        <v>2234</v>
      </c>
      <c r="B698" t="b">
        <v>0</v>
      </c>
    </row>
    <row r="699" spans="1:2" x14ac:dyDescent="0.2">
      <c r="A699" t="s">
        <v>2235</v>
      </c>
      <c r="B699" t="b">
        <v>0</v>
      </c>
    </row>
    <row r="700" spans="1:2" x14ac:dyDescent="0.2">
      <c r="A700" t="s">
        <v>2236</v>
      </c>
      <c r="B700" t="b">
        <v>0</v>
      </c>
    </row>
    <row r="701" spans="1:2" x14ac:dyDescent="0.2">
      <c r="A701" t="s">
        <v>2237</v>
      </c>
      <c r="B701" t="b">
        <v>0</v>
      </c>
    </row>
    <row r="702" spans="1:2" x14ac:dyDescent="0.2">
      <c r="A702" t="s">
        <v>2238</v>
      </c>
      <c r="B702" t="b">
        <v>0</v>
      </c>
    </row>
    <row r="703" spans="1:2" x14ac:dyDescent="0.2">
      <c r="A703" t="s">
        <v>2239</v>
      </c>
      <c r="B703" t="b">
        <v>0</v>
      </c>
    </row>
    <row r="704" spans="1:2" x14ac:dyDescent="0.2">
      <c r="A704" t="s">
        <v>2240</v>
      </c>
      <c r="B704" t="b">
        <v>0</v>
      </c>
    </row>
    <row r="705" spans="1:2" x14ac:dyDescent="0.2">
      <c r="A705" t="s">
        <v>2241</v>
      </c>
      <c r="B705" t="b">
        <v>0</v>
      </c>
    </row>
    <row r="706" spans="1:2" x14ac:dyDescent="0.2">
      <c r="A706" t="s">
        <v>2242</v>
      </c>
      <c r="B706" t="b">
        <v>0</v>
      </c>
    </row>
    <row r="707" spans="1:2" x14ac:dyDescent="0.2">
      <c r="A707" t="s">
        <v>2243</v>
      </c>
      <c r="B707" t="b">
        <v>0</v>
      </c>
    </row>
    <row r="708" spans="1:2" x14ac:dyDescent="0.2">
      <c r="A708" t="s">
        <v>2244</v>
      </c>
      <c r="B708" t="b">
        <v>0</v>
      </c>
    </row>
    <row r="709" spans="1:2" x14ac:dyDescent="0.2">
      <c r="A709" t="s">
        <v>2245</v>
      </c>
      <c r="B709" t="b">
        <v>0</v>
      </c>
    </row>
    <row r="710" spans="1:2" x14ac:dyDescent="0.2">
      <c r="A710" t="s">
        <v>2246</v>
      </c>
      <c r="B710" t="b">
        <v>0</v>
      </c>
    </row>
    <row r="711" spans="1:2" x14ac:dyDescent="0.2">
      <c r="A711" t="s">
        <v>2247</v>
      </c>
      <c r="B711" t="b">
        <v>0</v>
      </c>
    </row>
    <row r="712" spans="1:2" x14ac:dyDescent="0.2">
      <c r="A712" t="s">
        <v>2248</v>
      </c>
      <c r="B712" t="b">
        <v>0</v>
      </c>
    </row>
    <row r="713" spans="1:2" x14ac:dyDescent="0.2">
      <c r="A713" t="s">
        <v>2249</v>
      </c>
      <c r="B713" t="b">
        <v>0</v>
      </c>
    </row>
    <row r="714" spans="1:2" x14ac:dyDescent="0.2">
      <c r="A714" t="s">
        <v>2250</v>
      </c>
      <c r="B714" t="b">
        <v>0</v>
      </c>
    </row>
    <row r="715" spans="1:2" x14ac:dyDescent="0.2">
      <c r="A715" t="s">
        <v>2251</v>
      </c>
      <c r="B715" t="b">
        <v>0</v>
      </c>
    </row>
    <row r="716" spans="1:2" x14ac:dyDescent="0.2">
      <c r="A716" t="s">
        <v>2252</v>
      </c>
      <c r="B716" t="b">
        <v>0</v>
      </c>
    </row>
    <row r="717" spans="1:2" x14ac:dyDescent="0.2">
      <c r="A717" t="s">
        <v>2253</v>
      </c>
      <c r="B717" t="b">
        <v>0</v>
      </c>
    </row>
    <row r="718" spans="1:2" x14ac:dyDescent="0.2">
      <c r="A718" t="s">
        <v>2254</v>
      </c>
      <c r="B718" t="b">
        <v>0</v>
      </c>
    </row>
    <row r="719" spans="1:2" x14ac:dyDescent="0.2">
      <c r="A719" t="s">
        <v>2255</v>
      </c>
      <c r="B719" t="b">
        <v>0</v>
      </c>
    </row>
    <row r="720" spans="1:2" x14ac:dyDescent="0.2">
      <c r="A720" t="s">
        <v>2256</v>
      </c>
      <c r="B720" t="b">
        <v>0</v>
      </c>
    </row>
    <row r="721" spans="1:2" x14ac:dyDescent="0.2">
      <c r="A721" t="s">
        <v>2257</v>
      </c>
      <c r="B721" t="b">
        <v>0</v>
      </c>
    </row>
    <row r="722" spans="1:2" x14ac:dyDescent="0.2">
      <c r="A722" t="s">
        <v>2258</v>
      </c>
      <c r="B722" t="b">
        <v>0</v>
      </c>
    </row>
    <row r="723" spans="1:2" x14ac:dyDescent="0.2">
      <c r="A723" t="s">
        <v>2259</v>
      </c>
      <c r="B723" t="b">
        <v>0</v>
      </c>
    </row>
    <row r="724" spans="1:2" x14ac:dyDescent="0.2">
      <c r="A724" t="s">
        <v>2260</v>
      </c>
      <c r="B724" t="b">
        <v>0</v>
      </c>
    </row>
    <row r="725" spans="1:2" x14ac:dyDescent="0.2">
      <c r="A725" t="s">
        <v>2261</v>
      </c>
      <c r="B725" t="b">
        <v>0</v>
      </c>
    </row>
    <row r="726" spans="1:2" x14ac:dyDescent="0.2">
      <c r="A726" t="s">
        <v>2262</v>
      </c>
      <c r="B726" t="b">
        <v>0</v>
      </c>
    </row>
    <row r="727" spans="1:2" x14ac:dyDescent="0.2">
      <c r="A727" t="s">
        <v>2263</v>
      </c>
      <c r="B727" t="b">
        <v>0</v>
      </c>
    </row>
    <row r="728" spans="1:2" x14ac:dyDescent="0.2">
      <c r="A728" t="s">
        <v>2264</v>
      </c>
      <c r="B728" t="b">
        <v>0</v>
      </c>
    </row>
    <row r="729" spans="1:2" x14ac:dyDescent="0.2">
      <c r="A729" t="s">
        <v>2265</v>
      </c>
      <c r="B729" t="b">
        <v>0</v>
      </c>
    </row>
    <row r="730" spans="1:2" x14ac:dyDescent="0.2">
      <c r="A730" t="s">
        <v>2266</v>
      </c>
      <c r="B730" t="b">
        <v>0</v>
      </c>
    </row>
    <row r="731" spans="1:2" x14ac:dyDescent="0.2">
      <c r="A731" t="s">
        <v>2267</v>
      </c>
      <c r="B731" t="b">
        <v>0</v>
      </c>
    </row>
    <row r="732" spans="1:2" x14ac:dyDescent="0.2">
      <c r="A732" t="s">
        <v>2268</v>
      </c>
      <c r="B732" t="b">
        <v>0</v>
      </c>
    </row>
    <row r="733" spans="1:2" x14ac:dyDescent="0.2">
      <c r="A733" t="s">
        <v>2269</v>
      </c>
      <c r="B733" t="b">
        <v>0</v>
      </c>
    </row>
    <row r="734" spans="1:2" x14ac:dyDescent="0.2">
      <c r="A734" t="s">
        <v>2270</v>
      </c>
      <c r="B734" t="b">
        <v>0</v>
      </c>
    </row>
    <row r="735" spans="1:2" x14ac:dyDescent="0.2">
      <c r="A735" t="s">
        <v>2271</v>
      </c>
      <c r="B735" t="b">
        <v>0</v>
      </c>
    </row>
    <row r="736" spans="1:2" x14ac:dyDescent="0.2">
      <c r="A736" t="s">
        <v>2272</v>
      </c>
      <c r="B736" t="b">
        <v>0</v>
      </c>
    </row>
    <row r="737" spans="1:2" x14ac:dyDescent="0.2">
      <c r="A737" t="s">
        <v>2273</v>
      </c>
      <c r="B737" t="b">
        <v>0</v>
      </c>
    </row>
    <row r="738" spans="1:2" x14ac:dyDescent="0.2">
      <c r="A738" t="s">
        <v>2274</v>
      </c>
      <c r="B738" t="b">
        <v>0</v>
      </c>
    </row>
    <row r="739" spans="1:2" x14ac:dyDescent="0.2">
      <c r="A739" t="s">
        <v>2275</v>
      </c>
      <c r="B739" t="b">
        <v>0</v>
      </c>
    </row>
    <row r="740" spans="1:2" x14ac:dyDescent="0.2">
      <c r="A740" t="s">
        <v>2276</v>
      </c>
      <c r="B740" t="b">
        <v>0</v>
      </c>
    </row>
    <row r="741" spans="1:2" x14ac:dyDescent="0.2">
      <c r="A741" t="s">
        <v>2190</v>
      </c>
      <c r="B741" t="b">
        <v>0</v>
      </c>
    </row>
    <row r="742" spans="1:2" x14ac:dyDescent="0.2">
      <c r="A742" t="s">
        <v>2277</v>
      </c>
      <c r="B742" t="b">
        <v>0</v>
      </c>
    </row>
    <row r="743" spans="1:2" x14ac:dyDescent="0.2">
      <c r="A743" t="s">
        <v>2278</v>
      </c>
      <c r="B743" t="b">
        <v>0</v>
      </c>
    </row>
    <row r="744" spans="1:2" x14ac:dyDescent="0.2">
      <c r="A744" t="s">
        <v>2279</v>
      </c>
      <c r="B744">
        <v>0</v>
      </c>
    </row>
    <row r="745" spans="1:2" x14ac:dyDescent="0.2">
      <c r="A745" t="s">
        <v>2280</v>
      </c>
      <c r="B745">
        <v>1</v>
      </c>
    </row>
    <row r="746" spans="1:2" x14ac:dyDescent="0.2">
      <c r="A746" t="s">
        <v>2281</v>
      </c>
      <c r="B746">
        <v>0</v>
      </c>
    </row>
    <row r="747" spans="1:2" x14ac:dyDescent="0.2">
      <c r="A747" t="s">
        <v>2282</v>
      </c>
      <c r="B747">
        <v>1</v>
      </c>
    </row>
    <row r="748" spans="1:2" x14ac:dyDescent="0.2">
      <c r="A748" t="s">
        <v>2283</v>
      </c>
      <c r="B748">
        <v>0</v>
      </c>
    </row>
    <row r="749" spans="1:2" x14ac:dyDescent="0.2">
      <c r="A749" t="s">
        <v>2284</v>
      </c>
      <c r="B749">
        <v>1</v>
      </c>
    </row>
    <row r="750" spans="1:2" x14ac:dyDescent="0.2">
      <c r="A750" t="s">
        <v>2285</v>
      </c>
      <c r="B750">
        <v>0</v>
      </c>
    </row>
    <row r="751" spans="1:2" x14ac:dyDescent="0.2">
      <c r="A751" t="s">
        <v>2286</v>
      </c>
      <c r="B751">
        <v>1</v>
      </c>
    </row>
    <row r="752" spans="1:2" x14ac:dyDescent="0.2">
      <c r="A752" t="s">
        <v>2287</v>
      </c>
      <c r="B752">
        <v>0</v>
      </c>
    </row>
    <row r="753" spans="1:2" x14ac:dyDescent="0.2">
      <c r="A753" t="s">
        <v>2288</v>
      </c>
      <c r="B753">
        <v>0</v>
      </c>
    </row>
    <row r="754" spans="1:2" x14ac:dyDescent="0.2">
      <c r="A754" t="s">
        <v>2289</v>
      </c>
      <c r="B754">
        <v>0</v>
      </c>
    </row>
    <row r="755" spans="1:2" x14ac:dyDescent="0.2">
      <c r="A755" t="s">
        <v>2290</v>
      </c>
      <c r="B755">
        <v>0</v>
      </c>
    </row>
    <row r="756" spans="1:2" x14ac:dyDescent="0.2">
      <c r="A756" t="s">
        <v>2291</v>
      </c>
      <c r="B756">
        <v>1</v>
      </c>
    </row>
    <row r="757" spans="1:2" x14ac:dyDescent="0.2">
      <c r="A757" t="s">
        <v>2292</v>
      </c>
      <c r="B757">
        <v>1</v>
      </c>
    </row>
    <row r="758" spans="1:2" x14ac:dyDescent="0.2">
      <c r="A758" t="s">
        <v>2293</v>
      </c>
      <c r="B758">
        <v>1</v>
      </c>
    </row>
    <row r="759" spans="1:2" x14ac:dyDescent="0.2">
      <c r="A759" t="s">
        <v>2294</v>
      </c>
      <c r="B759">
        <v>1</v>
      </c>
    </row>
    <row r="760" spans="1:2" x14ac:dyDescent="0.2">
      <c r="A760" t="s">
        <v>2295</v>
      </c>
      <c r="B760">
        <v>1</v>
      </c>
    </row>
    <row r="761" spans="1:2" x14ac:dyDescent="0.2">
      <c r="A761" t="s">
        <v>2296</v>
      </c>
      <c r="B761">
        <v>1</v>
      </c>
    </row>
    <row r="762" spans="1:2" x14ac:dyDescent="0.2">
      <c r="A762" t="s">
        <v>2297</v>
      </c>
      <c r="B762">
        <v>1</v>
      </c>
    </row>
    <row r="763" spans="1:2" x14ac:dyDescent="0.2">
      <c r="A763" t="s">
        <v>2298</v>
      </c>
      <c r="B763">
        <v>1</v>
      </c>
    </row>
    <row r="764" spans="1:2" x14ac:dyDescent="0.2">
      <c r="A764" t="s">
        <v>2299</v>
      </c>
      <c r="B764">
        <v>1</v>
      </c>
    </row>
    <row r="765" spans="1:2" x14ac:dyDescent="0.2">
      <c r="A765" t="s">
        <v>2300</v>
      </c>
      <c r="B765">
        <v>1</v>
      </c>
    </row>
    <row r="766" spans="1:2" x14ac:dyDescent="0.2">
      <c r="A766" t="s">
        <v>2301</v>
      </c>
      <c r="B766">
        <v>0</v>
      </c>
    </row>
    <row r="767" spans="1:2" x14ac:dyDescent="0.2">
      <c r="A767" t="s">
        <v>2302</v>
      </c>
      <c r="B767">
        <v>50</v>
      </c>
    </row>
    <row r="768" spans="1:2" x14ac:dyDescent="0.2">
      <c r="A768" t="s">
        <v>2303</v>
      </c>
      <c r="B768" t="b">
        <v>0</v>
      </c>
    </row>
    <row r="769" spans="1:2" x14ac:dyDescent="0.2">
      <c r="A769" t="s">
        <v>2178</v>
      </c>
      <c r="B769">
        <v>50</v>
      </c>
    </row>
    <row r="770" spans="1:2" x14ac:dyDescent="0.2">
      <c r="A770" t="s">
        <v>3020</v>
      </c>
      <c r="B770">
        <v>0</v>
      </c>
    </row>
    <row r="771" spans="1:2" x14ac:dyDescent="0.2">
      <c r="A771" t="s">
        <v>3022</v>
      </c>
      <c r="B771" t="s">
        <v>5131</v>
      </c>
    </row>
    <row r="772" spans="1:2" x14ac:dyDescent="0.2">
      <c r="A772" t="s">
        <v>3024</v>
      </c>
      <c r="B772">
        <v>1</v>
      </c>
    </row>
    <row r="773" spans="1:2" x14ac:dyDescent="0.2">
      <c r="A773" t="s">
        <v>3027</v>
      </c>
      <c r="B773">
        <v>2</v>
      </c>
    </row>
    <row r="774" spans="1:2" x14ac:dyDescent="0.2">
      <c r="A774" t="s">
        <v>3029</v>
      </c>
      <c r="B774">
        <v>0</v>
      </c>
    </row>
    <row r="775" spans="1:2" x14ac:dyDescent="0.2">
      <c r="A775" t="s">
        <v>3030</v>
      </c>
      <c r="B775">
        <v>0</v>
      </c>
    </row>
    <row r="776" spans="1:2" x14ac:dyDescent="0.2">
      <c r="A776" t="s">
        <v>3033</v>
      </c>
      <c r="B776">
        <v>2</v>
      </c>
    </row>
    <row r="777" spans="1:2" x14ac:dyDescent="0.2">
      <c r="A777" t="s">
        <v>3035</v>
      </c>
      <c r="B777">
        <v>0</v>
      </c>
    </row>
    <row r="778" spans="1:2" x14ac:dyDescent="0.2">
      <c r="A778" t="s">
        <v>3036</v>
      </c>
      <c r="B778">
        <v>0</v>
      </c>
    </row>
    <row r="779" spans="1:2" x14ac:dyDescent="0.2">
      <c r="A779" t="s">
        <v>3039</v>
      </c>
      <c r="B779">
        <v>5000</v>
      </c>
    </row>
    <row r="780" spans="1:2" x14ac:dyDescent="0.2">
      <c r="A780" t="s">
        <v>3041</v>
      </c>
      <c r="B780">
        <v>5000</v>
      </c>
    </row>
    <row r="781" spans="1:2" x14ac:dyDescent="0.2">
      <c r="A781" t="s">
        <v>3154</v>
      </c>
      <c r="B781">
        <v>1</v>
      </c>
    </row>
    <row r="782" spans="1:2" x14ac:dyDescent="0.2">
      <c r="A782" t="s">
        <v>3043</v>
      </c>
      <c r="B782">
        <v>5000</v>
      </c>
    </row>
    <row r="783" spans="1:2" x14ac:dyDescent="0.2">
      <c r="A783" t="s">
        <v>3045</v>
      </c>
      <c r="B783">
        <v>1</v>
      </c>
    </row>
    <row r="784" spans="1:2" x14ac:dyDescent="0.2">
      <c r="A784" t="s">
        <v>3046</v>
      </c>
      <c r="B784">
        <v>1</v>
      </c>
    </row>
    <row r="785" spans="1:2" x14ac:dyDescent="0.2">
      <c r="A785" t="s">
        <v>3047</v>
      </c>
      <c r="B785">
        <v>1</v>
      </c>
    </row>
    <row r="786" spans="1:2" x14ac:dyDescent="0.2">
      <c r="A786" t="s">
        <v>3048</v>
      </c>
      <c r="B786">
        <v>1</v>
      </c>
    </row>
    <row r="787" spans="1:2" x14ac:dyDescent="0.2">
      <c r="A787" t="s">
        <v>3049</v>
      </c>
      <c r="B787">
        <v>1</v>
      </c>
    </row>
    <row r="788" spans="1:2" x14ac:dyDescent="0.2">
      <c r="A788" t="s">
        <v>3050</v>
      </c>
      <c r="B788">
        <v>1</v>
      </c>
    </row>
    <row r="789" spans="1:2" x14ac:dyDescent="0.2">
      <c r="A789" t="s">
        <v>3051</v>
      </c>
      <c r="B789">
        <v>1</v>
      </c>
    </row>
    <row r="790" spans="1:2" x14ac:dyDescent="0.2">
      <c r="A790" t="s">
        <v>3052</v>
      </c>
      <c r="B790">
        <v>1</v>
      </c>
    </row>
    <row r="791" spans="1:2" x14ac:dyDescent="0.2">
      <c r="A791" t="s">
        <v>3053</v>
      </c>
      <c r="B791">
        <v>1</v>
      </c>
    </row>
    <row r="792" spans="1:2" x14ac:dyDescent="0.2">
      <c r="A792" t="s">
        <v>3063</v>
      </c>
      <c r="B792">
        <v>0</v>
      </c>
    </row>
    <row r="793" spans="1:2" x14ac:dyDescent="0.2">
      <c r="A793" t="s">
        <v>3064</v>
      </c>
      <c r="B793">
        <v>0</v>
      </c>
    </row>
    <row r="794" spans="1:2" x14ac:dyDescent="0.2">
      <c r="A794" t="s">
        <v>3065</v>
      </c>
      <c r="B794">
        <v>0</v>
      </c>
    </row>
    <row r="795" spans="1:2" x14ac:dyDescent="0.2">
      <c r="A795" t="s">
        <v>3066</v>
      </c>
      <c r="B795">
        <v>0</v>
      </c>
    </row>
    <row r="796" spans="1:2" x14ac:dyDescent="0.2">
      <c r="A796" t="s">
        <v>3067</v>
      </c>
      <c r="B796">
        <v>0</v>
      </c>
    </row>
    <row r="797" spans="1:2" x14ac:dyDescent="0.2">
      <c r="A797" t="s">
        <v>3068</v>
      </c>
      <c r="B797">
        <v>0</v>
      </c>
    </row>
    <row r="798" spans="1:2" x14ac:dyDescent="0.2">
      <c r="A798" t="s">
        <v>3069</v>
      </c>
      <c r="B798">
        <v>0</v>
      </c>
    </row>
    <row r="799" spans="1:2" x14ac:dyDescent="0.2">
      <c r="A799" t="s">
        <v>3070</v>
      </c>
      <c r="B799">
        <v>0</v>
      </c>
    </row>
    <row r="800" spans="1:2" x14ac:dyDescent="0.2">
      <c r="A800" t="s">
        <v>3071</v>
      </c>
      <c r="B800">
        <v>0</v>
      </c>
    </row>
    <row r="801" spans="1:2" x14ac:dyDescent="0.2">
      <c r="A801" t="s">
        <v>3081</v>
      </c>
      <c r="B801" t="s">
        <v>5131</v>
      </c>
    </row>
    <row r="802" spans="1:2" x14ac:dyDescent="0.2">
      <c r="A802" t="s">
        <v>3082</v>
      </c>
      <c r="B802" t="s">
        <v>5131</v>
      </c>
    </row>
    <row r="803" spans="1:2" x14ac:dyDescent="0.2">
      <c r="A803" t="s">
        <v>3085</v>
      </c>
      <c r="B803">
        <v>5000</v>
      </c>
    </row>
    <row r="804" spans="1:2" x14ac:dyDescent="0.2">
      <c r="A804" t="s">
        <v>3088</v>
      </c>
      <c r="B804">
        <v>5000</v>
      </c>
    </row>
    <row r="805" spans="1:2" x14ac:dyDescent="0.2">
      <c r="A805" t="s">
        <v>3090</v>
      </c>
      <c r="B805">
        <v>0</v>
      </c>
    </row>
    <row r="806" spans="1:2" x14ac:dyDescent="0.2">
      <c r="A806" t="s">
        <v>3091</v>
      </c>
      <c r="B806">
        <v>0</v>
      </c>
    </row>
    <row r="807" spans="1:2" x14ac:dyDescent="0.2">
      <c r="A807" t="s">
        <v>3092</v>
      </c>
      <c r="B807">
        <v>0</v>
      </c>
    </row>
    <row r="808" spans="1:2" x14ac:dyDescent="0.2">
      <c r="A808" t="s">
        <v>3093</v>
      </c>
      <c r="B808">
        <v>0</v>
      </c>
    </row>
    <row r="809" spans="1:2" x14ac:dyDescent="0.2">
      <c r="A809" t="s">
        <v>3094</v>
      </c>
      <c r="B809">
        <v>0</v>
      </c>
    </row>
    <row r="810" spans="1:2" x14ac:dyDescent="0.2">
      <c r="A810" t="s">
        <v>3095</v>
      </c>
      <c r="B810">
        <v>0</v>
      </c>
    </row>
    <row r="811" spans="1:2" x14ac:dyDescent="0.2">
      <c r="A811" t="s">
        <v>3096</v>
      </c>
      <c r="B811">
        <v>0</v>
      </c>
    </row>
    <row r="812" spans="1:2" x14ac:dyDescent="0.2">
      <c r="A812" t="s">
        <v>3097</v>
      </c>
      <c r="B812">
        <v>0</v>
      </c>
    </row>
    <row r="813" spans="1:2" x14ac:dyDescent="0.2">
      <c r="A813" t="s">
        <v>3098</v>
      </c>
      <c r="B813">
        <v>0</v>
      </c>
    </row>
    <row r="814" spans="1:2" x14ac:dyDescent="0.2">
      <c r="A814" t="s">
        <v>3111</v>
      </c>
      <c r="B814">
        <v>1</v>
      </c>
    </row>
    <row r="815" spans="1:2" x14ac:dyDescent="0.2">
      <c r="A815" t="s">
        <v>3112</v>
      </c>
      <c r="B815">
        <v>1</v>
      </c>
    </row>
    <row r="816" spans="1:2" x14ac:dyDescent="0.2">
      <c r="A816" t="s">
        <v>3113</v>
      </c>
      <c r="B816">
        <v>1</v>
      </c>
    </row>
    <row r="817" spans="1:2" x14ac:dyDescent="0.2">
      <c r="A817" t="s">
        <v>3114</v>
      </c>
      <c r="B817">
        <v>1</v>
      </c>
    </row>
    <row r="818" spans="1:2" x14ac:dyDescent="0.2">
      <c r="A818" t="s">
        <v>3115</v>
      </c>
      <c r="B818">
        <v>1</v>
      </c>
    </row>
    <row r="819" spans="1:2" x14ac:dyDescent="0.2">
      <c r="A819" t="s">
        <v>3116</v>
      </c>
      <c r="B819">
        <v>1</v>
      </c>
    </row>
    <row r="820" spans="1:2" x14ac:dyDescent="0.2">
      <c r="A820" t="s">
        <v>3117</v>
      </c>
      <c r="B820">
        <v>1</v>
      </c>
    </row>
    <row r="821" spans="1:2" x14ac:dyDescent="0.2">
      <c r="A821" t="s">
        <v>3118</v>
      </c>
      <c r="B821">
        <v>1</v>
      </c>
    </row>
    <row r="822" spans="1:2" x14ac:dyDescent="0.2">
      <c r="A822" t="s">
        <v>3119</v>
      </c>
      <c r="B822">
        <v>1</v>
      </c>
    </row>
    <row r="823" spans="1:2" x14ac:dyDescent="0.2">
      <c r="A823" t="s">
        <v>3108</v>
      </c>
      <c r="B823">
        <v>0</v>
      </c>
    </row>
    <row r="824" spans="1:2" x14ac:dyDescent="0.2">
      <c r="A824" t="s">
        <v>3109</v>
      </c>
      <c r="B824">
        <v>0</v>
      </c>
    </row>
    <row r="825" spans="1:2" x14ac:dyDescent="0.2">
      <c r="A825" t="s">
        <v>3110</v>
      </c>
      <c r="B825">
        <v>0</v>
      </c>
    </row>
    <row r="826" spans="1:2" x14ac:dyDescent="0.2">
      <c r="A826" t="s">
        <v>3132</v>
      </c>
      <c r="B826" t="b">
        <v>0</v>
      </c>
    </row>
    <row r="827" spans="1:2" x14ac:dyDescent="0.2">
      <c r="A827" t="s">
        <v>3134</v>
      </c>
      <c r="B827">
        <v>1</v>
      </c>
    </row>
    <row r="828" spans="1:2" x14ac:dyDescent="0.2">
      <c r="A828" t="s">
        <v>3135</v>
      </c>
      <c r="B828">
        <v>1</v>
      </c>
    </row>
    <row r="829" spans="1:2" x14ac:dyDescent="0.2">
      <c r="A829" t="s">
        <v>3136</v>
      </c>
      <c r="B829">
        <v>1</v>
      </c>
    </row>
    <row r="830" spans="1:2" x14ac:dyDescent="0.2">
      <c r="A830" t="s">
        <v>3137</v>
      </c>
      <c r="B830">
        <v>1</v>
      </c>
    </row>
    <row r="831" spans="1:2" x14ac:dyDescent="0.2">
      <c r="A831" t="s">
        <v>3138</v>
      </c>
      <c r="B831">
        <v>1</v>
      </c>
    </row>
    <row r="832" spans="1:2" x14ac:dyDescent="0.2">
      <c r="A832" t="s">
        <v>3139</v>
      </c>
      <c r="B832">
        <v>1</v>
      </c>
    </row>
    <row r="833" spans="1:2" x14ac:dyDescent="0.2">
      <c r="A833" t="s">
        <v>3140</v>
      </c>
      <c r="B833">
        <v>1</v>
      </c>
    </row>
    <row r="834" spans="1:2" x14ac:dyDescent="0.2">
      <c r="A834" t="s">
        <v>3141</v>
      </c>
      <c r="B834">
        <v>1</v>
      </c>
    </row>
    <row r="835" spans="1:2" x14ac:dyDescent="0.2">
      <c r="A835" t="s">
        <v>3142</v>
      </c>
      <c r="B835">
        <v>1</v>
      </c>
    </row>
    <row r="836" spans="1:2" x14ac:dyDescent="0.2">
      <c r="A836" t="s">
        <v>3152</v>
      </c>
      <c r="B836">
        <v>5000</v>
      </c>
    </row>
    <row r="837" spans="1:2" x14ac:dyDescent="0.2">
      <c r="A837" t="s">
        <v>3156</v>
      </c>
      <c r="B837">
        <v>5000</v>
      </c>
    </row>
    <row r="838" spans="1:2" x14ac:dyDescent="0.2">
      <c r="A838" t="s">
        <v>3158</v>
      </c>
      <c r="B838">
        <v>5000</v>
      </c>
    </row>
    <row r="839" spans="1:2" x14ac:dyDescent="0.2">
      <c r="A839" t="s">
        <v>3163</v>
      </c>
      <c r="B839">
        <v>0</v>
      </c>
    </row>
    <row r="840" spans="1:2" x14ac:dyDescent="0.2">
      <c r="A840" t="s">
        <v>3164</v>
      </c>
      <c r="B840">
        <v>0</v>
      </c>
    </row>
    <row r="841" spans="1:2" x14ac:dyDescent="0.2">
      <c r="A841" t="s">
        <v>3165</v>
      </c>
      <c r="B841">
        <v>0</v>
      </c>
    </row>
    <row r="842" spans="1:2" x14ac:dyDescent="0.2">
      <c r="A842" t="s">
        <v>3166</v>
      </c>
      <c r="B842">
        <v>0</v>
      </c>
    </row>
    <row r="843" spans="1:2" x14ac:dyDescent="0.2">
      <c r="A843" t="s">
        <v>3167</v>
      </c>
      <c r="B843">
        <v>0</v>
      </c>
    </row>
    <row r="844" spans="1:2" x14ac:dyDescent="0.2">
      <c r="A844" t="s">
        <v>3168</v>
      </c>
      <c r="B844">
        <v>0</v>
      </c>
    </row>
    <row r="845" spans="1:2" x14ac:dyDescent="0.2">
      <c r="A845" t="s">
        <v>3169</v>
      </c>
      <c r="B845">
        <v>0</v>
      </c>
    </row>
    <row r="846" spans="1:2" x14ac:dyDescent="0.2">
      <c r="A846" t="s">
        <v>3170</v>
      </c>
      <c r="B846">
        <v>0</v>
      </c>
    </row>
    <row r="847" spans="1:2" x14ac:dyDescent="0.2">
      <c r="A847" t="s">
        <v>3171</v>
      </c>
      <c r="B847">
        <v>0</v>
      </c>
    </row>
    <row r="848" spans="1:2" x14ac:dyDescent="0.2">
      <c r="A848" t="s">
        <v>3160</v>
      </c>
      <c r="B848">
        <v>0</v>
      </c>
    </row>
    <row r="849" spans="1:2" x14ac:dyDescent="0.2">
      <c r="A849" t="s">
        <v>3161</v>
      </c>
      <c r="B849">
        <v>0</v>
      </c>
    </row>
    <row r="850" spans="1:2" x14ac:dyDescent="0.2">
      <c r="A850" t="s">
        <v>3162</v>
      </c>
      <c r="B850">
        <v>0</v>
      </c>
    </row>
    <row r="851" spans="1:2" x14ac:dyDescent="0.2">
      <c r="A851" t="s">
        <v>3184</v>
      </c>
      <c r="B851">
        <v>0</v>
      </c>
    </row>
    <row r="852" spans="1:2" x14ac:dyDescent="0.2">
      <c r="A852" t="s">
        <v>3185</v>
      </c>
      <c r="B852">
        <v>0</v>
      </c>
    </row>
    <row r="853" spans="1:2" x14ac:dyDescent="0.2">
      <c r="A853" t="s">
        <v>3186</v>
      </c>
      <c r="B853">
        <v>0</v>
      </c>
    </row>
    <row r="854" spans="1:2" x14ac:dyDescent="0.2">
      <c r="A854" t="s">
        <v>3187</v>
      </c>
      <c r="B854">
        <v>0</v>
      </c>
    </row>
    <row r="855" spans="1:2" x14ac:dyDescent="0.2">
      <c r="A855" t="s">
        <v>3188</v>
      </c>
      <c r="B855">
        <v>0</v>
      </c>
    </row>
    <row r="856" spans="1:2" x14ac:dyDescent="0.2">
      <c r="A856" t="s">
        <v>3189</v>
      </c>
      <c r="B856">
        <v>0</v>
      </c>
    </row>
    <row r="857" spans="1:2" x14ac:dyDescent="0.2">
      <c r="A857" t="s">
        <v>3190</v>
      </c>
      <c r="B857">
        <v>0</v>
      </c>
    </row>
    <row r="858" spans="1:2" x14ac:dyDescent="0.2">
      <c r="A858" t="s">
        <v>3191</v>
      </c>
      <c r="B858">
        <v>0</v>
      </c>
    </row>
    <row r="859" spans="1:2" x14ac:dyDescent="0.2">
      <c r="A859" t="s">
        <v>3192</v>
      </c>
      <c r="B859">
        <v>0</v>
      </c>
    </row>
    <row r="860" spans="1:2" x14ac:dyDescent="0.2">
      <c r="A860" t="s">
        <v>3193</v>
      </c>
      <c r="B860" t="s">
        <v>675</v>
      </c>
    </row>
    <row r="861" spans="1:2" x14ac:dyDescent="0.2">
      <c r="A861" t="s">
        <v>3195</v>
      </c>
      <c r="B861">
        <v>1</v>
      </c>
    </row>
    <row r="862" spans="1:2" x14ac:dyDescent="0.2">
      <c r="A862" t="s">
        <v>3196</v>
      </c>
      <c r="B862">
        <v>1</v>
      </c>
    </row>
    <row r="863" spans="1:2" x14ac:dyDescent="0.2">
      <c r="A863" t="s">
        <v>3197</v>
      </c>
      <c r="B863">
        <v>1</v>
      </c>
    </row>
    <row r="864" spans="1:2" x14ac:dyDescent="0.2">
      <c r="A864" t="s">
        <v>3198</v>
      </c>
      <c r="B864">
        <v>1</v>
      </c>
    </row>
    <row r="865" spans="1:2" x14ac:dyDescent="0.2">
      <c r="A865" t="s">
        <v>3199</v>
      </c>
      <c r="B865">
        <v>1</v>
      </c>
    </row>
    <row r="866" spans="1:2" x14ac:dyDescent="0.2">
      <c r="A866" t="s">
        <v>3200</v>
      </c>
      <c r="B866">
        <v>1</v>
      </c>
    </row>
    <row r="867" spans="1:2" x14ac:dyDescent="0.2">
      <c r="A867" t="s">
        <v>3201</v>
      </c>
      <c r="B867">
        <v>1</v>
      </c>
    </row>
    <row r="868" spans="1:2" x14ac:dyDescent="0.2">
      <c r="A868" t="s">
        <v>3202</v>
      </c>
      <c r="B868">
        <v>1</v>
      </c>
    </row>
    <row r="869" spans="1:2" x14ac:dyDescent="0.2">
      <c r="A869" t="s">
        <v>3203</v>
      </c>
      <c r="B869">
        <v>1</v>
      </c>
    </row>
    <row r="870" spans="1:2" x14ac:dyDescent="0.2">
      <c r="A870" t="s">
        <v>3213</v>
      </c>
      <c r="B870">
        <v>5000</v>
      </c>
    </row>
    <row r="871" spans="1:2" x14ac:dyDescent="0.2">
      <c r="A871" t="s">
        <v>3214</v>
      </c>
      <c r="B871">
        <v>5000</v>
      </c>
    </row>
    <row r="872" spans="1:2" x14ac:dyDescent="0.2">
      <c r="A872" t="s">
        <v>2992</v>
      </c>
      <c r="B872">
        <v>2</v>
      </c>
    </row>
    <row r="873" spans="1:2" x14ac:dyDescent="0.2">
      <c r="A873" t="s">
        <v>2993</v>
      </c>
      <c r="B873">
        <v>0</v>
      </c>
    </row>
    <row r="874" spans="1:2" x14ac:dyDescent="0.2">
      <c r="A874" t="s">
        <v>2998</v>
      </c>
      <c r="B874">
        <v>0</v>
      </c>
    </row>
    <row r="875" spans="1:2" x14ac:dyDescent="0.2">
      <c r="A875" t="s">
        <v>2999</v>
      </c>
      <c r="B875">
        <v>0</v>
      </c>
    </row>
    <row r="876" spans="1:2" x14ac:dyDescent="0.2">
      <c r="A876" t="s">
        <v>3000</v>
      </c>
      <c r="B876">
        <v>0</v>
      </c>
    </row>
    <row r="877" spans="1:2" x14ac:dyDescent="0.2">
      <c r="A877" t="s">
        <v>3001</v>
      </c>
      <c r="B877">
        <v>0</v>
      </c>
    </row>
    <row r="878" spans="1:2" x14ac:dyDescent="0.2">
      <c r="A878" t="s">
        <v>3002</v>
      </c>
      <c r="B878">
        <v>0</v>
      </c>
    </row>
    <row r="879" spans="1:2" x14ac:dyDescent="0.2">
      <c r="A879" t="s">
        <v>3003</v>
      </c>
      <c r="B879">
        <v>0</v>
      </c>
    </row>
    <row r="880" spans="1:2" x14ac:dyDescent="0.2">
      <c r="A880" t="s">
        <v>3004</v>
      </c>
      <c r="B880">
        <v>0</v>
      </c>
    </row>
    <row r="881" spans="1:2" x14ac:dyDescent="0.2">
      <c r="A881" t="s">
        <v>3005</v>
      </c>
      <c r="B881">
        <v>0</v>
      </c>
    </row>
    <row r="882" spans="1:2" x14ac:dyDescent="0.2">
      <c r="A882" t="s">
        <v>2994</v>
      </c>
      <c r="B882" t="b">
        <v>0</v>
      </c>
    </row>
    <row r="883" spans="1:2" x14ac:dyDescent="0.2">
      <c r="A883" t="s">
        <v>2995</v>
      </c>
      <c r="B883" t="b">
        <v>0</v>
      </c>
    </row>
    <row r="884" spans="1:2" x14ac:dyDescent="0.2">
      <c r="A884" t="s">
        <v>2996</v>
      </c>
      <c r="B884" t="b">
        <v>0</v>
      </c>
    </row>
    <row r="885" spans="1:2" x14ac:dyDescent="0.2">
      <c r="A885" t="s">
        <v>2997</v>
      </c>
      <c r="B885" t="b">
        <v>0</v>
      </c>
    </row>
    <row r="886" spans="1:2" x14ac:dyDescent="0.2">
      <c r="A886" t="s">
        <v>3215</v>
      </c>
      <c r="B886">
        <v>7</v>
      </c>
    </row>
    <row r="887" spans="1:2" x14ac:dyDescent="0.2">
      <c r="A887" t="s">
        <v>3217</v>
      </c>
      <c r="B887" t="b">
        <v>0</v>
      </c>
    </row>
    <row r="888" spans="1:2" x14ac:dyDescent="0.2">
      <c r="A888" t="s">
        <v>3218</v>
      </c>
      <c r="B888" t="b">
        <v>0</v>
      </c>
    </row>
    <row r="889" spans="1:2" x14ac:dyDescent="0.2">
      <c r="A889" t="s">
        <v>3219</v>
      </c>
      <c r="B889" t="b">
        <v>0</v>
      </c>
    </row>
    <row r="890" spans="1:2" x14ac:dyDescent="0.2">
      <c r="A890" t="s">
        <v>3220</v>
      </c>
      <c r="B890" t="b">
        <v>0</v>
      </c>
    </row>
    <row r="891" spans="1:2" x14ac:dyDescent="0.2">
      <c r="A891" t="s">
        <v>3221</v>
      </c>
      <c r="B891" t="b">
        <v>0</v>
      </c>
    </row>
    <row r="892" spans="1:2" x14ac:dyDescent="0.2">
      <c r="A892" t="s">
        <v>3222</v>
      </c>
      <c r="B892" t="b">
        <v>0</v>
      </c>
    </row>
    <row r="893" spans="1:2" x14ac:dyDescent="0.2">
      <c r="A893" t="s">
        <v>3223</v>
      </c>
      <c r="B893" t="b">
        <v>0</v>
      </c>
    </row>
    <row r="894" spans="1:2" x14ac:dyDescent="0.2">
      <c r="A894" t="s">
        <v>3224</v>
      </c>
      <c r="B894" t="b">
        <v>0</v>
      </c>
    </row>
    <row r="895" spans="1:2" x14ac:dyDescent="0.2">
      <c r="A895" t="s">
        <v>3225</v>
      </c>
      <c r="B895" t="b">
        <v>0</v>
      </c>
    </row>
    <row r="896" spans="1:2" x14ac:dyDescent="0.2">
      <c r="A896" t="s">
        <v>3226</v>
      </c>
      <c r="B896" t="b">
        <v>0</v>
      </c>
    </row>
    <row r="897" spans="1:2" x14ac:dyDescent="0.2">
      <c r="A897" t="s">
        <v>3227</v>
      </c>
      <c r="B897" t="b">
        <v>0</v>
      </c>
    </row>
    <row r="898" spans="1:2" x14ac:dyDescent="0.2">
      <c r="A898" t="s">
        <v>3228</v>
      </c>
      <c r="B898" t="b">
        <v>0</v>
      </c>
    </row>
    <row r="899" spans="1:2" x14ac:dyDescent="0.2">
      <c r="A899" t="s">
        <v>3229</v>
      </c>
      <c r="B899" t="b">
        <v>0</v>
      </c>
    </row>
    <row r="900" spans="1:2" x14ac:dyDescent="0.2">
      <c r="A900" t="s">
        <v>3230</v>
      </c>
      <c r="B900" t="b">
        <v>0</v>
      </c>
    </row>
    <row r="901" spans="1:2" x14ac:dyDescent="0.2">
      <c r="A901" t="s">
        <v>3231</v>
      </c>
      <c r="B901" t="b">
        <v>0</v>
      </c>
    </row>
    <row r="902" spans="1:2" x14ac:dyDescent="0.2">
      <c r="A902" t="s">
        <v>3232</v>
      </c>
      <c r="B902" t="b">
        <v>0</v>
      </c>
    </row>
    <row r="903" spans="1:2" x14ac:dyDescent="0.2">
      <c r="A903" t="s">
        <v>3233</v>
      </c>
      <c r="B903" t="b">
        <v>0</v>
      </c>
    </row>
    <row r="904" spans="1:2" x14ac:dyDescent="0.2">
      <c r="A904" t="s">
        <v>3234</v>
      </c>
      <c r="B904" t="b">
        <v>0</v>
      </c>
    </row>
    <row r="905" spans="1:2" x14ac:dyDescent="0.2">
      <c r="A905" t="s">
        <v>3235</v>
      </c>
      <c r="B905" t="b">
        <v>0</v>
      </c>
    </row>
    <row r="906" spans="1:2" x14ac:dyDescent="0.2">
      <c r="A906" t="s">
        <v>3236</v>
      </c>
      <c r="B906" t="b">
        <v>0</v>
      </c>
    </row>
    <row r="907" spans="1:2" x14ac:dyDescent="0.2">
      <c r="A907" t="s">
        <v>3237</v>
      </c>
      <c r="B907" t="b">
        <v>0</v>
      </c>
    </row>
    <row r="908" spans="1:2" x14ac:dyDescent="0.2">
      <c r="A908" t="s">
        <v>3238</v>
      </c>
      <c r="B908" t="b">
        <v>0</v>
      </c>
    </row>
    <row r="909" spans="1:2" x14ac:dyDescent="0.2">
      <c r="A909" t="s">
        <v>3239</v>
      </c>
      <c r="B909" t="b">
        <v>0</v>
      </c>
    </row>
    <row r="910" spans="1:2" x14ac:dyDescent="0.2">
      <c r="A910" t="s">
        <v>3240</v>
      </c>
      <c r="B910" t="b">
        <v>0</v>
      </c>
    </row>
    <row r="911" spans="1:2" x14ac:dyDescent="0.2">
      <c r="A911" t="s">
        <v>3241</v>
      </c>
      <c r="B911" t="b">
        <v>0</v>
      </c>
    </row>
    <row r="912" spans="1:2" x14ac:dyDescent="0.2">
      <c r="A912" t="s">
        <v>3242</v>
      </c>
      <c r="B912" t="b">
        <v>0</v>
      </c>
    </row>
    <row r="913" spans="1:2" x14ac:dyDescent="0.2">
      <c r="A913" t="s">
        <v>3243</v>
      </c>
      <c r="B913" t="b">
        <v>0</v>
      </c>
    </row>
    <row r="914" spans="1:2" x14ac:dyDescent="0.2">
      <c r="A914" t="s">
        <v>3244</v>
      </c>
      <c r="B914" t="b">
        <v>0</v>
      </c>
    </row>
    <row r="915" spans="1:2" x14ac:dyDescent="0.2">
      <c r="A915" t="s">
        <v>3245</v>
      </c>
      <c r="B915" t="b">
        <v>0</v>
      </c>
    </row>
    <row r="916" spans="1:2" x14ac:dyDescent="0.2">
      <c r="A916" t="s">
        <v>3246</v>
      </c>
      <c r="B916" t="b">
        <v>0</v>
      </c>
    </row>
    <row r="917" spans="1:2" x14ac:dyDescent="0.2">
      <c r="A917" t="s">
        <v>3247</v>
      </c>
      <c r="B917" t="b">
        <v>0</v>
      </c>
    </row>
    <row r="918" spans="1:2" x14ac:dyDescent="0.2">
      <c r="A918" t="s">
        <v>3248</v>
      </c>
      <c r="B918" t="b">
        <v>0</v>
      </c>
    </row>
    <row r="919" spans="1:2" x14ac:dyDescent="0.2">
      <c r="A919" t="s">
        <v>3249</v>
      </c>
      <c r="B919" t="b">
        <v>0</v>
      </c>
    </row>
    <row r="920" spans="1:2" x14ac:dyDescent="0.2">
      <c r="A920" t="s">
        <v>3250</v>
      </c>
      <c r="B920" t="b">
        <v>0</v>
      </c>
    </row>
    <row r="921" spans="1:2" x14ac:dyDescent="0.2">
      <c r="A921" t="s">
        <v>3251</v>
      </c>
      <c r="B921" t="b">
        <v>0</v>
      </c>
    </row>
    <row r="922" spans="1:2" x14ac:dyDescent="0.2">
      <c r="A922" t="s">
        <v>3252</v>
      </c>
      <c r="B922" t="b">
        <v>0</v>
      </c>
    </row>
    <row r="923" spans="1:2" x14ac:dyDescent="0.2">
      <c r="A923" t="s">
        <v>3253</v>
      </c>
      <c r="B923" t="b">
        <v>0</v>
      </c>
    </row>
    <row r="924" spans="1:2" x14ac:dyDescent="0.2">
      <c r="A924" t="s">
        <v>3254</v>
      </c>
      <c r="B924" t="b">
        <v>0</v>
      </c>
    </row>
    <row r="925" spans="1:2" x14ac:dyDescent="0.2">
      <c r="A925" t="s">
        <v>3255</v>
      </c>
      <c r="B925" t="b">
        <v>0</v>
      </c>
    </row>
    <row r="926" spans="1:2" x14ac:dyDescent="0.2">
      <c r="A926" t="s">
        <v>3256</v>
      </c>
      <c r="B926" t="b">
        <v>0</v>
      </c>
    </row>
    <row r="927" spans="1:2" x14ac:dyDescent="0.2">
      <c r="A927" t="s">
        <v>3257</v>
      </c>
      <c r="B927" t="b">
        <v>0</v>
      </c>
    </row>
    <row r="928" spans="1:2" x14ac:dyDescent="0.2">
      <c r="A928" t="s">
        <v>3258</v>
      </c>
      <c r="B928" t="b">
        <v>0</v>
      </c>
    </row>
    <row r="929" spans="1:2" x14ac:dyDescent="0.2">
      <c r="A929" t="s">
        <v>3259</v>
      </c>
      <c r="B929" t="b">
        <v>0</v>
      </c>
    </row>
    <row r="930" spans="1:2" x14ac:dyDescent="0.2">
      <c r="A930" t="s">
        <v>3260</v>
      </c>
      <c r="B930" t="b">
        <v>0</v>
      </c>
    </row>
    <row r="931" spans="1:2" x14ac:dyDescent="0.2">
      <c r="A931" t="s">
        <v>3261</v>
      </c>
      <c r="B931" t="b">
        <v>0</v>
      </c>
    </row>
    <row r="932" spans="1:2" x14ac:dyDescent="0.2">
      <c r="A932" t="s">
        <v>3262</v>
      </c>
      <c r="B932" t="b">
        <v>0</v>
      </c>
    </row>
    <row r="933" spans="1:2" x14ac:dyDescent="0.2">
      <c r="A933" t="s">
        <v>3263</v>
      </c>
      <c r="B933" t="b">
        <v>0</v>
      </c>
    </row>
    <row r="934" spans="1:2" x14ac:dyDescent="0.2">
      <c r="A934" t="s">
        <v>3264</v>
      </c>
      <c r="B934" t="b">
        <v>0</v>
      </c>
    </row>
    <row r="935" spans="1:2" x14ac:dyDescent="0.2">
      <c r="A935" t="s">
        <v>3265</v>
      </c>
      <c r="B935" t="b">
        <v>0</v>
      </c>
    </row>
    <row r="936" spans="1:2" x14ac:dyDescent="0.2">
      <c r="A936" t="s">
        <v>3266</v>
      </c>
      <c r="B936" t="b">
        <v>0</v>
      </c>
    </row>
    <row r="937" spans="1:2" x14ac:dyDescent="0.2">
      <c r="A937" t="s">
        <v>3267</v>
      </c>
      <c r="B937" t="b">
        <v>0</v>
      </c>
    </row>
    <row r="938" spans="1:2" x14ac:dyDescent="0.2">
      <c r="A938" t="s">
        <v>3268</v>
      </c>
      <c r="B938" t="b">
        <v>0</v>
      </c>
    </row>
    <row r="939" spans="1:2" x14ac:dyDescent="0.2">
      <c r="A939" t="s">
        <v>3269</v>
      </c>
      <c r="B939" t="b">
        <v>0</v>
      </c>
    </row>
    <row r="940" spans="1:2" x14ac:dyDescent="0.2">
      <c r="A940" t="s">
        <v>3270</v>
      </c>
      <c r="B940" t="b">
        <v>0</v>
      </c>
    </row>
    <row r="941" spans="1:2" x14ac:dyDescent="0.2">
      <c r="A941" t="s">
        <v>3271</v>
      </c>
      <c r="B941" t="b">
        <v>0</v>
      </c>
    </row>
    <row r="942" spans="1:2" x14ac:dyDescent="0.2">
      <c r="A942" t="s">
        <v>3272</v>
      </c>
      <c r="B942" t="b">
        <v>0</v>
      </c>
    </row>
    <row r="943" spans="1:2" x14ac:dyDescent="0.2">
      <c r="A943" t="s">
        <v>3273</v>
      </c>
      <c r="B943" t="b">
        <v>0</v>
      </c>
    </row>
    <row r="944" spans="1:2" x14ac:dyDescent="0.2">
      <c r="A944" t="s">
        <v>3274</v>
      </c>
      <c r="B944" t="b">
        <v>0</v>
      </c>
    </row>
    <row r="945" spans="1:2" x14ac:dyDescent="0.2">
      <c r="A945" t="s">
        <v>3275</v>
      </c>
      <c r="B945" t="b">
        <v>0</v>
      </c>
    </row>
    <row r="946" spans="1:2" x14ac:dyDescent="0.2">
      <c r="A946" t="s">
        <v>3276</v>
      </c>
      <c r="B946" t="b">
        <v>0</v>
      </c>
    </row>
    <row r="947" spans="1:2" x14ac:dyDescent="0.2">
      <c r="A947" t="s">
        <v>3277</v>
      </c>
      <c r="B947" t="b">
        <v>0</v>
      </c>
    </row>
    <row r="948" spans="1:2" x14ac:dyDescent="0.2">
      <c r="A948" t="s">
        <v>3278</v>
      </c>
      <c r="B948" t="b">
        <v>0</v>
      </c>
    </row>
    <row r="949" spans="1:2" x14ac:dyDescent="0.2">
      <c r="A949" t="s">
        <v>3279</v>
      </c>
      <c r="B949" t="b">
        <v>0</v>
      </c>
    </row>
    <row r="950" spans="1:2" x14ac:dyDescent="0.2">
      <c r="A950" t="s">
        <v>3280</v>
      </c>
      <c r="B950" t="b">
        <v>0</v>
      </c>
    </row>
    <row r="951" spans="1:2" x14ac:dyDescent="0.2">
      <c r="A951" t="s">
        <v>3281</v>
      </c>
      <c r="B951" t="b">
        <v>0</v>
      </c>
    </row>
    <row r="952" spans="1:2" x14ac:dyDescent="0.2">
      <c r="A952" t="s">
        <v>3282</v>
      </c>
      <c r="B952" t="b">
        <v>0</v>
      </c>
    </row>
    <row r="953" spans="1:2" x14ac:dyDescent="0.2">
      <c r="A953" t="s">
        <v>3283</v>
      </c>
      <c r="B953" t="b">
        <v>0</v>
      </c>
    </row>
    <row r="954" spans="1:2" x14ac:dyDescent="0.2">
      <c r="A954" t="s">
        <v>3284</v>
      </c>
      <c r="B954" t="b">
        <v>0</v>
      </c>
    </row>
    <row r="955" spans="1:2" x14ac:dyDescent="0.2">
      <c r="A955" t="s">
        <v>3285</v>
      </c>
      <c r="B955" t="b">
        <v>0</v>
      </c>
    </row>
    <row r="956" spans="1:2" x14ac:dyDescent="0.2">
      <c r="A956" t="s">
        <v>3286</v>
      </c>
      <c r="B956" t="b">
        <v>0</v>
      </c>
    </row>
    <row r="957" spans="1:2" x14ac:dyDescent="0.2">
      <c r="A957" t="s">
        <v>3287</v>
      </c>
      <c r="B957" t="b">
        <v>0</v>
      </c>
    </row>
    <row r="958" spans="1:2" x14ac:dyDescent="0.2">
      <c r="A958" t="s">
        <v>3288</v>
      </c>
      <c r="B958" t="b">
        <v>0</v>
      </c>
    </row>
    <row r="959" spans="1:2" x14ac:dyDescent="0.2">
      <c r="A959" t="s">
        <v>3289</v>
      </c>
      <c r="B959" t="b">
        <v>0</v>
      </c>
    </row>
    <row r="960" spans="1:2" x14ac:dyDescent="0.2">
      <c r="A960" t="s">
        <v>3290</v>
      </c>
      <c r="B960" t="b">
        <v>0</v>
      </c>
    </row>
    <row r="961" spans="1:2" x14ac:dyDescent="0.2">
      <c r="A961" t="s">
        <v>3291</v>
      </c>
      <c r="B961" t="b">
        <v>0</v>
      </c>
    </row>
    <row r="962" spans="1:2" x14ac:dyDescent="0.2">
      <c r="A962" t="s">
        <v>3292</v>
      </c>
      <c r="B962" t="b">
        <v>0</v>
      </c>
    </row>
    <row r="963" spans="1:2" x14ac:dyDescent="0.2">
      <c r="A963" t="s">
        <v>3293</v>
      </c>
      <c r="B963" t="b">
        <v>0</v>
      </c>
    </row>
    <row r="964" spans="1:2" x14ac:dyDescent="0.2">
      <c r="A964" t="s">
        <v>3294</v>
      </c>
      <c r="B964" t="b">
        <v>0</v>
      </c>
    </row>
    <row r="965" spans="1:2" x14ac:dyDescent="0.2">
      <c r="A965" t="s">
        <v>3295</v>
      </c>
      <c r="B965" t="b">
        <v>0</v>
      </c>
    </row>
    <row r="966" spans="1:2" x14ac:dyDescent="0.2">
      <c r="A966" t="s">
        <v>3296</v>
      </c>
      <c r="B966" t="b">
        <v>0</v>
      </c>
    </row>
    <row r="967" spans="1:2" x14ac:dyDescent="0.2">
      <c r="A967" t="s">
        <v>3297</v>
      </c>
      <c r="B967" t="b">
        <v>0</v>
      </c>
    </row>
    <row r="968" spans="1:2" x14ac:dyDescent="0.2">
      <c r="A968" t="s">
        <v>3298</v>
      </c>
      <c r="B968" t="b">
        <v>0</v>
      </c>
    </row>
    <row r="969" spans="1:2" x14ac:dyDescent="0.2">
      <c r="A969" t="s">
        <v>3299</v>
      </c>
      <c r="B969" t="b">
        <v>0</v>
      </c>
    </row>
    <row r="970" spans="1:2" x14ac:dyDescent="0.2">
      <c r="A970" t="s">
        <v>3300</v>
      </c>
      <c r="B970" t="b">
        <v>0</v>
      </c>
    </row>
    <row r="971" spans="1:2" x14ac:dyDescent="0.2">
      <c r="A971" t="s">
        <v>3301</v>
      </c>
      <c r="B971" t="b">
        <v>0</v>
      </c>
    </row>
    <row r="972" spans="1:2" x14ac:dyDescent="0.2">
      <c r="A972" t="s">
        <v>3302</v>
      </c>
      <c r="B972" t="b">
        <v>0</v>
      </c>
    </row>
    <row r="973" spans="1:2" x14ac:dyDescent="0.2">
      <c r="A973" t="s">
        <v>3303</v>
      </c>
      <c r="B973" t="b">
        <v>0</v>
      </c>
    </row>
    <row r="974" spans="1:2" x14ac:dyDescent="0.2">
      <c r="A974" t="s">
        <v>3304</v>
      </c>
      <c r="B974" t="b">
        <v>0</v>
      </c>
    </row>
    <row r="975" spans="1:2" x14ac:dyDescent="0.2">
      <c r="A975" t="s">
        <v>3305</v>
      </c>
      <c r="B975" t="b">
        <v>0</v>
      </c>
    </row>
    <row r="976" spans="1:2" x14ac:dyDescent="0.2">
      <c r="A976" t="s">
        <v>3306</v>
      </c>
      <c r="B976" t="b">
        <v>0</v>
      </c>
    </row>
    <row r="977" spans="1:2" x14ac:dyDescent="0.2">
      <c r="A977" t="s">
        <v>3307</v>
      </c>
      <c r="B977" t="b">
        <v>0</v>
      </c>
    </row>
    <row r="978" spans="1:2" x14ac:dyDescent="0.2">
      <c r="A978" t="s">
        <v>3308</v>
      </c>
      <c r="B978" t="b">
        <v>0</v>
      </c>
    </row>
    <row r="979" spans="1:2" x14ac:dyDescent="0.2">
      <c r="A979" t="s">
        <v>3309</v>
      </c>
      <c r="B979" t="b">
        <v>0</v>
      </c>
    </row>
    <row r="980" spans="1:2" x14ac:dyDescent="0.2">
      <c r="A980" t="s">
        <v>3310</v>
      </c>
      <c r="B980" t="b">
        <v>0</v>
      </c>
    </row>
    <row r="981" spans="1:2" x14ac:dyDescent="0.2">
      <c r="A981" t="s">
        <v>3311</v>
      </c>
      <c r="B981" t="b">
        <v>0</v>
      </c>
    </row>
    <row r="982" spans="1:2" x14ac:dyDescent="0.2">
      <c r="A982" t="s">
        <v>3312</v>
      </c>
      <c r="B982" t="b">
        <v>0</v>
      </c>
    </row>
    <row r="983" spans="1:2" x14ac:dyDescent="0.2">
      <c r="A983" t="s">
        <v>3313</v>
      </c>
      <c r="B983" t="b">
        <v>0</v>
      </c>
    </row>
    <row r="984" spans="1:2" x14ac:dyDescent="0.2">
      <c r="A984" t="s">
        <v>3314</v>
      </c>
      <c r="B984" t="b">
        <v>0</v>
      </c>
    </row>
    <row r="985" spans="1:2" x14ac:dyDescent="0.2">
      <c r="A985" t="s">
        <v>3315</v>
      </c>
      <c r="B985" t="b">
        <v>0</v>
      </c>
    </row>
    <row r="986" spans="1:2" x14ac:dyDescent="0.2">
      <c r="A986" t="s">
        <v>3316</v>
      </c>
      <c r="B986" t="b">
        <v>0</v>
      </c>
    </row>
    <row r="987" spans="1:2" x14ac:dyDescent="0.2">
      <c r="A987" t="s">
        <v>3317</v>
      </c>
      <c r="B987" t="b">
        <v>0</v>
      </c>
    </row>
    <row r="988" spans="1:2" x14ac:dyDescent="0.2">
      <c r="A988" t="s">
        <v>3318</v>
      </c>
      <c r="B988" t="b">
        <v>0</v>
      </c>
    </row>
    <row r="989" spans="1:2" x14ac:dyDescent="0.2">
      <c r="A989" t="s">
        <v>3319</v>
      </c>
      <c r="B989" t="b">
        <v>0</v>
      </c>
    </row>
    <row r="990" spans="1:2" x14ac:dyDescent="0.2">
      <c r="A990" t="s">
        <v>3320</v>
      </c>
      <c r="B990" t="b">
        <v>0</v>
      </c>
    </row>
    <row r="991" spans="1:2" x14ac:dyDescent="0.2">
      <c r="A991" t="s">
        <v>3321</v>
      </c>
      <c r="B991" t="b">
        <v>0</v>
      </c>
    </row>
    <row r="992" spans="1:2" x14ac:dyDescent="0.2">
      <c r="A992" t="s">
        <v>3322</v>
      </c>
      <c r="B992" t="b">
        <v>0</v>
      </c>
    </row>
    <row r="993" spans="1:2" x14ac:dyDescent="0.2">
      <c r="A993" t="s">
        <v>3323</v>
      </c>
      <c r="B993" t="b">
        <v>0</v>
      </c>
    </row>
    <row r="994" spans="1:2" x14ac:dyDescent="0.2">
      <c r="A994" t="s">
        <v>3324</v>
      </c>
      <c r="B994" t="b">
        <v>0</v>
      </c>
    </row>
    <row r="995" spans="1:2" x14ac:dyDescent="0.2">
      <c r="A995" t="s">
        <v>3325</v>
      </c>
      <c r="B995" t="b">
        <v>0</v>
      </c>
    </row>
    <row r="996" spans="1:2" x14ac:dyDescent="0.2">
      <c r="A996" t="s">
        <v>3326</v>
      </c>
      <c r="B996" t="b">
        <v>0</v>
      </c>
    </row>
    <row r="997" spans="1:2" x14ac:dyDescent="0.2">
      <c r="A997" t="s">
        <v>3327</v>
      </c>
      <c r="B997" t="b">
        <v>0</v>
      </c>
    </row>
    <row r="998" spans="1:2" x14ac:dyDescent="0.2">
      <c r="A998" t="s">
        <v>3328</v>
      </c>
      <c r="B998" t="b">
        <v>0</v>
      </c>
    </row>
    <row r="999" spans="1:2" x14ac:dyDescent="0.2">
      <c r="A999" t="s">
        <v>3329</v>
      </c>
      <c r="B999" t="b">
        <v>0</v>
      </c>
    </row>
    <row r="1000" spans="1:2" x14ac:dyDescent="0.2">
      <c r="A1000" t="s">
        <v>3330</v>
      </c>
      <c r="B1000" t="b">
        <v>0</v>
      </c>
    </row>
    <row r="1001" spans="1:2" x14ac:dyDescent="0.2">
      <c r="A1001" t="s">
        <v>3331</v>
      </c>
      <c r="B1001" t="b">
        <v>0</v>
      </c>
    </row>
    <row r="1002" spans="1:2" x14ac:dyDescent="0.2">
      <c r="A1002" t="s">
        <v>3332</v>
      </c>
      <c r="B1002" t="b">
        <v>0</v>
      </c>
    </row>
    <row r="1003" spans="1:2" x14ac:dyDescent="0.2">
      <c r="A1003" t="s">
        <v>3333</v>
      </c>
      <c r="B1003" t="b">
        <v>0</v>
      </c>
    </row>
    <row r="1004" spans="1:2" x14ac:dyDescent="0.2">
      <c r="A1004" t="s">
        <v>3334</v>
      </c>
      <c r="B1004" t="b">
        <v>0</v>
      </c>
    </row>
    <row r="1005" spans="1:2" x14ac:dyDescent="0.2">
      <c r="A1005" t="s">
        <v>3335</v>
      </c>
      <c r="B1005" t="b">
        <v>0</v>
      </c>
    </row>
    <row r="1006" spans="1:2" x14ac:dyDescent="0.2">
      <c r="A1006" t="s">
        <v>3336</v>
      </c>
      <c r="B1006" t="b">
        <v>0</v>
      </c>
    </row>
    <row r="1007" spans="1:2" x14ac:dyDescent="0.2">
      <c r="A1007" t="s">
        <v>3337</v>
      </c>
      <c r="B1007" t="b">
        <v>0</v>
      </c>
    </row>
    <row r="1008" spans="1:2" x14ac:dyDescent="0.2">
      <c r="A1008" t="s">
        <v>3338</v>
      </c>
      <c r="B1008" t="b">
        <v>0</v>
      </c>
    </row>
    <row r="1009" spans="1:2" x14ac:dyDescent="0.2">
      <c r="A1009" t="s">
        <v>3339</v>
      </c>
      <c r="B1009" t="b">
        <v>0</v>
      </c>
    </row>
    <row r="1010" spans="1:2" x14ac:dyDescent="0.2">
      <c r="A1010" t="s">
        <v>3340</v>
      </c>
      <c r="B1010" t="b">
        <v>0</v>
      </c>
    </row>
    <row r="1011" spans="1:2" x14ac:dyDescent="0.2">
      <c r="A1011" t="s">
        <v>3341</v>
      </c>
      <c r="B1011" t="b">
        <v>0</v>
      </c>
    </row>
    <row r="1012" spans="1:2" x14ac:dyDescent="0.2">
      <c r="A1012" t="s">
        <v>3342</v>
      </c>
      <c r="B1012" t="b">
        <v>0</v>
      </c>
    </row>
    <row r="1013" spans="1:2" x14ac:dyDescent="0.2">
      <c r="A1013" t="s">
        <v>3343</v>
      </c>
      <c r="B1013" t="b">
        <v>0</v>
      </c>
    </row>
    <row r="1014" spans="1:2" x14ac:dyDescent="0.2">
      <c r="A1014" t="s">
        <v>3344</v>
      </c>
      <c r="B1014" t="b">
        <v>0</v>
      </c>
    </row>
    <row r="1015" spans="1:2" x14ac:dyDescent="0.2">
      <c r="A1015" t="s">
        <v>3345</v>
      </c>
      <c r="B1015" t="b">
        <v>0</v>
      </c>
    </row>
    <row r="1016" spans="1:2" x14ac:dyDescent="0.2">
      <c r="A1016" t="s">
        <v>3346</v>
      </c>
      <c r="B1016" t="b">
        <v>0</v>
      </c>
    </row>
    <row r="1017" spans="1:2" x14ac:dyDescent="0.2">
      <c r="A1017" t="s">
        <v>3347</v>
      </c>
      <c r="B1017" t="b">
        <v>0</v>
      </c>
    </row>
    <row r="1018" spans="1:2" x14ac:dyDescent="0.2">
      <c r="A1018" t="s">
        <v>3348</v>
      </c>
      <c r="B1018" t="b">
        <v>0</v>
      </c>
    </row>
    <row r="1019" spans="1:2" x14ac:dyDescent="0.2">
      <c r="A1019" t="s">
        <v>3349</v>
      </c>
      <c r="B1019" t="b">
        <v>0</v>
      </c>
    </row>
    <row r="1020" spans="1:2" x14ac:dyDescent="0.2">
      <c r="A1020" t="s">
        <v>3350</v>
      </c>
      <c r="B1020" t="b">
        <v>0</v>
      </c>
    </row>
    <row r="1021" spans="1:2" x14ac:dyDescent="0.2">
      <c r="A1021" t="s">
        <v>3351</v>
      </c>
      <c r="B1021" t="b">
        <v>0</v>
      </c>
    </row>
    <row r="1022" spans="1:2" x14ac:dyDescent="0.2">
      <c r="A1022" t="s">
        <v>3352</v>
      </c>
      <c r="B1022" t="b">
        <v>0</v>
      </c>
    </row>
    <row r="1023" spans="1:2" x14ac:dyDescent="0.2">
      <c r="A1023" t="s">
        <v>3353</v>
      </c>
      <c r="B1023" t="b">
        <v>0</v>
      </c>
    </row>
    <row r="1024" spans="1:2" x14ac:dyDescent="0.2">
      <c r="A1024" t="s">
        <v>3354</v>
      </c>
      <c r="B1024" t="b">
        <v>0</v>
      </c>
    </row>
    <row r="1025" spans="1:2" x14ac:dyDescent="0.2">
      <c r="A1025" t="s">
        <v>3355</v>
      </c>
      <c r="B1025" t="b">
        <v>0</v>
      </c>
    </row>
    <row r="1026" spans="1:2" x14ac:dyDescent="0.2">
      <c r="A1026" t="s">
        <v>3356</v>
      </c>
      <c r="B1026" t="b">
        <v>0</v>
      </c>
    </row>
    <row r="1027" spans="1:2" x14ac:dyDescent="0.2">
      <c r="A1027" t="s">
        <v>3357</v>
      </c>
      <c r="B1027" t="b">
        <v>0</v>
      </c>
    </row>
    <row r="1028" spans="1:2" x14ac:dyDescent="0.2">
      <c r="A1028" t="s">
        <v>3358</v>
      </c>
      <c r="B1028" t="b">
        <v>0</v>
      </c>
    </row>
    <row r="1029" spans="1:2" x14ac:dyDescent="0.2">
      <c r="A1029" t="s">
        <v>3359</v>
      </c>
      <c r="B1029" t="b">
        <v>0</v>
      </c>
    </row>
    <row r="1030" spans="1:2" x14ac:dyDescent="0.2">
      <c r="A1030" t="s">
        <v>3360</v>
      </c>
      <c r="B1030" t="b">
        <v>0</v>
      </c>
    </row>
    <row r="1031" spans="1:2" x14ac:dyDescent="0.2">
      <c r="A1031" t="s">
        <v>3361</v>
      </c>
      <c r="B1031" t="b">
        <v>0</v>
      </c>
    </row>
    <row r="1032" spans="1:2" x14ac:dyDescent="0.2">
      <c r="A1032" t="s">
        <v>3362</v>
      </c>
      <c r="B1032" t="b">
        <v>0</v>
      </c>
    </row>
    <row r="1033" spans="1:2" x14ac:dyDescent="0.2">
      <c r="A1033" t="s">
        <v>3363</v>
      </c>
      <c r="B1033" t="b">
        <v>0</v>
      </c>
    </row>
    <row r="1034" spans="1:2" x14ac:dyDescent="0.2">
      <c r="A1034" t="s">
        <v>3364</v>
      </c>
      <c r="B1034" t="b">
        <v>0</v>
      </c>
    </row>
    <row r="1035" spans="1:2" x14ac:dyDescent="0.2">
      <c r="A1035" t="s">
        <v>3365</v>
      </c>
      <c r="B1035" t="b">
        <v>0</v>
      </c>
    </row>
    <row r="1036" spans="1:2" x14ac:dyDescent="0.2">
      <c r="A1036" t="s">
        <v>3366</v>
      </c>
      <c r="B1036" t="b">
        <v>0</v>
      </c>
    </row>
    <row r="1037" spans="1:2" x14ac:dyDescent="0.2">
      <c r="A1037" t="s">
        <v>3367</v>
      </c>
      <c r="B1037" t="b">
        <v>0</v>
      </c>
    </row>
    <row r="1038" spans="1:2" x14ac:dyDescent="0.2">
      <c r="A1038" t="s">
        <v>3368</v>
      </c>
      <c r="B1038" t="b">
        <v>0</v>
      </c>
    </row>
    <row r="1039" spans="1:2" x14ac:dyDescent="0.2">
      <c r="A1039" t="s">
        <v>3369</v>
      </c>
      <c r="B1039" t="b">
        <v>0</v>
      </c>
    </row>
    <row r="1040" spans="1:2" x14ac:dyDescent="0.2">
      <c r="A1040" t="s">
        <v>3370</v>
      </c>
      <c r="B1040" t="b">
        <v>0</v>
      </c>
    </row>
    <row r="1041" spans="1:2" x14ac:dyDescent="0.2">
      <c r="A1041" t="s">
        <v>3371</v>
      </c>
      <c r="B1041" t="b">
        <v>0</v>
      </c>
    </row>
    <row r="1042" spans="1:2" x14ac:dyDescent="0.2">
      <c r="A1042" t="s">
        <v>3372</v>
      </c>
      <c r="B1042" t="b">
        <v>0</v>
      </c>
    </row>
    <row r="1043" spans="1:2" x14ac:dyDescent="0.2">
      <c r="A1043" t="s">
        <v>3373</v>
      </c>
      <c r="B1043" t="b">
        <v>0</v>
      </c>
    </row>
    <row r="1044" spans="1:2" x14ac:dyDescent="0.2">
      <c r="A1044" t="s">
        <v>3374</v>
      </c>
      <c r="B1044" t="b">
        <v>0</v>
      </c>
    </row>
    <row r="1045" spans="1:2" x14ac:dyDescent="0.2">
      <c r="A1045" t="s">
        <v>3375</v>
      </c>
      <c r="B1045" t="b">
        <v>0</v>
      </c>
    </row>
    <row r="1046" spans="1:2" x14ac:dyDescent="0.2">
      <c r="A1046" t="s">
        <v>3376</v>
      </c>
      <c r="B1046" t="b">
        <v>0</v>
      </c>
    </row>
    <row r="1047" spans="1:2" x14ac:dyDescent="0.2">
      <c r="A1047" t="s">
        <v>3377</v>
      </c>
      <c r="B1047" t="b">
        <v>0</v>
      </c>
    </row>
    <row r="1048" spans="1:2" x14ac:dyDescent="0.2">
      <c r="A1048" t="s">
        <v>3378</v>
      </c>
      <c r="B1048" t="b">
        <v>0</v>
      </c>
    </row>
    <row r="1049" spans="1:2" x14ac:dyDescent="0.2">
      <c r="A1049" t="s">
        <v>3379</v>
      </c>
      <c r="B1049" t="b">
        <v>0</v>
      </c>
    </row>
    <row r="1050" spans="1:2" x14ac:dyDescent="0.2">
      <c r="A1050" t="s">
        <v>3380</v>
      </c>
      <c r="B1050" t="b">
        <v>0</v>
      </c>
    </row>
    <row r="1051" spans="1:2" x14ac:dyDescent="0.2">
      <c r="A1051" t="s">
        <v>3381</v>
      </c>
      <c r="B1051" t="b">
        <v>0</v>
      </c>
    </row>
    <row r="1052" spans="1:2" x14ac:dyDescent="0.2">
      <c r="A1052" t="s">
        <v>3382</v>
      </c>
      <c r="B1052" t="b">
        <v>0</v>
      </c>
    </row>
    <row r="1053" spans="1:2" x14ac:dyDescent="0.2">
      <c r="A1053" t="s">
        <v>3383</v>
      </c>
      <c r="B1053" t="b">
        <v>0</v>
      </c>
    </row>
    <row r="1054" spans="1:2" x14ac:dyDescent="0.2">
      <c r="A1054" t="s">
        <v>3384</v>
      </c>
      <c r="B1054" t="b">
        <v>0</v>
      </c>
    </row>
    <row r="1055" spans="1:2" x14ac:dyDescent="0.2">
      <c r="A1055" t="s">
        <v>3385</v>
      </c>
      <c r="B1055" t="b">
        <v>0</v>
      </c>
    </row>
    <row r="1056" spans="1:2" x14ac:dyDescent="0.2">
      <c r="A1056" t="s">
        <v>3386</v>
      </c>
      <c r="B1056" t="b">
        <v>0</v>
      </c>
    </row>
    <row r="1057" spans="1:2" x14ac:dyDescent="0.2">
      <c r="A1057" t="s">
        <v>3387</v>
      </c>
      <c r="B1057" t="b">
        <v>0</v>
      </c>
    </row>
    <row r="1058" spans="1:2" x14ac:dyDescent="0.2">
      <c r="A1058" t="s">
        <v>3388</v>
      </c>
      <c r="B1058" t="b">
        <v>0</v>
      </c>
    </row>
    <row r="1059" spans="1:2" x14ac:dyDescent="0.2">
      <c r="A1059" t="s">
        <v>3389</v>
      </c>
      <c r="B1059" t="b">
        <v>0</v>
      </c>
    </row>
    <row r="1060" spans="1:2" x14ac:dyDescent="0.2">
      <c r="A1060" t="s">
        <v>3390</v>
      </c>
      <c r="B1060" t="b">
        <v>0</v>
      </c>
    </row>
    <row r="1061" spans="1:2" x14ac:dyDescent="0.2">
      <c r="A1061" t="s">
        <v>3391</v>
      </c>
      <c r="B1061" t="b">
        <v>0</v>
      </c>
    </row>
    <row r="1062" spans="1:2" x14ac:dyDescent="0.2">
      <c r="A1062" t="s">
        <v>3392</v>
      </c>
      <c r="B1062" t="b">
        <v>0</v>
      </c>
    </row>
    <row r="1063" spans="1:2" x14ac:dyDescent="0.2">
      <c r="A1063" t="s">
        <v>3393</v>
      </c>
      <c r="B1063" t="b">
        <v>0</v>
      </c>
    </row>
    <row r="1064" spans="1:2" x14ac:dyDescent="0.2">
      <c r="A1064" t="s">
        <v>3394</v>
      </c>
      <c r="B1064" t="b">
        <v>0</v>
      </c>
    </row>
    <row r="1065" spans="1:2" x14ac:dyDescent="0.2">
      <c r="A1065" t="s">
        <v>3395</v>
      </c>
      <c r="B1065" t="b">
        <v>0</v>
      </c>
    </row>
    <row r="1066" spans="1:2" x14ac:dyDescent="0.2">
      <c r="A1066" t="s">
        <v>3396</v>
      </c>
      <c r="B1066" t="b">
        <v>0</v>
      </c>
    </row>
    <row r="1067" spans="1:2" x14ac:dyDescent="0.2">
      <c r="A1067" t="s">
        <v>3397</v>
      </c>
      <c r="B1067" t="b">
        <v>0</v>
      </c>
    </row>
    <row r="1068" spans="1:2" x14ac:dyDescent="0.2">
      <c r="A1068" t="s">
        <v>3398</v>
      </c>
      <c r="B1068" t="b">
        <v>0</v>
      </c>
    </row>
    <row r="1069" spans="1:2" x14ac:dyDescent="0.2">
      <c r="A1069" t="s">
        <v>3399</v>
      </c>
      <c r="B1069" t="b">
        <v>0</v>
      </c>
    </row>
    <row r="1070" spans="1:2" x14ac:dyDescent="0.2">
      <c r="A1070" t="s">
        <v>3400</v>
      </c>
      <c r="B1070" t="b">
        <v>0</v>
      </c>
    </row>
    <row r="1071" spans="1:2" x14ac:dyDescent="0.2">
      <c r="A1071" t="s">
        <v>3401</v>
      </c>
      <c r="B1071" t="b">
        <v>0</v>
      </c>
    </row>
    <row r="1072" spans="1:2" x14ac:dyDescent="0.2">
      <c r="A1072" t="s">
        <v>3402</v>
      </c>
      <c r="B1072" t="b">
        <v>0</v>
      </c>
    </row>
    <row r="1073" spans="1:2" x14ac:dyDescent="0.2">
      <c r="A1073" t="s">
        <v>3403</v>
      </c>
      <c r="B1073" t="b">
        <v>0</v>
      </c>
    </row>
    <row r="1074" spans="1:2" x14ac:dyDescent="0.2">
      <c r="A1074" t="s">
        <v>3404</v>
      </c>
      <c r="B1074" t="b">
        <v>0</v>
      </c>
    </row>
    <row r="1075" spans="1:2" x14ac:dyDescent="0.2">
      <c r="A1075" t="s">
        <v>3405</v>
      </c>
      <c r="B1075" t="b">
        <v>0</v>
      </c>
    </row>
    <row r="1076" spans="1:2" x14ac:dyDescent="0.2">
      <c r="A1076" t="s">
        <v>3406</v>
      </c>
      <c r="B1076" t="b">
        <v>0</v>
      </c>
    </row>
    <row r="1077" spans="1:2" x14ac:dyDescent="0.2">
      <c r="A1077" t="s">
        <v>3407</v>
      </c>
      <c r="B1077" t="b">
        <v>0</v>
      </c>
    </row>
    <row r="1078" spans="1:2" x14ac:dyDescent="0.2">
      <c r="A1078" t="s">
        <v>3408</v>
      </c>
      <c r="B1078" t="b">
        <v>0</v>
      </c>
    </row>
    <row r="1079" spans="1:2" x14ac:dyDescent="0.2">
      <c r="A1079" t="s">
        <v>3409</v>
      </c>
      <c r="B1079" t="b">
        <v>0</v>
      </c>
    </row>
    <row r="1080" spans="1:2" x14ac:dyDescent="0.2">
      <c r="A1080" t="s">
        <v>3410</v>
      </c>
      <c r="B1080" t="b">
        <v>0</v>
      </c>
    </row>
    <row r="1081" spans="1:2" x14ac:dyDescent="0.2">
      <c r="A1081" t="s">
        <v>3411</v>
      </c>
      <c r="B1081" t="b">
        <v>0</v>
      </c>
    </row>
    <row r="1082" spans="1:2" x14ac:dyDescent="0.2">
      <c r="A1082" t="s">
        <v>3412</v>
      </c>
      <c r="B1082" t="b">
        <v>0</v>
      </c>
    </row>
    <row r="1083" spans="1:2" x14ac:dyDescent="0.2">
      <c r="A1083" t="s">
        <v>3413</v>
      </c>
      <c r="B1083" t="b">
        <v>0</v>
      </c>
    </row>
    <row r="1084" spans="1:2" x14ac:dyDescent="0.2">
      <c r="A1084" t="s">
        <v>3414</v>
      </c>
      <c r="B1084" t="b">
        <v>0</v>
      </c>
    </row>
    <row r="1085" spans="1:2" x14ac:dyDescent="0.2">
      <c r="A1085" t="s">
        <v>3415</v>
      </c>
      <c r="B1085" t="b">
        <v>0</v>
      </c>
    </row>
    <row r="1086" spans="1:2" x14ac:dyDescent="0.2">
      <c r="A1086" t="s">
        <v>3416</v>
      </c>
      <c r="B1086" t="b">
        <v>0</v>
      </c>
    </row>
    <row r="1087" spans="1:2" x14ac:dyDescent="0.2">
      <c r="A1087" t="s">
        <v>3417</v>
      </c>
      <c r="B1087" t="b">
        <v>0</v>
      </c>
    </row>
    <row r="1088" spans="1:2" x14ac:dyDescent="0.2">
      <c r="A1088" t="s">
        <v>3418</v>
      </c>
      <c r="B1088" t="b">
        <v>0</v>
      </c>
    </row>
    <row r="1089" spans="1:2" x14ac:dyDescent="0.2">
      <c r="A1089" t="s">
        <v>3419</v>
      </c>
      <c r="B1089" t="b">
        <v>0</v>
      </c>
    </row>
    <row r="1090" spans="1:2" x14ac:dyDescent="0.2">
      <c r="A1090" t="s">
        <v>3420</v>
      </c>
      <c r="B1090" t="b">
        <v>0</v>
      </c>
    </row>
    <row r="1091" spans="1:2" x14ac:dyDescent="0.2">
      <c r="A1091" t="s">
        <v>3421</v>
      </c>
      <c r="B1091" t="b">
        <v>0</v>
      </c>
    </row>
    <row r="1092" spans="1:2" x14ac:dyDescent="0.2">
      <c r="A1092" t="s">
        <v>3422</v>
      </c>
      <c r="B1092" t="b">
        <v>0</v>
      </c>
    </row>
    <row r="1093" spans="1:2" x14ac:dyDescent="0.2">
      <c r="A1093" t="s">
        <v>3423</v>
      </c>
      <c r="B1093" t="b">
        <v>0</v>
      </c>
    </row>
    <row r="1094" spans="1:2" x14ac:dyDescent="0.2">
      <c r="A1094" t="s">
        <v>3424</v>
      </c>
      <c r="B1094" t="b">
        <v>0</v>
      </c>
    </row>
    <row r="1095" spans="1:2" x14ac:dyDescent="0.2">
      <c r="A1095" t="s">
        <v>3425</v>
      </c>
      <c r="B1095" t="b">
        <v>0</v>
      </c>
    </row>
    <row r="1096" spans="1:2" x14ac:dyDescent="0.2">
      <c r="A1096" t="s">
        <v>3426</v>
      </c>
      <c r="B1096" t="b">
        <v>0</v>
      </c>
    </row>
    <row r="1097" spans="1:2" x14ac:dyDescent="0.2">
      <c r="A1097" t="s">
        <v>3427</v>
      </c>
      <c r="B1097" t="b">
        <v>0</v>
      </c>
    </row>
    <row r="1098" spans="1:2" x14ac:dyDescent="0.2">
      <c r="A1098" t="s">
        <v>3428</v>
      </c>
      <c r="B1098" t="b">
        <v>0</v>
      </c>
    </row>
    <row r="1099" spans="1:2" x14ac:dyDescent="0.2">
      <c r="A1099" t="s">
        <v>3429</v>
      </c>
      <c r="B1099" t="b">
        <v>0</v>
      </c>
    </row>
    <row r="1100" spans="1:2" x14ac:dyDescent="0.2">
      <c r="A1100" t="s">
        <v>3430</v>
      </c>
      <c r="B1100" t="b">
        <v>0</v>
      </c>
    </row>
    <row r="1101" spans="1:2" x14ac:dyDescent="0.2">
      <c r="A1101" t="s">
        <v>3431</v>
      </c>
      <c r="B1101" t="b">
        <v>0</v>
      </c>
    </row>
    <row r="1102" spans="1:2" x14ac:dyDescent="0.2">
      <c r="A1102" t="s">
        <v>3432</v>
      </c>
      <c r="B1102" t="b">
        <v>0</v>
      </c>
    </row>
    <row r="1103" spans="1:2" x14ac:dyDescent="0.2">
      <c r="A1103" t="s">
        <v>3433</v>
      </c>
      <c r="B1103" t="b">
        <v>0</v>
      </c>
    </row>
    <row r="1104" spans="1:2" x14ac:dyDescent="0.2">
      <c r="A1104" t="s">
        <v>3434</v>
      </c>
      <c r="B1104" t="b">
        <v>0</v>
      </c>
    </row>
    <row r="1105" spans="1:2" x14ac:dyDescent="0.2">
      <c r="A1105" t="s">
        <v>3435</v>
      </c>
      <c r="B1105" t="b">
        <v>0</v>
      </c>
    </row>
    <row r="1106" spans="1:2" x14ac:dyDescent="0.2">
      <c r="A1106" t="s">
        <v>3436</v>
      </c>
      <c r="B1106" t="b">
        <v>0</v>
      </c>
    </row>
    <row r="1107" spans="1:2" x14ac:dyDescent="0.2">
      <c r="A1107" t="s">
        <v>3437</v>
      </c>
      <c r="B1107" t="b">
        <v>0</v>
      </c>
    </row>
    <row r="1108" spans="1:2" x14ac:dyDescent="0.2">
      <c r="A1108" t="s">
        <v>3438</v>
      </c>
      <c r="B1108" t="b">
        <v>0</v>
      </c>
    </row>
    <row r="1109" spans="1:2" x14ac:dyDescent="0.2">
      <c r="A1109" t="s">
        <v>3439</v>
      </c>
      <c r="B1109" t="b">
        <v>0</v>
      </c>
    </row>
    <row r="1110" spans="1:2" x14ac:dyDescent="0.2">
      <c r="A1110" t="s">
        <v>3440</v>
      </c>
      <c r="B1110" t="b">
        <v>0</v>
      </c>
    </row>
    <row r="1111" spans="1:2" x14ac:dyDescent="0.2">
      <c r="A1111" t="s">
        <v>3441</v>
      </c>
      <c r="B1111" t="b">
        <v>0</v>
      </c>
    </row>
    <row r="1112" spans="1:2" x14ac:dyDescent="0.2">
      <c r="A1112" t="s">
        <v>3442</v>
      </c>
      <c r="B1112" t="b">
        <v>0</v>
      </c>
    </row>
    <row r="1113" spans="1:2" x14ac:dyDescent="0.2">
      <c r="A1113" t="s">
        <v>3443</v>
      </c>
      <c r="B1113" t="b">
        <v>0</v>
      </c>
    </row>
    <row r="1114" spans="1:2" x14ac:dyDescent="0.2">
      <c r="A1114" t="s">
        <v>3444</v>
      </c>
      <c r="B1114" t="b">
        <v>0</v>
      </c>
    </row>
    <row r="1115" spans="1:2" x14ac:dyDescent="0.2">
      <c r="A1115" t="s">
        <v>3445</v>
      </c>
      <c r="B1115" t="b">
        <v>0</v>
      </c>
    </row>
    <row r="1116" spans="1:2" x14ac:dyDescent="0.2">
      <c r="A1116" t="s">
        <v>3446</v>
      </c>
      <c r="B1116" t="b">
        <v>0</v>
      </c>
    </row>
    <row r="1117" spans="1:2" x14ac:dyDescent="0.2">
      <c r="A1117" t="s">
        <v>3447</v>
      </c>
      <c r="B1117" t="b">
        <v>0</v>
      </c>
    </row>
    <row r="1118" spans="1:2" x14ac:dyDescent="0.2">
      <c r="A1118" t="s">
        <v>3448</v>
      </c>
      <c r="B1118" t="b">
        <v>0</v>
      </c>
    </row>
    <row r="1119" spans="1:2" x14ac:dyDescent="0.2">
      <c r="A1119" t="s">
        <v>3449</v>
      </c>
      <c r="B1119" t="b">
        <v>0</v>
      </c>
    </row>
    <row r="1120" spans="1:2" x14ac:dyDescent="0.2">
      <c r="A1120" t="s">
        <v>3450</v>
      </c>
      <c r="B1120" t="b">
        <v>0</v>
      </c>
    </row>
    <row r="1121" spans="1:2" x14ac:dyDescent="0.2">
      <c r="A1121" t="s">
        <v>3451</v>
      </c>
      <c r="B1121" t="b">
        <v>0</v>
      </c>
    </row>
    <row r="1122" spans="1:2" x14ac:dyDescent="0.2">
      <c r="A1122" t="s">
        <v>3452</v>
      </c>
      <c r="B1122" t="b">
        <v>0</v>
      </c>
    </row>
    <row r="1123" spans="1:2" x14ac:dyDescent="0.2">
      <c r="A1123" t="s">
        <v>3453</v>
      </c>
      <c r="B1123" t="b">
        <v>0</v>
      </c>
    </row>
    <row r="1124" spans="1:2" x14ac:dyDescent="0.2">
      <c r="A1124" t="s">
        <v>3454</v>
      </c>
      <c r="B1124" t="b">
        <v>0</v>
      </c>
    </row>
    <row r="1125" spans="1:2" x14ac:dyDescent="0.2">
      <c r="A1125" t="s">
        <v>3455</v>
      </c>
      <c r="B1125" t="b">
        <v>0</v>
      </c>
    </row>
    <row r="1126" spans="1:2" x14ac:dyDescent="0.2">
      <c r="A1126" t="s">
        <v>3456</v>
      </c>
      <c r="B1126" t="b">
        <v>0</v>
      </c>
    </row>
    <row r="1127" spans="1:2" x14ac:dyDescent="0.2">
      <c r="A1127" t="s">
        <v>3457</v>
      </c>
      <c r="B1127" t="b">
        <v>0</v>
      </c>
    </row>
    <row r="1128" spans="1:2" x14ac:dyDescent="0.2">
      <c r="A1128" t="s">
        <v>3458</v>
      </c>
      <c r="B1128" t="b">
        <v>0</v>
      </c>
    </row>
    <row r="1129" spans="1:2" x14ac:dyDescent="0.2">
      <c r="A1129" t="s">
        <v>3459</v>
      </c>
      <c r="B1129" t="b">
        <v>0</v>
      </c>
    </row>
    <row r="1130" spans="1:2" x14ac:dyDescent="0.2">
      <c r="A1130" t="s">
        <v>3460</v>
      </c>
      <c r="B1130" t="b">
        <v>0</v>
      </c>
    </row>
    <row r="1131" spans="1:2" x14ac:dyDescent="0.2">
      <c r="A1131" t="s">
        <v>3461</v>
      </c>
      <c r="B1131" t="b">
        <v>0</v>
      </c>
    </row>
    <row r="1132" spans="1:2" x14ac:dyDescent="0.2">
      <c r="A1132" t="s">
        <v>3462</v>
      </c>
      <c r="B1132" t="b">
        <v>0</v>
      </c>
    </row>
    <row r="1133" spans="1:2" x14ac:dyDescent="0.2">
      <c r="A1133" t="s">
        <v>3463</v>
      </c>
      <c r="B1133" t="b">
        <v>0</v>
      </c>
    </row>
    <row r="1134" spans="1:2" x14ac:dyDescent="0.2">
      <c r="A1134" t="s">
        <v>3464</v>
      </c>
      <c r="B1134" t="b">
        <v>0</v>
      </c>
    </row>
    <row r="1135" spans="1:2" x14ac:dyDescent="0.2">
      <c r="A1135" t="s">
        <v>3465</v>
      </c>
      <c r="B1135" t="s">
        <v>5131</v>
      </c>
    </row>
    <row r="1136" spans="1:2" x14ac:dyDescent="0.2">
      <c r="A1136" t="s">
        <v>3466</v>
      </c>
      <c r="B1136" t="b">
        <v>0</v>
      </c>
    </row>
    <row r="1137" spans="1:2" x14ac:dyDescent="0.2">
      <c r="A1137" t="s">
        <v>3467</v>
      </c>
      <c r="B1137" t="b">
        <v>0</v>
      </c>
    </row>
    <row r="1138" spans="1:2" x14ac:dyDescent="0.2">
      <c r="A1138" t="s">
        <v>3468</v>
      </c>
      <c r="B1138" t="b">
        <v>0</v>
      </c>
    </row>
    <row r="1139" spans="1:2" x14ac:dyDescent="0.2">
      <c r="A1139" t="s">
        <v>3469</v>
      </c>
      <c r="B1139" t="b">
        <v>0</v>
      </c>
    </row>
    <row r="1140" spans="1:2" x14ac:dyDescent="0.2">
      <c r="A1140" t="s">
        <v>3470</v>
      </c>
      <c r="B1140" t="b">
        <v>0</v>
      </c>
    </row>
    <row r="1141" spans="1:2" x14ac:dyDescent="0.2">
      <c r="A1141" t="s">
        <v>3471</v>
      </c>
      <c r="B1141" t="b">
        <v>0</v>
      </c>
    </row>
    <row r="1142" spans="1:2" x14ac:dyDescent="0.2">
      <c r="A1142" t="s">
        <v>3472</v>
      </c>
      <c r="B1142" t="b">
        <v>0</v>
      </c>
    </row>
    <row r="1143" spans="1:2" x14ac:dyDescent="0.2">
      <c r="A1143" t="s">
        <v>3473</v>
      </c>
      <c r="B1143" t="b">
        <v>0</v>
      </c>
    </row>
    <row r="1144" spans="1:2" x14ac:dyDescent="0.2">
      <c r="A1144" t="s">
        <v>3474</v>
      </c>
      <c r="B1144" t="b">
        <v>0</v>
      </c>
    </row>
    <row r="1145" spans="1:2" x14ac:dyDescent="0.2">
      <c r="A1145" t="s">
        <v>3475</v>
      </c>
      <c r="B1145" t="b">
        <v>0</v>
      </c>
    </row>
    <row r="1146" spans="1:2" x14ac:dyDescent="0.2">
      <c r="A1146" t="s">
        <v>3476</v>
      </c>
      <c r="B1146" t="b">
        <v>0</v>
      </c>
    </row>
    <row r="1147" spans="1:2" x14ac:dyDescent="0.2">
      <c r="A1147" t="s">
        <v>3477</v>
      </c>
      <c r="B1147" t="b">
        <v>0</v>
      </c>
    </row>
    <row r="1148" spans="1:2" x14ac:dyDescent="0.2">
      <c r="A1148" t="s">
        <v>3478</v>
      </c>
      <c r="B1148" t="b">
        <v>0</v>
      </c>
    </row>
    <row r="1149" spans="1:2" x14ac:dyDescent="0.2">
      <c r="A1149" t="s">
        <v>3479</v>
      </c>
      <c r="B1149" t="b">
        <v>0</v>
      </c>
    </row>
    <row r="1150" spans="1:2" x14ac:dyDescent="0.2">
      <c r="A1150" t="s">
        <v>3480</v>
      </c>
      <c r="B1150" t="b">
        <v>0</v>
      </c>
    </row>
    <row r="1151" spans="1:2" x14ac:dyDescent="0.2">
      <c r="A1151" t="s">
        <v>3481</v>
      </c>
      <c r="B1151" t="b">
        <v>0</v>
      </c>
    </row>
    <row r="1152" spans="1:2" x14ac:dyDescent="0.2">
      <c r="A1152" t="s">
        <v>3482</v>
      </c>
      <c r="B1152" t="b">
        <v>0</v>
      </c>
    </row>
    <row r="1153" spans="1:2" x14ac:dyDescent="0.2">
      <c r="A1153" t="s">
        <v>3483</v>
      </c>
      <c r="B1153" t="b">
        <v>0</v>
      </c>
    </row>
    <row r="1154" spans="1:2" x14ac:dyDescent="0.2">
      <c r="A1154" t="s">
        <v>3484</v>
      </c>
      <c r="B1154" t="b">
        <v>0</v>
      </c>
    </row>
    <row r="1155" spans="1:2" x14ac:dyDescent="0.2">
      <c r="A1155" t="s">
        <v>3485</v>
      </c>
      <c r="B1155" t="b">
        <v>0</v>
      </c>
    </row>
    <row r="1156" spans="1:2" x14ac:dyDescent="0.2">
      <c r="A1156" t="s">
        <v>3486</v>
      </c>
      <c r="B1156" t="b">
        <v>0</v>
      </c>
    </row>
    <row r="1157" spans="1:2" x14ac:dyDescent="0.2">
      <c r="A1157" t="s">
        <v>3487</v>
      </c>
      <c r="B1157" t="b">
        <v>0</v>
      </c>
    </row>
    <row r="1158" spans="1:2" x14ac:dyDescent="0.2">
      <c r="A1158" t="s">
        <v>3488</v>
      </c>
      <c r="B1158" t="b">
        <v>0</v>
      </c>
    </row>
    <row r="1159" spans="1:2" x14ac:dyDescent="0.2">
      <c r="A1159" t="s">
        <v>3489</v>
      </c>
      <c r="B1159" t="b">
        <v>0</v>
      </c>
    </row>
    <row r="1160" spans="1:2" x14ac:dyDescent="0.2">
      <c r="A1160" t="s">
        <v>3490</v>
      </c>
      <c r="B1160" t="b">
        <v>0</v>
      </c>
    </row>
    <row r="1161" spans="1:2" x14ac:dyDescent="0.2">
      <c r="A1161" t="s">
        <v>3491</v>
      </c>
      <c r="B1161" t="b">
        <v>0</v>
      </c>
    </row>
    <row r="1162" spans="1:2" x14ac:dyDescent="0.2">
      <c r="A1162" t="s">
        <v>3492</v>
      </c>
      <c r="B1162" t="b">
        <v>0</v>
      </c>
    </row>
    <row r="1163" spans="1:2" x14ac:dyDescent="0.2">
      <c r="A1163" t="s">
        <v>3493</v>
      </c>
      <c r="B1163" t="b">
        <v>0</v>
      </c>
    </row>
    <row r="1164" spans="1:2" x14ac:dyDescent="0.2">
      <c r="A1164" t="s">
        <v>3494</v>
      </c>
      <c r="B1164" t="b">
        <v>0</v>
      </c>
    </row>
    <row r="1165" spans="1:2" x14ac:dyDescent="0.2">
      <c r="A1165" t="s">
        <v>3495</v>
      </c>
      <c r="B1165" t="b">
        <v>0</v>
      </c>
    </row>
    <row r="1166" spans="1:2" x14ac:dyDescent="0.2">
      <c r="A1166" t="s">
        <v>3496</v>
      </c>
      <c r="B1166" t="b">
        <v>0</v>
      </c>
    </row>
    <row r="1167" spans="1:2" x14ac:dyDescent="0.2">
      <c r="A1167" t="s">
        <v>3497</v>
      </c>
      <c r="B1167" t="b">
        <v>0</v>
      </c>
    </row>
    <row r="1168" spans="1:2" x14ac:dyDescent="0.2">
      <c r="A1168" t="s">
        <v>3800</v>
      </c>
      <c r="B1168">
        <v>0</v>
      </c>
    </row>
    <row r="1169" spans="1:2" x14ac:dyDescent="0.2">
      <c r="A1169" t="s">
        <v>3801</v>
      </c>
      <c r="B1169">
        <v>0</v>
      </c>
    </row>
    <row r="1170" spans="1:2" x14ac:dyDescent="0.2">
      <c r="A1170" t="s">
        <v>3798</v>
      </c>
      <c r="B1170">
        <v>0</v>
      </c>
    </row>
    <row r="1171" spans="1:2" x14ac:dyDescent="0.2">
      <c r="A1171" t="s">
        <v>3797</v>
      </c>
      <c r="B1171">
        <v>2</v>
      </c>
    </row>
    <row r="1172" spans="1:2" x14ac:dyDescent="0.2">
      <c r="A1172" t="s">
        <v>3799</v>
      </c>
      <c r="B1172">
        <v>0</v>
      </c>
    </row>
    <row r="1173" spans="1:2" x14ac:dyDescent="0.2">
      <c r="A1173" t="s">
        <v>2304</v>
      </c>
      <c r="B1173" t="b">
        <v>0</v>
      </c>
    </row>
    <row r="1174" spans="1:2" x14ac:dyDescent="0.2">
      <c r="A1174" t="s">
        <v>2305</v>
      </c>
      <c r="B1174" t="b">
        <v>0</v>
      </c>
    </row>
    <row r="1175" spans="1:2" x14ac:dyDescent="0.2">
      <c r="A1175" t="s">
        <v>2306</v>
      </c>
      <c r="B1175" t="b">
        <v>0</v>
      </c>
    </row>
    <row r="1176" spans="1:2" x14ac:dyDescent="0.2">
      <c r="A1176" t="s">
        <v>2307</v>
      </c>
      <c r="B1176" t="b">
        <v>0</v>
      </c>
    </row>
    <row r="1177" spans="1:2" x14ac:dyDescent="0.2">
      <c r="A1177" t="s">
        <v>2308</v>
      </c>
      <c r="B1177" t="b">
        <v>0</v>
      </c>
    </row>
    <row r="1178" spans="1:2" x14ac:dyDescent="0.2">
      <c r="A1178" t="s">
        <v>2309</v>
      </c>
      <c r="B1178" t="b">
        <v>0</v>
      </c>
    </row>
    <row r="1179" spans="1:2" x14ac:dyDescent="0.2">
      <c r="A1179" t="s">
        <v>2310</v>
      </c>
      <c r="B1179" t="b">
        <v>0</v>
      </c>
    </row>
    <row r="1180" spans="1:2" x14ac:dyDescent="0.2">
      <c r="A1180" t="s">
        <v>2311</v>
      </c>
      <c r="B1180" t="b">
        <v>0</v>
      </c>
    </row>
    <row r="1181" spans="1:2" x14ac:dyDescent="0.2">
      <c r="A1181" t="s">
        <v>2312</v>
      </c>
      <c r="B1181" t="b">
        <v>0</v>
      </c>
    </row>
    <row r="1182" spans="1:2" x14ac:dyDescent="0.2">
      <c r="A1182" t="s">
        <v>2313</v>
      </c>
      <c r="B1182" t="b">
        <v>0</v>
      </c>
    </row>
    <row r="1183" spans="1:2" x14ac:dyDescent="0.2">
      <c r="A1183" t="s">
        <v>2314</v>
      </c>
      <c r="B1183" t="b">
        <v>0</v>
      </c>
    </row>
    <row r="1184" spans="1:2" x14ac:dyDescent="0.2">
      <c r="A1184" t="s">
        <v>2315</v>
      </c>
      <c r="B1184" t="b">
        <v>0</v>
      </c>
    </row>
    <row r="1185" spans="1:2" x14ac:dyDescent="0.2">
      <c r="A1185" t="s">
        <v>2316</v>
      </c>
      <c r="B1185" t="b">
        <v>0</v>
      </c>
    </row>
    <row r="1186" spans="1:2" x14ac:dyDescent="0.2">
      <c r="A1186" t="s">
        <v>2317</v>
      </c>
      <c r="B1186" t="b">
        <v>0</v>
      </c>
    </row>
    <row r="1187" spans="1:2" x14ac:dyDescent="0.2">
      <c r="A1187" t="s">
        <v>2318</v>
      </c>
      <c r="B1187" t="b">
        <v>0</v>
      </c>
    </row>
    <row r="1188" spans="1:2" x14ac:dyDescent="0.2">
      <c r="A1188" t="s">
        <v>2319</v>
      </c>
      <c r="B1188" t="b">
        <v>0</v>
      </c>
    </row>
    <row r="1189" spans="1:2" x14ac:dyDescent="0.2">
      <c r="A1189" t="s">
        <v>2320</v>
      </c>
      <c r="B1189" t="b">
        <v>0</v>
      </c>
    </row>
    <row r="1190" spans="1:2" x14ac:dyDescent="0.2">
      <c r="A1190" t="s">
        <v>2321</v>
      </c>
      <c r="B1190" t="b">
        <v>0</v>
      </c>
    </row>
    <row r="1191" spans="1:2" x14ac:dyDescent="0.2">
      <c r="A1191" t="s">
        <v>2322</v>
      </c>
      <c r="B1191" t="b">
        <v>0</v>
      </c>
    </row>
    <row r="1192" spans="1:2" x14ac:dyDescent="0.2">
      <c r="A1192" t="s">
        <v>2323</v>
      </c>
      <c r="B1192" t="b">
        <v>0</v>
      </c>
    </row>
    <row r="1193" spans="1:2" x14ac:dyDescent="0.2">
      <c r="A1193" t="s">
        <v>2324</v>
      </c>
      <c r="B1193" t="b">
        <v>0</v>
      </c>
    </row>
    <row r="1194" spans="1:2" x14ac:dyDescent="0.2">
      <c r="A1194" t="s">
        <v>2325</v>
      </c>
      <c r="B1194" t="b">
        <v>0</v>
      </c>
    </row>
    <row r="1195" spans="1:2" x14ac:dyDescent="0.2">
      <c r="A1195" t="s">
        <v>2326</v>
      </c>
      <c r="B1195" t="b">
        <v>0</v>
      </c>
    </row>
    <row r="1196" spans="1:2" x14ac:dyDescent="0.2">
      <c r="A1196" t="s">
        <v>2327</v>
      </c>
      <c r="B1196" t="b">
        <v>0</v>
      </c>
    </row>
    <row r="1197" spans="1:2" x14ac:dyDescent="0.2">
      <c r="A1197" t="s">
        <v>2328</v>
      </c>
      <c r="B1197" t="b">
        <v>0</v>
      </c>
    </row>
    <row r="1198" spans="1:2" x14ac:dyDescent="0.2">
      <c r="A1198" t="s">
        <v>2329</v>
      </c>
      <c r="B1198" t="b">
        <v>0</v>
      </c>
    </row>
    <row r="1199" spans="1:2" x14ac:dyDescent="0.2">
      <c r="A1199" t="s">
        <v>2330</v>
      </c>
      <c r="B1199" t="b">
        <v>0</v>
      </c>
    </row>
    <row r="1200" spans="1:2" x14ac:dyDescent="0.2">
      <c r="A1200" t="s">
        <v>2331</v>
      </c>
      <c r="B1200" t="b">
        <v>0</v>
      </c>
    </row>
    <row r="1201" spans="1:2" x14ac:dyDescent="0.2">
      <c r="A1201" t="s">
        <v>2332</v>
      </c>
      <c r="B1201" t="b">
        <v>0</v>
      </c>
    </row>
    <row r="1202" spans="1:2" x14ac:dyDescent="0.2">
      <c r="A1202" t="s">
        <v>2333</v>
      </c>
      <c r="B1202" t="b">
        <v>0</v>
      </c>
    </row>
    <row r="1203" spans="1:2" x14ac:dyDescent="0.2">
      <c r="A1203" t="s">
        <v>2334</v>
      </c>
      <c r="B1203" t="b">
        <v>0</v>
      </c>
    </row>
    <row r="1204" spans="1:2" x14ac:dyDescent="0.2">
      <c r="A1204" t="s">
        <v>2335</v>
      </c>
      <c r="B1204" t="b">
        <v>0</v>
      </c>
    </row>
    <row r="1205" spans="1:2" x14ac:dyDescent="0.2">
      <c r="A1205" t="s">
        <v>2336</v>
      </c>
      <c r="B1205" t="b">
        <v>0</v>
      </c>
    </row>
    <row r="1206" spans="1:2" x14ac:dyDescent="0.2">
      <c r="A1206" t="s">
        <v>2337</v>
      </c>
      <c r="B1206" t="b">
        <v>0</v>
      </c>
    </row>
    <row r="1207" spans="1:2" x14ac:dyDescent="0.2">
      <c r="A1207" t="s">
        <v>2338</v>
      </c>
      <c r="B1207" t="b">
        <v>0</v>
      </c>
    </row>
    <row r="1208" spans="1:2" x14ac:dyDescent="0.2">
      <c r="A1208" t="s">
        <v>2339</v>
      </c>
      <c r="B1208" t="b">
        <v>0</v>
      </c>
    </row>
    <row r="1209" spans="1:2" x14ac:dyDescent="0.2">
      <c r="A1209" t="s">
        <v>2340</v>
      </c>
      <c r="B1209" t="b">
        <v>0</v>
      </c>
    </row>
    <row r="1210" spans="1:2" x14ac:dyDescent="0.2">
      <c r="A1210" t="s">
        <v>2341</v>
      </c>
      <c r="B1210" t="b">
        <v>0</v>
      </c>
    </row>
    <row r="1211" spans="1:2" x14ac:dyDescent="0.2">
      <c r="A1211" t="s">
        <v>2342</v>
      </c>
      <c r="B1211" t="b">
        <v>0</v>
      </c>
    </row>
    <row r="1212" spans="1:2" x14ac:dyDescent="0.2">
      <c r="A1212" t="s">
        <v>2343</v>
      </c>
      <c r="B1212" t="b">
        <v>0</v>
      </c>
    </row>
    <row r="1213" spans="1:2" x14ac:dyDescent="0.2">
      <c r="A1213" t="s">
        <v>2344</v>
      </c>
      <c r="B1213" t="b">
        <v>0</v>
      </c>
    </row>
    <row r="1214" spans="1:2" x14ac:dyDescent="0.2">
      <c r="A1214" t="s">
        <v>2345</v>
      </c>
      <c r="B1214" t="b">
        <v>0</v>
      </c>
    </row>
    <row r="1215" spans="1:2" x14ac:dyDescent="0.2">
      <c r="A1215" t="s">
        <v>2346</v>
      </c>
      <c r="B1215">
        <v>0</v>
      </c>
    </row>
    <row r="1216" spans="1:2" x14ac:dyDescent="0.2">
      <c r="A1216" t="s">
        <v>2347</v>
      </c>
      <c r="B1216">
        <v>0</v>
      </c>
    </row>
    <row r="1217" spans="1:2" x14ac:dyDescent="0.2">
      <c r="A1217" t="s">
        <v>2348</v>
      </c>
      <c r="B1217">
        <v>0</v>
      </c>
    </row>
    <row r="1218" spans="1:2" x14ac:dyDescent="0.2">
      <c r="A1218" t="s">
        <v>2349</v>
      </c>
      <c r="B1218">
        <v>0</v>
      </c>
    </row>
    <row r="1219" spans="1:2" x14ac:dyDescent="0.2">
      <c r="A1219" t="s">
        <v>2350</v>
      </c>
      <c r="B1219">
        <v>0</v>
      </c>
    </row>
    <row r="1220" spans="1:2" x14ac:dyDescent="0.2">
      <c r="A1220" t="s">
        <v>2351</v>
      </c>
      <c r="B1220">
        <v>0</v>
      </c>
    </row>
    <row r="1221" spans="1:2" x14ac:dyDescent="0.2">
      <c r="A1221" t="s">
        <v>2352</v>
      </c>
      <c r="B1221">
        <v>0</v>
      </c>
    </row>
    <row r="1222" spans="1:2" x14ac:dyDescent="0.2">
      <c r="A1222" t="s">
        <v>2353</v>
      </c>
      <c r="B1222">
        <v>0</v>
      </c>
    </row>
    <row r="1223" spans="1:2" x14ac:dyDescent="0.2">
      <c r="A1223" t="s">
        <v>2354</v>
      </c>
      <c r="B1223">
        <v>0</v>
      </c>
    </row>
    <row r="1224" spans="1:2" x14ac:dyDescent="0.2">
      <c r="A1224" t="s">
        <v>2355</v>
      </c>
      <c r="B1224" t="s">
        <v>5131</v>
      </c>
    </row>
    <row r="1225" spans="1:2" x14ac:dyDescent="0.2">
      <c r="A1225" t="s">
        <v>2356</v>
      </c>
      <c r="B1225">
        <v>0</v>
      </c>
    </row>
    <row r="1226" spans="1:2" x14ac:dyDescent="0.2">
      <c r="A1226" t="s">
        <v>2357</v>
      </c>
      <c r="B1226">
        <v>1</v>
      </c>
    </row>
    <row r="1227" spans="1:2" x14ac:dyDescent="0.2">
      <c r="A1227" t="s">
        <v>2358</v>
      </c>
      <c r="B1227">
        <v>1</v>
      </c>
    </row>
    <row r="1228" spans="1:2" x14ac:dyDescent="0.2">
      <c r="A1228" t="s">
        <v>2359</v>
      </c>
      <c r="B1228">
        <v>1</v>
      </c>
    </row>
    <row r="1229" spans="1:2" x14ac:dyDescent="0.2">
      <c r="A1229" t="s">
        <v>2360</v>
      </c>
      <c r="B1229">
        <v>1</v>
      </c>
    </row>
    <row r="1230" spans="1:2" x14ac:dyDescent="0.2">
      <c r="A1230" t="s">
        <v>2361</v>
      </c>
      <c r="B1230">
        <v>1</v>
      </c>
    </row>
    <row r="1231" spans="1:2" x14ac:dyDescent="0.2">
      <c r="A1231" t="s">
        <v>2362</v>
      </c>
      <c r="B1231">
        <v>1</v>
      </c>
    </row>
    <row r="1232" spans="1:2" x14ac:dyDescent="0.2">
      <c r="A1232" t="s">
        <v>2363</v>
      </c>
      <c r="B1232">
        <v>1</v>
      </c>
    </row>
    <row r="1233" spans="1:2" x14ac:dyDescent="0.2">
      <c r="A1233" t="s">
        <v>2364</v>
      </c>
      <c r="B1233">
        <v>1</v>
      </c>
    </row>
    <row r="1234" spans="1:2" x14ac:dyDescent="0.2">
      <c r="A1234" t="s">
        <v>2365</v>
      </c>
      <c r="B1234">
        <v>1</v>
      </c>
    </row>
    <row r="1235" spans="1:2" x14ac:dyDescent="0.2">
      <c r="A1235" t="s">
        <v>2366</v>
      </c>
      <c r="B1235">
        <v>1</v>
      </c>
    </row>
    <row r="1236" spans="1:2" x14ac:dyDescent="0.2">
      <c r="A1236" t="s">
        <v>3498</v>
      </c>
      <c r="B1236" t="s">
        <v>5131</v>
      </c>
    </row>
    <row r="1237" spans="1:2" x14ac:dyDescent="0.2">
      <c r="A1237" t="s">
        <v>2367</v>
      </c>
      <c r="B1237" t="s">
        <v>5131</v>
      </c>
    </row>
    <row r="1238" spans="1:2" x14ac:dyDescent="0.2">
      <c r="A1238" t="s">
        <v>2368</v>
      </c>
      <c r="B1238">
        <v>0</v>
      </c>
    </row>
    <row r="1239" spans="1:2" x14ac:dyDescent="0.2">
      <c r="A1239" t="s">
        <v>2183</v>
      </c>
      <c r="B1239" t="s">
        <v>5131</v>
      </c>
    </row>
    <row r="1240" spans="1:2" x14ac:dyDescent="0.2">
      <c r="A1240" t="s">
        <v>3499</v>
      </c>
      <c r="B1240">
        <v>1</v>
      </c>
    </row>
    <row r="1241" spans="1:2" x14ac:dyDescent="0.2">
      <c r="A1241" t="s">
        <v>3500</v>
      </c>
      <c r="B1241">
        <v>1</v>
      </c>
    </row>
    <row r="1242" spans="1:2" x14ac:dyDescent="0.2">
      <c r="A1242" t="s">
        <v>3501</v>
      </c>
      <c r="B1242">
        <v>1</v>
      </c>
    </row>
    <row r="1243" spans="1:2" x14ac:dyDescent="0.2">
      <c r="A1243" t="s">
        <v>3502</v>
      </c>
      <c r="B1243">
        <v>1</v>
      </c>
    </row>
    <row r="1244" spans="1:2" x14ac:dyDescent="0.2">
      <c r="A1244" t="s">
        <v>3503</v>
      </c>
      <c r="B1244">
        <v>1</v>
      </c>
    </row>
    <row r="1245" spans="1:2" x14ac:dyDescent="0.2">
      <c r="A1245" t="s">
        <v>3504</v>
      </c>
      <c r="B1245">
        <v>1</v>
      </c>
    </row>
    <row r="1246" spans="1:2" x14ac:dyDescent="0.2">
      <c r="A1246" t="s">
        <v>3505</v>
      </c>
      <c r="B1246">
        <v>1</v>
      </c>
    </row>
    <row r="1247" spans="1:2" x14ac:dyDescent="0.2">
      <c r="A1247" t="s">
        <v>3506</v>
      </c>
      <c r="B1247">
        <v>1</v>
      </c>
    </row>
    <row r="1248" spans="1:2" x14ac:dyDescent="0.2">
      <c r="A1248" t="s">
        <v>3507</v>
      </c>
      <c r="B1248" t="s">
        <v>5131</v>
      </c>
    </row>
    <row r="1249" spans="1:2" x14ac:dyDescent="0.2">
      <c r="A1249" t="s">
        <v>3508</v>
      </c>
      <c r="B1249">
        <v>1</v>
      </c>
    </row>
    <row r="1250" spans="1:2" x14ac:dyDescent="0.2">
      <c r="A1250" t="s">
        <v>3509</v>
      </c>
      <c r="B1250">
        <v>0</v>
      </c>
    </row>
    <row r="1251" spans="1:2" x14ac:dyDescent="0.2">
      <c r="A1251" t="s">
        <v>3510</v>
      </c>
      <c r="B1251">
        <v>0</v>
      </c>
    </row>
    <row r="1252" spans="1:2" x14ac:dyDescent="0.2">
      <c r="A1252" t="s">
        <v>3511</v>
      </c>
      <c r="B1252">
        <v>0</v>
      </c>
    </row>
    <row r="1253" spans="1:2" x14ac:dyDescent="0.2">
      <c r="A1253" t="s">
        <v>3512</v>
      </c>
      <c r="B1253">
        <v>0</v>
      </c>
    </row>
    <row r="1254" spans="1:2" x14ac:dyDescent="0.2">
      <c r="A1254" t="s">
        <v>3513</v>
      </c>
      <c r="B1254">
        <v>0</v>
      </c>
    </row>
    <row r="1255" spans="1:2" x14ac:dyDescent="0.2">
      <c r="A1255" t="s">
        <v>3514</v>
      </c>
      <c r="B1255">
        <v>0</v>
      </c>
    </row>
    <row r="1256" spans="1:2" x14ac:dyDescent="0.2">
      <c r="A1256" t="s">
        <v>3515</v>
      </c>
      <c r="B1256">
        <v>0</v>
      </c>
    </row>
    <row r="1257" spans="1:2" x14ac:dyDescent="0.2">
      <c r="A1257" t="s">
        <v>3516</v>
      </c>
      <c r="B1257">
        <v>0</v>
      </c>
    </row>
    <row r="1258" spans="1:2" x14ac:dyDescent="0.2">
      <c r="A1258" t="s">
        <v>3517</v>
      </c>
      <c r="B1258">
        <v>0</v>
      </c>
    </row>
    <row r="1259" spans="1:2" x14ac:dyDescent="0.2">
      <c r="A1259" t="s">
        <v>3518</v>
      </c>
      <c r="B1259">
        <v>0</v>
      </c>
    </row>
    <row r="1260" spans="1:2" x14ac:dyDescent="0.2">
      <c r="A1260" t="s">
        <v>3519</v>
      </c>
      <c r="B1260">
        <v>0</v>
      </c>
    </row>
    <row r="1261" spans="1:2" x14ac:dyDescent="0.2">
      <c r="A1261" t="s">
        <v>3520</v>
      </c>
      <c r="B1261">
        <v>0</v>
      </c>
    </row>
    <row r="1262" spans="1:2" x14ac:dyDescent="0.2">
      <c r="A1262" t="s">
        <v>3521</v>
      </c>
      <c r="B1262">
        <v>0</v>
      </c>
    </row>
    <row r="1263" spans="1:2" x14ac:dyDescent="0.2">
      <c r="A1263" t="s">
        <v>3522</v>
      </c>
      <c r="B1263">
        <v>0</v>
      </c>
    </row>
    <row r="1264" spans="1:2" x14ac:dyDescent="0.2">
      <c r="A1264" t="s">
        <v>3523</v>
      </c>
      <c r="B1264">
        <v>0</v>
      </c>
    </row>
    <row r="1265" spans="1:2" x14ac:dyDescent="0.2">
      <c r="A1265" t="s">
        <v>3524</v>
      </c>
      <c r="B1265">
        <v>0</v>
      </c>
    </row>
    <row r="1266" spans="1:2" x14ac:dyDescent="0.2">
      <c r="A1266" t="s">
        <v>1212</v>
      </c>
      <c r="B1266">
        <v>1</v>
      </c>
    </row>
    <row r="1267" spans="1:2" x14ac:dyDescent="0.2">
      <c r="A1267" t="s">
        <v>1213</v>
      </c>
      <c r="B1267">
        <v>1</v>
      </c>
    </row>
    <row r="1268" spans="1:2" x14ac:dyDescent="0.2">
      <c r="A1268" t="s">
        <v>1214</v>
      </c>
      <c r="B1268">
        <v>1</v>
      </c>
    </row>
    <row r="1269" spans="1:2" x14ac:dyDescent="0.2">
      <c r="A1269" t="s">
        <v>1215</v>
      </c>
      <c r="B1269">
        <v>1</v>
      </c>
    </row>
    <row r="1270" spans="1:2" x14ac:dyDescent="0.2">
      <c r="A1270" t="s">
        <v>1216</v>
      </c>
      <c r="B1270">
        <v>1</v>
      </c>
    </row>
    <row r="1271" spans="1:2" x14ac:dyDescent="0.2">
      <c r="A1271" t="s">
        <v>1217</v>
      </c>
      <c r="B1271">
        <v>1</v>
      </c>
    </row>
    <row r="1272" spans="1:2" x14ac:dyDescent="0.2">
      <c r="A1272" t="s">
        <v>3525</v>
      </c>
      <c r="B1272" t="s">
        <v>5131</v>
      </c>
    </row>
    <row r="1273" spans="1:2" x14ac:dyDescent="0.2">
      <c r="A1273" t="s">
        <v>3526</v>
      </c>
      <c r="B1273" t="b">
        <v>0</v>
      </c>
    </row>
    <row r="1274" spans="1:2" x14ac:dyDescent="0.2">
      <c r="A1274" t="s">
        <v>3527</v>
      </c>
      <c r="B1274" t="b">
        <v>0</v>
      </c>
    </row>
    <row r="1275" spans="1:2" x14ac:dyDescent="0.2">
      <c r="A1275" t="s">
        <v>3528</v>
      </c>
      <c r="B1275" t="b">
        <v>0</v>
      </c>
    </row>
    <row r="1276" spans="1:2" x14ac:dyDescent="0.2">
      <c r="A1276" t="s">
        <v>3529</v>
      </c>
      <c r="B1276" t="b">
        <v>0</v>
      </c>
    </row>
    <row r="1277" spans="1:2" x14ac:dyDescent="0.2">
      <c r="A1277" t="s">
        <v>3530</v>
      </c>
      <c r="B1277" t="b">
        <v>0</v>
      </c>
    </row>
    <row r="1278" spans="1:2" x14ac:dyDescent="0.2">
      <c r="A1278" t="s">
        <v>3531</v>
      </c>
      <c r="B1278" t="b">
        <v>0</v>
      </c>
    </row>
    <row r="1279" spans="1:2" x14ac:dyDescent="0.2">
      <c r="A1279" t="s">
        <v>3532</v>
      </c>
      <c r="B1279" t="b">
        <v>0</v>
      </c>
    </row>
    <row r="1280" spans="1:2" x14ac:dyDescent="0.2">
      <c r="A1280" t="s">
        <v>3533</v>
      </c>
      <c r="B1280" t="b">
        <v>0</v>
      </c>
    </row>
    <row r="1281" spans="1:2" x14ac:dyDescent="0.2">
      <c r="A1281" t="s">
        <v>3534</v>
      </c>
      <c r="B1281" t="b">
        <v>0</v>
      </c>
    </row>
    <row r="1282" spans="1:2" x14ac:dyDescent="0.2">
      <c r="A1282" t="s">
        <v>3535</v>
      </c>
      <c r="B1282" t="b">
        <v>0</v>
      </c>
    </row>
    <row r="1283" spans="1:2" x14ac:dyDescent="0.2">
      <c r="A1283" t="s">
        <v>3536</v>
      </c>
      <c r="B1283" t="b">
        <v>0</v>
      </c>
    </row>
    <row r="1284" spans="1:2" x14ac:dyDescent="0.2">
      <c r="A1284" t="s">
        <v>3537</v>
      </c>
      <c r="B1284" t="b">
        <v>0</v>
      </c>
    </row>
    <row r="1285" spans="1:2" x14ac:dyDescent="0.2">
      <c r="A1285" t="s">
        <v>3538</v>
      </c>
      <c r="B1285" t="b">
        <v>0</v>
      </c>
    </row>
    <row r="1286" spans="1:2" x14ac:dyDescent="0.2">
      <c r="A1286" t="s">
        <v>3539</v>
      </c>
      <c r="B1286" t="b">
        <v>0</v>
      </c>
    </row>
    <row r="1287" spans="1:2" x14ac:dyDescent="0.2">
      <c r="A1287" t="s">
        <v>3540</v>
      </c>
      <c r="B1287" t="b">
        <v>0</v>
      </c>
    </row>
    <row r="1288" spans="1:2" x14ac:dyDescent="0.2">
      <c r="A1288" t="s">
        <v>3541</v>
      </c>
      <c r="B1288" t="b">
        <v>0</v>
      </c>
    </row>
    <row r="1289" spans="1:2" x14ac:dyDescent="0.2">
      <c r="A1289" t="s">
        <v>3542</v>
      </c>
      <c r="B1289" t="b">
        <v>0</v>
      </c>
    </row>
    <row r="1290" spans="1:2" x14ac:dyDescent="0.2">
      <c r="A1290" t="s">
        <v>3543</v>
      </c>
      <c r="B1290" t="b">
        <v>0</v>
      </c>
    </row>
    <row r="1291" spans="1:2" x14ac:dyDescent="0.2">
      <c r="A1291" t="s">
        <v>3544</v>
      </c>
      <c r="B1291" t="b">
        <v>0</v>
      </c>
    </row>
    <row r="1292" spans="1:2" x14ac:dyDescent="0.2">
      <c r="A1292" t="s">
        <v>3545</v>
      </c>
      <c r="B1292" t="b">
        <v>0</v>
      </c>
    </row>
    <row r="1293" spans="1:2" x14ac:dyDescent="0.2">
      <c r="A1293" t="s">
        <v>3546</v>
      </c>
      <c r="B1293" t="b">
        <v>0</v>
      </c>
    </row>
    <row r="1294" spans="1:2" x14ac:dyDescent="0.2">
      <c r="A1294" t="s">
        <v>3547</v>
      </c>
      <c r="B1294" t="b">
        <v>0</v>
      </c>
    </row>
    <row r="1295" spans="1:2" x14ac:dyDescent="0.2">
      <c r="A1295" t="s">
        <v>3548</v>
      </c>
      <c r="B1295" t="b">
        <v>0</v>
      </c>
    </row>
    <row r="1296" spans="1:2" x14ac:dyDescent="0.2">
      <c r="A1296" t="s">
        <v>3549</v>
      </c>
      <c r="B1296" t="b">
        <v>0</v>
      </c>
    </row>
    <row r="1297" spans="1:2" x14ac:dyDescent="0.2">
      <c r="A1297" t="s">
        <v>3550</v>
      </c>
      <c r="B1297" t="b">
        <v>0</v>
      </c>
    </row>
    <row r="1298" spans="1:2" x14ac:dyDescent="0.2">
      <c r="A1298" t="s">
        <v>3551</v>
      </c>
      <c r="B1298" t="b">
        <v>0</v>
      </c>
    </row>
    <row r="1299" spans="1:2" x14ac:dyDescent="0.2">
      <c r="A1299" t="s">
        <v>3552</v>
      </c>
      <c r="B1299" t="b">
        <v>0</v>
      </c>
    </row>
    <row r="1300" spans="1:2" x14ac:dyDescent="0.2">
      <c r="A1300" t="s">
        <v>3553</v>
      </c>
      <c r="B1300" t="b">
        <v>0</v>
      </c>
    </row>
    <row r="1301" spans="1:2" x14ac:dyDescent="0.2">
      <c r="A1301" t="s">
        <v>3554</v>
      </c>
      <c r="B1301" t="b">
        <v>0</v>
      </c>
    </row>
    <row r="1302" spans="1:2" x14ac:dyDescent="0.2">
      <c r="A1302" t="s">
        <v>3555</v>
      </c>
      <c r="B1302" t="b">
        <v>0</v>
      </c>
    </row>
    <row r="1303" spans="1:2" x14ac:dyDescent="0.2">
      <c r="A1303" t="s">
        <v>3556</v>
      </c>
      <c r="B1303" t="b">
        <v>0</v>
      </c>
    </row>
    <row r="1304" spans="1:2" x14ac:dyDescent="0.2">
      <c r="A1304" t="s">
        <v>3557</v>
      </c>
      <c r="B1304" t="b">
        <v>0</v>
      </c>
    </row>
    <row r="1305" spans="1:2" x14ac:dyDescent="0.2">
      <c r="A1305" t="s">
        <v>3558</v>
      </c>
      <c r="B1305" t="b">
        <v>0</v>
      </c>
    </row>
    <row r="1306" spans="1:2" x14ac:dyDescent="0.2">
      <c r="A1306" t="s">
        <v>3559</v>
      </c>
      <c r="B1306" t="b">
        <v>0</v>
      </c>
    </row>
    <row r="1307" spans="1:2" x14ac:dyDescent="0.2">
      <c r="A1307" t="s">
        <v>3560</v>
      </c>
      <c r="B1307" t="b">
        <v>0</v>
      </c>
    </row>
    <row r="1308" spans="1:2" x14ac:dyDescent="0.2">
      <c r="A1308" t="s">
        <v>3561</v>
      </c>
      <c r="B1308" t="b">
        <v>0</v>
      </c>
    </row>
    <row r="1309" spans="1:2" x14ac:dyDescent="0.2">
      <c r="A1309" t="s">
        <v>3562</v>
      </c>
      <c r="B1309" t="b">
        <v>0</v>
      </c>
    </row>
    <row r="1310" spans="1:2" x14ac:dyDescent="0.2">
      <c r="A1310" t="s">
        <v>3563</v>
      </c>
      <c r="B1310" t="b">
        <v>0</v>
      </c>
    </row>
    <row r="1311" spans="1:2" x14ac:dyDescent="0.2">
      <c r="A1311" t="s">
        <v>3564</v>
      </c>
      <c r="B1311" t="b">
        <v>0</v>
      </c>
    </row>
    <row r="1312" spans="1:2" x14ac:dyDescent="0.2">
      <c r="A1312" t="s">
        <v>3565</v>
      </c>
      <c r="B1312" t="b">
        <v>0</v>
      </c>
    </row>
    <row r="1313" spans="1:2" x14ac:dyDescent="0.2">
      <c r="A1313" t="s">
        <v>3566</v>
      </c>
      <c r="B1313" t="b">
        <v>0</v>
      </c>
    </row>
    <row r="1314" spans="1:2" x14ac:dyDescent="0.2">
      <c r="A1314" t="s">
        <v>3567</v>
      </c>
      <c r="B1314" t="b">
        <v>0</v>
      </c>
    </row>
    <row r="1315" spans="1:2" x14ac:dyDescent="0.2">
      <c r="A1315" t="s">
        <v>3568</v>
      </c>
      <c r="B1315" t="b">
        <v>0</v>
      </c>
    </row>
    <row r="1316" spans="1:2" x14ac:dyDescent="0.2">
      <c r="A1316" t="s">
        <v>3569</v>
      </c>
      <c r="B1316" t="b">
        <v>0</v>
      </c>
    </row>
    <row r="1317" spans="1:2" x14ac:dyDescent="0.2">
      <c r="A1317" t="s">
        <v>3570</v>
      </c>
      <c r="B1317" t="b">
        <v>0</v>
      </c>
    </row>
    <row r="1318" spans="1:2" x14ac:dyDescent="0.2">
      <c r="A1318" t="s">
        <v>3571</v>
      </c>
      <c r="B1318" t="b">
        <v>0</v>
      </c>
    </row>
    <row r="1319" spans="1:2" x14ac:dyDescent="0.2">
      <c r="A1319" t="s">
        <v>3572</v>
      </c>
      <c r="B1319" t="b">
        <v>0</v>
      </c>
    </row>
    <row r="1320" spans="1:2" x14ac:dyDescent="0.2">
      <c r="A1320" t="s">
        <v>3573</v>
      </c>
      <c r="B1320" t="b">
        <v>0</v>
      </c>
    </row>
    <row r="1321" spans="1:2" x14ac:dyDescent="0.2">
      <c r="A1321" t="s">
        <v>3574</v>
      </c>
      <c r="B1321" t="b">
        <v>0</v>
      </c>
    </row>
    <row r="1322" spans="1:2" x14ac:dyDescent="0.2">
      <c r="A1322" t="s">
        <v>3575</v>
      </c>
      <c r="B1322" t="b">
        <v>0</v>
      </c>
    </row>
    <row r="1323" spans="1:2" x14ac:dyDescent="0.2">
      <c r="A1323" t="s">
        <v>3576</v>
      </c>
      <c r="B1323" t="b">
        <v>0</v>
      </c>
    </row>
    <row r="1324" spans="1:2" x14ac:dyDescent="0.2">
      <c r="A1324" t="s">
        <v>3577</v>
      </c>
      <c r="B1324" t="b">
        <v>0</v>
      </c>
    </row>
    <row r="1325" spans="1:2" x14ac:dyDescent="0.2">
      <c r="A1325" t="s">
        <v>3578</v>
      </c>
      <c r="B1325" t="b">
        <v>0</v>
      </c>
    </row>
    <row r="1326" spans="1:2" x14ac:dyDescent="0.2">
      <c r="A1326" t="s">
        <v>3579</v>
      </c>
      <c r="B1326" t="b">
        <v>0</v>
      </c>
    </row>
    <row r="1327" spans="1:2" x14ac:dyDescent="0.2">
      <c r="A1327" t="s">
        <v>3580</v>
      </c>
      <c r="B1327" t="b">
        <v>0</v>
      </c>
    </row>
    <row r="1328" spans="1:2" x14ac:dyDescent="0.2">
      <c r="A1328" t="s">
        <v>3581</v>
      </c>
      <c r="B1328" t="b">
        <v>0</v>
      </c>
    </row>
    <row r="1329" spans="1:2" x14ac:dyDescent="0.2">
      <c r="A1329" t="s">
        <v>3582</v>
      </c>
      <c r="B1329" t="b">
        <v>0</v>
      </c>
    </row>
    <row r="1330" spans="1:2" x14ac:dyDescent="0.2">
      <c r="A1330" t="s">
        <v>3583</v>
      </c>
      <c r="B1330" t="b">
        <v>0</v>
      </c>
    </row>
    <row r="1331" spans="1:2" x14ac:dyDescent="0.2">
      <c r="A1331" t="s">
        <v>3584</v>
      </c>
      <c r="B1331" t="b">
        <v>0</v>
      </c>
    </row>
    <row r="1332" spans="1:2" x14ac:dyDescent="0.2">
      <c r="A1332" t="s">
        <v>3585</v>
      </c>
      <c r="B1332" t="b">
        <v>0</v>
      </c>
    </row>
    <row r="1333" spans="1:2" x14ac:dyDescent="0.2">
      <c r="A1333" t="s">
        <v>3586</v>
      </c>
      <c r="B1333" t="b">
        <v>0</v>
      </c>
    </row>
    <row r="1334" spans="1:2" x14ac:dyDescent="0.2">
      <c r="A1334" t="s">
        <v>3587</v>
      </c>
      <c r="B1334" t="b">
        <v>0</v>
      </c>
    </row>
    <row r="1335" spans="1:2" x14ac:dyDescent="0.2">
      <c r="A1335" t="s">
        <v>3588</v>
      </c>
      <c r="B1335" t="b">
        <v>0</v>
      </c>
    </row>
    <row r="1336" spans="1:2" x14ac:dyDescent="0.2">
      <c r="A1336" t="s">
        <v>3589</v>
      </c>
      <c r="B1336" t="b">
        <v>0</v>
      </c>
    </row>
    <row r="1337" spans="1:2" x14ac:dyDescent="0.2">
      <c r="A1337" t="s">
        <v>3590</v>
      </c>
      <c r="B1337" t="b">
        <v>0</v>
      </c>
    </row>
    <row r="1338" spans="1:2" x14ac:dyDescent="0.2">
      <c r="A1338" t="s">
        <v>3591</v>
      </c>
      <c r="B1338" t="b">
        <v>0</v>
      </c>
    </row>
    <row r="1339" spans="1:2" x14ac:dyDescent="0.2">
      <c r="A1339" t="s">
        <v>3592</v>
      </c>
      <c r="B1339" t="b">
        <v>0</v>
      </c>
    </row>
    <row r="1340" spans="1:2" x14ac:dyDescent="0.2">
      <c r="A1340" t="s">
        <v>3593</v>
      </c>
      <c r="B1340" t="b">
        <v>0</v>
      </c>
    </row>
    <row r="1341" spans="1:2" x14ac:dyDescent="0.2">
      <c r="A1341" t="s">
        <v>3594</v>
      </c>
      <c r="B1341" t="b">
        <v>0</v>
      </c>
    </row>
    <row r="1342" spans="1:2" x14ac:dyDescent="0.2">
      <c r="A1342" t="s">
        <v>3595</v>
      </c>
      <c r="B1342" t="b">
        <v>0</v>
      </c>
    </row>
    <row r="1343" spans="1:2" x14ac:dyDescent="0.2">
      <c r="A1343" t="s">
        <v>3596</v>
      </c>
      <c r="B1343" t="b">
        <v>0</v>
      </c>
    </row>
    <row r="1344" spans="1:2" x14ac:dyDescent="0.2">
      <c r="A1344" t="s">
        <v>3597</v>
      </c>
      <c r="B1344" t="b">
        <v>0</v>
      </c>
    </row>
    <row r="1345" spans="1:2" x14ac:dyDescent="0.2">
      <c r="A1345" t="s">
        <v>3598</v>
      </c>
      <c r="B1345" t="b">
        <v>0</v>
      </c>
    </row>
    <row r="1346" spans="1:2" x14ac:dyDescent="0.2">
      <c r="A1346" t="s">
        <v>3599</v>
      </c>
      <c r="B1346" t="b">
        <v>0</v>
      </c>
    </row>
    <row r="1347" spans="1:2" x14ac:dyDescent="0.2">
      <c r="A1347" t="s">
        <v>3600</v>
      </c>
      <c r="B1347" t="b">
        <v>0</v>
      </c>
    </row>
    <row r="1348" spans="1:2" x14ac:dyDescent="0.2">
      <c r="A1348" t="s">
        <v>3601</v>
      </c>
      <c r="B1348" t="b">
        <v>0</v>
      </c>
    </row>
    <row r="1349" spans="1:2" x14ac:dyDescent="0.2">
      <c r="A1349" t="s">
        <v>3602</v>
      </c>
      <c r="B1349" t="b">
        <v>0</v>
      </c>
    </row>
    <row r="1350" spans="1:2" x14ac:dyDescent="0.2">
      <c r="A1350" t="s">
        <v>3603</v>
      </c>
      <c r="B1350" t="b">
        <v>0</v>
      </c>
    </row>
    <row r="1351" spans="1:2" x14ac:dyDescent="0.2">
      <c r="A1351" t="s">
        <v>3604</v>
      </c>
      <c r="B1351" t="b">
        <v>0</v>
      </c>
    </row>
    <row r="1352" spans="1:2" x14ac:dyDescent="0.2">
      <c r="A1352" t="s">
        <v>3605</v>
      </c>
      <c r="B1352" t="b">
        <v>0</v>
      </c>
    </row>
    <row r="1353" spans="1:2" x14ac:dyDescent="0.2">
      <c r="A1353" t="s">
        <v>3606</v>
      </c>
      <c r="B1353" t="b">
        <v>0</v>
      </c>
    </row>
    <row r="1354" spans="1:2" x14ac:dyDescent="0.2">
      <c r="A1354" t="s">
        <v>3607</v>
      </c>
      <c r="B1354" t="b">
        <v>0</v>
      </c>
    </row>
    <row r="1355" spans="1:2" x14ac:dyDescent="0.2">
      <c r="A1355" t="s">
        <v>3608</v>
      </c>
      <c r="B1355" t="b">
        <v>0</v>
      </c>
    </row>
    <row r="1356" spans="1:2" x14ac:dyDescent="0.2">
      <c r="A1356" t="s">
        <v>3609</v>
      </c>
      <c r="B1356" t="b">
        <v>0</v>
      </c>
    </row>
    <row r="1357" spans="1:2" x14ac:dyDescent="0.2">
      <c r="A1357" t="s">
        <v>3610</v>
      </c>
      <c r="B1357" t="b">
        <v>0</v>
      </c>
    </row>
    <row r="1358" spans="1:2" x14ac:dyDescent="0.2">
      <c r="A1358" t="s">
        <v>3611</v>
      </c>
      <c r="B1358" t="b">
        <v>0</v>
      </c>
    </row>
    <row r="1359" spans="1:2" x14ac:dyDescent="0.2">
      <c r="A1359" t="s">
        <v>3612</v>
      </c>
      <c r="B1359" t="b">
        <v>0</v>
      </c>
    </row>
    <row r="1360" spans="1:2" x14ac:dyDescent="0.2">
      <c r="A1360" t="s">
        <v>3613</v>
      </c>
      <c r="B1360" t="b">
        <v>0</v>
      </c>
    </row>
    <row r="1361" spans="1:2" x14ac:dyDescent="0.2">
      <c r="A1361" t="s">
        <v>3614</v>
      </c>
      <c r="B1361" t="b">
        <v>0</v>
      </c>
    </row>
    <row r="1362" spans="1:2" x14ac:dyDescent="0.2">
      <c r="A1362" t="s">
        <v>3615</v>
      </c>
      <c r="B1362" t="b">
        <v>0</v>
      </c>
    </row>
    <row r="1363" spans="1:2" x14ac:dyDescent="0.2">
      <c r="A1363" t="s">
        <v>3616</v>
      </c>
      <c r="B1363" t="b">
        <v>0</v>
      </c>
    </row>
    <row r="1364" spans="1:2" x14ac:dyDescent="0.2">
      <c r="A1364" t="s">
        <v>3617</v>
      </c>
      <c r="B1364" t="b">
        <v>0</v>
      </c>
    </row>
    <row r="1365" spans="1:2" x14ac:dyDescent="0.2">
      <c r="A1365" t="s">
        <v>3618</v>
      </c>
      <c r="B1365" t="b">
        <v>0</v>
      </c>
    </row>
    <row r="1366" spans="1:2" x14ac:dyDescent="0.2">
      <c r="A1366" t="s">
        <v>3619</v>
      </c>
      <c r="B1366" t="b">
        <v>0</v>
      </c>
    </row>
    <row r="1367" spans="1:2" x14ac:dyDescent="0.2">
      <c r="A1367" t="s">
        <v>3620</v>
      </c>
      <c r="B1367" t="b">
        <v>0</v>
      </c>
    </row>
    <row r="1368" spans="1:2" x14ac:dyDescent="0.2">
      <c r="A1368" t="s">
        <v>3621</v>
      </c>
      <c r="B1368" t="b">
        <v>0</v>
      </c>
    </row>
    <row r="1369" spans="1:2" x14ac:dyDescent="0.2">
      <c r="A1369" t="s">
        <v>3622</v>
      </c>
      <c r="B1369" t="b">
        <v>0</v>
      </c>
    </row>
    <row r="1370" spans="1:2" x14ac:dyDescent="0.2">
      <c r="A1370" t="s">
        <v>3623</v>
      </c>
      <c r="B1370" t="b">
        <v>0</v>
      </c>
    </row>
    <row r="1371" spans="1:2" x14ac:dyDescent="0.2">
      <c r="A1371" t="s">
        <v>3624</v>
      </c>
      <c r="B1371" t="b">
        <v>0</v>
      </c>
    </row>
    <row r="1372" spans="1:2" x14ac:dyDescent="0.2">
      <c r="A1372" t="s">
        <v>3625</v>
      </c>
      <c r="B1372" t="b">
        <v>0</v>
      </c>
    </row>
    <row r="1373" spans="1:2" x14ac:dyDescent="0.2">
      <c r="A1373" t="s">
        <v>3626</v>
      </c>
      <c r="B1373" t="b">
        <v>0</v>
      </c>
    </row>
    <row r="1374" spans="1:2" x14ac:dyDescent="0.2">
      <c r="A1374" t="s">
        <v>3627</v>
      </c>
      <c r="B1374" t="b">
        <v>0</v>
      </c>
    </row>
    <row r="1375" spans="1:2" x14ac:dyDescent="0.2">
      <c r="A1375" t="s">
        <v>3628</v>
      </c>
      <c r="B1375" t="b">
        <v>0</v>
      </c>
    </row>
    <row r="1376" spans="1:2" x14ac:dyDescent="0.2">
      <c r="A1376" t="s">
        <v>3629</v>
      </c>
      <c r="B1376" t="b">
        <v>0</v>
      </c>
    </row>
    <row r="1377" spans="1:2" x14ac:dyDescent="0.2">
      <c r="A1377" t="s">
        <v>3630</v>
      </c>
      <c r="B1377" t="b">
        <v>0</v>
      </c>
    </row>
    <row r="1378" spans="1:2" x14ac:dyDescent="0.2">
      <c r="A1378" t="s">
        <v>3631</v>
      </c>
      <c r="B1378" t="b">
        <v>0</v>
      </c>
    </row>
    <row r="1379" spans="1:2" x14ac:dyDescent="0.2">
      <c r="A1379" t="s">
        <v>3632</v>
      </c>
      <c r="B1379" t="b">
        <v>0</v>
      </c>
    </row>
    <row r="1380" spans="1:2" x14ac:dyDescent="0.2">
      <c r="A1380" t="s">
        <v>3633</v>
      </c>
      <c r="B1380" t="b">
        <v>0</v>
      </c>
    </row>
    <row r="1381" spans="1:2" x14ac:dyDescent="0.2">
      <c r="A1381" t="s">
        <v>3634</v>
      </c>
      <c r="B1381" t="b">
        <v>0</v>
      </c>
    </row>
    <row r="1382" spans="1:2" x14ac:dyDescent="0.2">
      <c r="A1382" t="s">
        <v>3635</v>
      </c>
      <c r="B1382" t="b">
        <v>0</v>
      </c>
    </row>
    <row r="1383" spans="1:2" x14ac:dyDescent="0.2">
      <c r="A1383" t="s">
        <v>3636</v>
      </c>
      <c r="B1383" t="b">
        <v>0</v>
      </c>
    </row>
    <row r="1384" spans="1:2" x14ac:dyDescent="0.2">
      <c r="A1384" t="s">
        <v>3637</v>
      </c>
      <c r="B1384" t="b">
        <v>0</v>
      </c>
    </row>
    <row r="1385" spans="1:2" x14ac:dyDescent="0.2">
      <c r="A1385" t="s">
        <v>3638</v>
      </c>
      <c r="B1385" t="b">
        <v>0</v>
      </c>
    </row>
    <row r="1386" spans="1:2" x14ac:dyDescent="0.2">
      <c r="A1386" t="s">
        <v>3639</v>
      </c>
      <c r="B1386" t="b">
        <v>0</v>
      </c>
    </row>
    <row r="1387" spans="1:2" x14ac:dyDescent="0.2">
      <c r="A1387" t="s">
        <v>3640</v>
      </c>
      <c r="B1387" t="b">
        <v>0</v>
      </c>
    </row>
    <row r="1388" spans="1:2" x14ac:dyDescent="0.2">
      <c r="A1388" t="s">
        <v>3641</v>
      </c>
      <c r="B1388" t="b">
        <v>0</v>
      </c>
    </row>
    <row r="1389" spans="1:2" x14ac:dyDescent="0.2">
      <c r="A1389" t="s">
        <v>3642</v>
      </c>
      <c r="B1389" t="b">
        <v>0</v>
      </c>
    </row>
    <row r="1390" spans="1:2" x14ac:dyDescent="0.2">
      <c r="A1390" t="s">
        <v>3643</v>
      </c>
      <c r="B1390" t="b">
        <v>0</v>
      </c>
    </row>
    <row r="1391" spans="1:2" x14ac:dyDescent="0.2">
      <c r="A1391" t="s">
        <v>3644</v>
      </c>
      <c r="B1391" t="b">
        <v>0</v>
      </c>
    </row>
    <row r="1392" spans="1:2" x14ac:dyDescent="0.2">
      <c r="A1392" t="s">
        <v>3645</v>
      </c>
      <c r="B1392" t="b">
        <v>0</v>
      </c>
    </row>
    <row r="1393" spans="1:2" x14ac:dyDescent="0.2">
      <c r="A1393" t="s">
        <v>3646</v>
      </c>
      <c r="B1393" t="b">
        <v>0</v>
      </c>
    </row>
    <row r="1394" spans="1:2" x14ac:dyDescent="0.2">
      <c r="A1394" t="s">
        <v>3647</v>
      </c>
      <c r="B1394" t="b">
        <v>0</v>
      </c>
    </row>
    <row r="1395" spans="1:2" x14ac:dyDescent="0.2">
      <c r="A1395" t="s">
        <v>3648</v>
      </c>
      <c r="B1395" t="b">
        <v>0</v>
      </c>
    </row>
    <row r="1396" spans="1:2" x14ac:dyDescent="0.2">
      <c r="A1396" t="s">
        <v>3649</v>
      </c>
      <c r="B1396" t="b">
        <v>0</v>
      </c>
    </row>
    <row r="1397" spans="1:2" x14ac:dyDescent="0.2">
      <c r="A1397" t="s">
        <v>3650</v>
      </c>
      <c r="B1397" t="b">
        <v>0</v>
      </c>
    </row>
    <row r="1398" spans="1:2" x14ac:dyDescent="0.2">
      <c r="A1398" t="s">
        <v>3651</v>
      </c>
      <c r="B1398" t="s">
        <v>5131</v>
      </c>
    </row>
    <row r="1399" spans="1:2" x14ac:dyDescent="0.2">
      <c r="A1399" t="s">
        <v>3652</v>
      </c>
      <c r="B1399" t="b">
        <v>0</v>
      </c>
    </row>
    <row r="1400" spans="1:2" x14ac:dyDescent="0.2">
      <c r="A1400" t="s">
        <v>3653</v>
      </c>
      <c r="B1400" t="b">
        <v>0</v>
      </c>
    </row>
    <row r="1401" spans="1:2" x14ac:dyDescent="0.2">
      <c r="A1401" t="s">
        <v>3654</v>
      </c>
      <c r="B1401" t="b">
        <v>0</v>
      </c>
    </row>
    <row r="1402" spans="1:2" x14ac:dyDescent="0.2">
      <c r="A1402" t="s">
        <v>3655</v>
      </c>
      <c r="B1402" t="b">
        <v>0</v>
      </c>
    </row>
    <row r="1403" spans="1:2" x14ac:dyDescent="0.2">
      <c r="A1403" t="s">
        <v>3656</v>
      </c>
      <c r="B1403" t="b">
        <v>0</v>
      </c>
    </row>
    <row r="1404" spans="1:2" x14ac:dyDescent="0.2">
      <c r="A1404" t="s">
        <v>3657</v>
      </c>
      <c r="B1404" t="b">
        <v>0</v>
      </c>
    </row>
    <row r="1405" spans="1:2" x14ac:dyDescent="0.2">
      <c r="A1405" t="s">
        <v>3658</v>
      </c>
      <c r="B1405" t="b">
        <v>0</v>
      </c>
    </row>
    <row r="1406" spans="1:2" x14ac:dyDescent="0.2">
      <c r="A1406" t="s">
        <v>3659</v>
      </c>
      <c r="B1406" t="b">
        <v>0</v>
      </c>
    </row>
    <row r="1407" spans="1:2" x14ac:dyDescent="0.2">
      <c r="A1407" t="s">
        <v>3660</v>
      </c>
      <c r="B1407" t="b">
        <v>0</v>
      </c>
    </row>
    <row r="1408" spans="1:2" x14ac:dyDescent="0.2">
      <c r="A1408" t="s">
        <v>3661</v>
      </c>
      <c r="B1408" t="b">
        <v>0</v>
      </c>
    </row>
    <row r="1409" spans="1:2" x14ac:dyDescent="0.2">
      <c r="A1409" t="s">
        <v>3662</v>
      </c>
      <c r="B1409" t="b">
        <v>0</v>
      </c>
    </row>
    <row r="1410" spans="1:2" x14ac:dyDescent="0.2">
      <c r="A1410" t="s">
        <v>3663</v>
      </c>
      <c r="B1410" t="b">
        <v>0</v>
      </c>
    </row>
    <row r="1411" spans="1:2" x14ac:dyDescent="0.2">
      <c r="A1411" t="s">
        <v>3664</v>
      </c>
      <c r="B1411" t="b">
        <v>0</v>
      </c>
    </row>
    <row r="1412" spans="1:2" x14ac:dyDescent="0.2">
      <c r="A1412" t="s">
        <v>3665</v>
      </c>
      <c r="B1412" t="b">
        <v>0</v>
      </c>
    </row>
    <row r="1413" spans="1:2" x14ac:dyDescent="0.2">
      <c r="A1413" t="s">
        <v>3666</v>
      </c>
      <c r="B1413" t="b">
        <v>0</v>
      </c>
    </row>
    <row r="1414" spans="1:2" x14ac:dyDescent="0.2">
      <c r="A1414" t="s">
        <v>3667</v>
      </c>
      <c r="B1414" t="b">
        <v>0</v>
      </c>
    </row>
    <row r="1415" spans="1:2" x14ac:dyDescent="0.2">
      <c r="A1415" t="s">
        <v>3668</v>
      </c>
      <c r="B1415" t="b">
        <v>0</v>
      </c>
    </row>
    <row r="1416" spans="1:2" x14ac:dyDescent="0.2">
      <c r="A1416" t="s">
        <v>3669</v>
      </c>
      <c r="B1416" t="b">
        <v>0</v>
      </c>
    </row>
    <row r="1417" spans="1:2" x14ac:dyDescent="0.2">
      <c r="A1417" t="s">
        <v>3670</v>
      </c>
      <c r="B1417" t="b">
        <v>0</v>
      </c>
    </row>
    <row r="1418" spans="1:2" x14ac:dyDescent="0.2">
      <c r="A1418" t="s">
        <v>3671</v>
      </c>
      <c r="B1418" t="b">
        <v>0</v>
      </c>
    </row>
    <row r="1419" spans="1:2" x14ac:dyDescent="0.2">
      <c r="A1419" t="s">
        <v>3672</v>
      </c>
      <c r="B1419" t="b">
        <v>0</v>
      </c>
    </row>
    <row r="1420" spans="1:2" x14ac:dyDescent="0.2">
      <c r="A1420" t="s">
        <v>3673</v>
      </c>
      <c r="B1420" t="b">
        <v>0</v>
      </c>
    </row>
    <row r="1421" spans="1:2" x14ac:dyDescent="0.2">
      <c r="A1421" t="s">
        <v>3674</v>
      </c>
      <c r="B1421" t="b">
        <v>0</v>
      </c>
    </row>
    <row r="1422" spans="1:2" x14ac:dyDescent="0.2">
      <c r="A1422" t="s">
        <v>3675</v>
      </c>
      <c r="B1422" t="b">
        <v>0</v>
      </c>
    </row>
    <row r="1423" spans="1:2" x14ac:dyDescent="0.2">
      <c r="A1423" t="s">
        <v>3676</v>
      </c>
      <c r="B1423" t="b">
        <v>0</v>
      </c>
    </row>
    <row r="1424" spans="1:2" x14ac:dyDescent="0.2">
      <c r="A1424" t="s">
        <v>3677</v>
      </c>
      <c r="B1424" t="b">
        <v>0</v>
      </c>
    </row>
    <row r="1425" spans="1:2" x14ac:dyDescent="0.2">
      <c r="A1425" t="s">
        <v>3678</v>
      </c>
      <c r="B1425" t="b">
        <v>0</v>
      </c>
    </row>
    <row r="1426" spans="1:2" x14ac:dyDescent="0.2">
      <c r="A1426" t="s">
        <v>3679</v>
      </c>
      <c r="B1426" t="b">
        <v>0</v>
      </c>
    </row>
    <row r="1427" spans="1:2" x14ac:dyDescent="0.2">
      <c r="A1427" t="s">
        <v>3680</v>
      </c>
      <c r="B1427" t="b">
        <v>0</v>
      </c>
    </row>
    <row r="1428" spans="1:2" x14ac:dyDescent="0.2">
      <c r="A1428" t="s">
        <v>3681</v>
      </c>
      <c r="B1428" t="b">
        <v>0</v>
      </c>
    </row>
    <row r="1429" spans="1:2" x14ac:dyDescent="0.2">
      <c r="A1429" t="s">
        <v>3682</v>
      </c>
      <c r="B1429" t="b">
        <v>0</v>
      </c>
    </row>
    <row r="1430" spans="1:2" x14ac:dyDescent="0.2">
      <c r="A1430" t="s">
        <v>3683</v>
      </c>
      <c r="B1430" t="b">
        <v>0</v>
      </c>
    </row>
    <row r="1431" spans="1:2" x14ac:dyDescent="0.2">
      <c r="A1431" t="s">
        <v>3684</v>
      </c>
      <c r="B1431">
        <v>1</v>
      </c>
    </row>
    <row r="1432" spans="1:2" x14ac:dyDescent="0.2">
      <c r="A1432" t="s">
        <v>3685</v>
      </c>
      <c r="B1432">
        <v>1</v>
      </c>
    </row>
    <row r="1433" spans="1:2" x14ac:dyDescent="0.2">
      <c r="A1433" t="s">
        <v>3686</v>
      </c>
      <c r="B1433">
        <v>1</v>
      </c>
    </row>
    <row r="1434" spans="1:2" x14ac:dyDescent="0.2">
      <c r="A1434" t="s">
        <v>3687</v>
      </c>
      <c r="B1434">
        <v>1</v>
      </c>
    </row>
    <row r="1435" spans="1:2" x14ac:dyDescent="0.2">
      <c r="A1435" t="s">
        <v>3688</v>
      </c>
      <c r="B1435">
        <v>1</v>
      </c>
    </row>
    <row r="1436" spans="1:2" x14ac:dyDescent="0.2">
      <c r="A1436" t="s">
        <v>3689</v>
      </c>
      <c r="B1436">
        <v>1</v>
      </c>
    </row>
    <row r="1437" spans="1:2" x14ac:dyDescent="0.2">
      <c r="A1437" t="s">
        <v>3690</v>
      </c>
      <c r="B1437">
        <v>1</v>
      </c>
    </row>
    <row r="1438" spans="1:2" x14ac:dyDescent="0.2">
      <c r="A1438" t="s">
        <v>3691</v>
      </c>
      <c r="B1438">
        <v>1</v>
      </c>
    </row>
    <row r="1439" spans="1:2" x14ac:dyDescent="0.2">
      <c r="A1439" t="s">
        <v>3692</v>
      </c>
      <c r="B1439">
        <v>1</v>
      </c>
    </row>
    <row r="1440" spans="1:2" x14ac:dyDescent="0.2">
      <c r="A1440" t="s">
        <v>3693</v>
      </c>
      <c r="B1440">
        <v>1</v>
      </c>
    </row>
    <row r="1441" spans="1:2" x14ac:dyDescent="0.2">
      <c r="A1441" t="s">
        <v>3694</v>
      </c>
      <c r="B1441">
        <v>1</v>
      </c>
    </row>
    <row r="1442" spans="1:2" x14ac:dyDescent="0.2">
      <c r="A1442" t="s">
        <v>3695</v>
      </c>
      <c r="B1442">
        <v>1</v>
      </c>
    </row>
    <row r="1443" spans="1:2" x14ac:dyDescent="0.2">
      <c r="A1443" t="s">
        <v>3696</v>
      </c>
      <c r="B1443">
        <v>1</v>
      </c>
    </row>
    <row r="1444" spans="1:2" x14ac:dyDescent="0.2">
      <c r="A1444" t="s">
        <v>3697</v>
      </c>
      <c r="B1444">
        <v>1</v>
      </c>
    </row>
    <row r="1445" spans="1:2" x14ac:dyDescent="0.2">
      <c r="A1445" t="s">
        <v>3698</v>
      </c>
      <c r="B1445">
        <v>1</v>
      </c>
    </row>
    <row r="1446" spans="1:2" x14ac:dyDescent="0.2">
      <c r="A1446" t="s">
        <v>4843</v>
      </c>
      <c r="B1446" t="s">
        <v>5131</v>
      </c>
    </row>
    <row r="1447" spans="1:2" x14ac:dyDescent="0.2">
      <c r="A1447" t="s">
        <v>4845</v>
      </c>
      <c r="B1447" t="s">
        <v>5131</v>
      </c>
    </row>
    <row r="1448" spans="1:2" x14ac:dyDescent="0.2">
      <c r="A1448" t="s">
        <v>4847</v>
      </c>
      <c r="B1448" t="s">
        <v>5131</v>
      </c>
    </row>
    <row r="1449" spans="1:2" x14ac:dyDescent="0.2">
      <c r="A1449" t="s">
        <v>4849</v>
      </c>
      <c r="B1449" t="s">
        <v>5131</v>
      </c>
    </row>
    <row r="1450" spans="1:2" x14ac:dyDescent="0.2">
      <c r="A1450" t="s">
        <v>4851</v>
      </c>
      <c r="B1450" t="s">
        <v>5131</v>
      </c>
    </row>
    <row r="1451" spans="1:2" x14ac:dyDescent="0.2">
      <c r="A1451" t="s">
        <v>3699</v>
      </c>
      <c r="B1451">
        <v>1</v>
      </c>
    </row>
    <row r="1452" spans="1:2" x14ac:dyDescent="0.2">
      <c r="A1452" t="s">
        <v>3700</v>
      </c>
      <c r="B1452">
        <v>1</v>
      </c>
    </row>
    <row r="1453" spans="1:2" x14ac:dyDescent="0.2">
      <c r="A1453" t="s">
        <v>3701</v>
      </c>
      <c r="B1453">
        <v>1</v>
      </c>
    </row>
    <row r="1454" spans="1:2" x14ac:dyDescent="0.2">
      <c r="A1454" t="s">
        <v>3702</v>
      </c>
      <c r="B1454">
        <v>1</v>
      </c>
    </row>
    <row r="1455" spans="1:2" x14ac:dyDescent="0.2">
      <c r="A1455" t="s">
        <v>3703</v>
      </c>
      <c r="B1455">
        <v>1</v>
      </c>
    </row>
    <row r="1456" spans="1:2" x14ac:dyDescent="0.2">
      <c r="A1456" t="s">
        <v>3704</v>
      </c>
      <c r="B1456">
        <v>1</v>
      </c>
    </row>
    <row r="1457" spans="1:2" x14ac:dyDescent="0.2">
      <c r="A1457" t="s">
        <v>3705</v>
      </c>
      <c r="B1457">
        <v>1</v>
      </c>
    </row>
    <row r="1458" spans="1:2" x14ac:dyDescent="0.2">
      <c r="A1458" t="s">
        <v>3706</v>
      </c>
      <c r="B1458">
        <v>1</v>
      </c>
    </row>
    <row r="1459" spans="1:2" x14ac:dyDescent="0.2">
      <c r="A1459" t="s">
        <v>3707</v>
      </c>
      <c r="B1459">
        <v>1</v>
      </c>
    </row>
    <row r="1460" spans="1:2" x14ac:dyDescent="0.2">
      <c r="A1460" t="s">
        <v>3708</v>
      </c>
      <c r="B1460">
        <v>1</v>
      </c>
    </row>
    <row r="1461" spans="1:2" x14ac:dyDescent="0.2">
      <c r="A1461" t="s">
        <v>3709</v>
      </c>
      <c r="B1461">
        <v>1</v>
      </c>
    </row>
    <row r="1462" spans="1:2" x14ac:dyDescent="0.2">
      <c r="A1462" t="s">
        <v>3710</v>
      </c>
      <c r="B1462">
        <v>1</v>
      </c>
    </row>
    <row r="1463" spans="1:2" x14ac:dyDescent="0.2">
      <c r="A1463" t="s">
        <v>3711</v>
      </c>
      <c r="B1463">
        <v>1</v>
      </c>
    </row>
    <row r="1464" spans="1:2" x14ac:dyDescent="0.2">
      <c r="A1464" t="s">
        <v>3712</v>
      </c>
      <c r="B1464">
        <v>1</v>
      </c>
    </row>
    <row r="1465" spans="1:2" x14ac:dyDescent="0.2">
      <c r="A1465" t="s">
        <v>3713</v>
      </c>
      <c r="B1465">
        <v>1</v>
      </c>
    </row>
    <row r="1466" spans="1:2" x14ac:dyDescent="0.2">
      <c r="A1466" t="s">
        <v>4853</v>
      </c>
      <c r="B1466">
        <v>1</v>
      </c>
    </row>
    <row r="1467" spans="1:2" x14ac:dyDescent="0.2">
      <c r="A1467" t="s">
        <v>4855</v>
      </c>
      <c r="B1467">
        <v>1</v>
      </c>
    </row>
    <row r="1468" spans="1:2" x14ac:dyDescent="0.2">
      <c r="A1468" t="s">
        <v>4857</v>
      </c>
      <c r="B1468">
        <v>1</v>
      </c>
    </row>
    <row r="1469" spans="1:2" x14ac:dyDescent="0.2">
      <c r="A1469" t="s">
        <v>4859</v>
      </c>
      <c r="B1469">
        <v>1</v>
      </c>
    </row>
    <row r="1470" spans="1:2" x14ac:dyDescent="0.2">
      <c r="A1470" t="s">
        <v>4861</v>
      </c>
      <c r="B1470">
        <v>1</v>
      </c>
    </row>
    <row r="1471" spans="1:2" x14ac:dyDescent="0.2">
      <c r="A1471" t="s">
        <v>3714</v>
      </c>
      <c r="B1471">
        <v>0</v>
      </c>
    </row>
    <row r="1472" spans="1:2" x14ac:dyDescent="0.2">
      <c r="A1472" t="s">
        <v>3715</v>
      </c>
      <c r="B1472">
        <v>0</v>
      </c>
    </row>
    <row r="1473" spans="1:2" x14ac:dyDescent="0.2">
      <c r="A1473" t="s">
        <v>3716</v>
      </c>
      <c r="B1473">
        <v>0</v>
      </c>
    </row>
    <row r="1474" spans="1:2" x14ac:dyDescent="0.2">
      <c r="A1474" t="s">
        <v>3717</v>
      </c>
      <c r="B1474">
        <v>0</v>
      </c>
    </row>
    <row r="1475" spans="1:2" x14ac:dyDescent="0.2">
      <c r="A1475" t="s">
        <v>3718</v>
      </c>
      <c r="B1475">
        <v>0</v>
      </c>
    </row>
    <row r="1476" spans="1:2" x14ac:dyDescent="0.2">
      <c r="A1476" t="s">
        <v>3719</v>
      </c>
      <c r="B1476">
        <v>0</v>
      </c>
    </row>
    <row r="1477" spans="1:2" x14ac:dyDescent="0.2">
      <c r="A1477" t="s">
        <v>3720</v>
      </c>
      <c r="B1477">
        <v>0</v>
      </c>
    </row>
    <row r="1478" spans="1:2" x14ac:dyDescent="0.2">
      <c r="A1478" t="s">
        <v>3721</v>
      </c>
      <c r="B1478">
        <v>0</v>
      </c>
    </row>
    <row r="1479" spans="1:2" x14ac:dyDescent="0.2">
      <c r="A1479" t="s">
        <v>3722</v>
      </c>
      <c r="B1479">
        <v>0</v>
      </c>
    </row>
    <row r="1480" spans="1:2" x14ac:dyDescent="0.2">
      <c r="A1480" t="s">
        <v>3723</v>
      </c>
      <c r="B1480">
        <v>0</v>
      </c>
    </row>
    <row r="1481" spans="1:2" x14ac:dyDescent="0.2">
      <c r="A1481" t="s">
        <v>3724</v>
      </c>
      <c r="B1481">
        <v>0</v>
      </c>
    </row>
    <row r="1482" spans="1:2" x14ac:dyDescent="0.2">
      <c r="A1482" t="s">
        <v>3725</v>
      </c>
      <c r="B1482">
        <v>0</v>
      </c>
    </row>
    <row r="1483" spans="1:2" x14ac:dyDescent="0.2">
      <c r="A1483" t="s">
        <v>3726</v>
      </c>
      <c r="B1483">
        <v>0</v>
      </c>
    </row>
    <row r="1484" spans="1:2" x14ac:dyDescent="0.2">
      <c r="A1484" t="s">
        <v>3727</v>
      </c>
      <c r="B1484">
        <v>0</v>
      </c>
    </row>
    <row r="1485" spans="1:2" x14ac:dyDescent="0.2">
      <c r="A1485" t="s">
        <v>3728</v>
      </c>
      <c r="B1485">
        <v>0</v>
      </c>
    </row>
    <row r="1486" spans="1:2" x14ac:dyDescent="0.2">
      <c r="A1486" t="s">
        <v>4863</v>
      </c>
      <c r="B1486">
        <v>0</v>
      </c>
    </row>
    <row r="1487" spans="1:2" x14ac:dyDescent="0.2">
      <c r="A1487" t="s">
        <v>4865</v>
      </c>
      <c r="B1487">
        <v>0</v>
      </c>
    </row>
    <row r="1488" spans="1:2" x14ac:dyDescent="0.2">
      <c r="A1488" t="s">
        <v>4867</v>
      </c>
      <c r="B1488">
        <v>0</v>
      </c>
    </row>
    <row r="1489" spans="1:2" x14ac:dyDescent="0.2">
      <c r="A1489" t="s">
        <v>4869</v>
      </c>
      <c r="B1489">
        <v>0</v>
      </c>
    </row>
    <row r="1490" spans="1:2" x14ac:dyDescent="0.2">
      <c r="A1490" t="s">
        <v>4871</v>
      </c>
      <c r="B1490">
        <v>0</v>
      </c>
    </row>
    <row r="1491" spans="1:2" x14ac:dyDescent="0.2">
      <c r="A1491" t="s">
        <v>3729</v>
      </c>
      <c r="B1491" t="s">
        <v>5131</v>
      </c>
    </row>
    <row r="1492" spans="1:2" x14ac:dyDescent="0.2">
      <c r="A1492" t="s">
        <v>3730</v>
      </c>
      <c r="B1492">
        <v>0</v>
      </c>
    </row>
    <row r="1493" spans="1:2" x14ac:dyDescent="0.2">
      <c r="A1493" t="s">
        <v>3731</v>
      </c>
      <c r="B1493">
        <v>0</v>
      </c>
    </row>
    <row r="1494" spans="1:2" x14ac:dyDescent="0.2">
      <c r="A1494" t="s">
        <v>3732</v>
      </c>
      <c r="B1494">
        <v>0</v>
      </c>
    </row>
    <row r="1495" spans="1:2" x14ac:dyDescent="0.2">
      <c r="A1495" t="s">
        <v>3733</v>
      </c>
      <c r="B1495">
        <v>0</v>
      </c>
    </row>
    <row r="1496" spans="1:2" x14ac:dyDescent="0.2">
      <c r="A1496" t="s">
        <v>3734</v>
      </c>
      <c r="B1496">
        <v>0</v>
      </c>
    </row>
    <row r="1497" spans="1:2" x14ac:dyDescent="0.2">
      <c r="A1497" t="s">
        <v>3735</v>
      </c>
      <c r="B1497">
        <v>0</v>
      </c>
    </row>
    <row r="1498" spans="1:2" x14ac:dyDescent="0.2">
      <c r="A1498" t="s">
        <v>3736</v>
      </c>
      <c r="B1498">
        <v>0</v>
      </c>
    </row>
    <row r="1499" spans="1:2" x14ac:dyDescent="0.2">
      <c r="A1499" t="s">
        <v>3737</v>
      </c>
      <c r="B1499">
        <v>0</v>
      </c>
    </row>
    <row r="1500" spans="1:2" x14ac:dyDescent="0.2">
      <c r="A1500" t="s">
        <v>3738</v>
      </c>
      <c r="B1500">
        <v>0</v>
      </c>
    </row>
    <row r="1501" spans="1:2" x14ac:dyDescent="0.2">
      <c r="A1501" t="s">
        <v>3739</v>
      </c>
      <c r="B1501">
        <v>0</v>
      </c>
    </row>
    <row r="1502" spans="1:2" x14ac:dyDescent="0.2">
      <c r="A1502" t="s">
        <v>3740</v>
      </c>
      <c r="B1502">
        <v>0</v>
      </c>
    </row>
    <row r="1503" spans="1:2" x14ac:dyDescent="0.2">
      <c r="A1503" t="s">
        <v>3741</v>
      </c>
      <c r="B1503">
        <v>0</v>
      </c>
    </row>
    <row r="1504" spans="1:2" x14ac:dyDescent="0.2">
      <c r="A1504" t="s">
        <v>3742</v>
      </c>
      <c r="B1504">
        <v>0</v>
      </c>
    </row>
    <row r="1505" spans="1:2" x14ac:dyDescent="0.2">
      <c r="A1505" t="s">
        <v>3743</v>
      </c>
      <c r="B1505">
        <v>0</v>
      </c>
    </row>
    <row r="1506" spans="1:2" x14ac:dyDescent="0.2">
      <c r="A1506" t="s">
        <v>3744</v>
      </c>
      <c r="B1506">
        <v>0</v>
      </c>
    </row>
    <row r="1507" spans="1:2" x14ac:dyDescent="0.2">
      <c r="A1507" t="s">
        <v>4873</v>
      </c>
      <c r="B1507">
        <v>0</v>
      </c>
    </row>
    <row r="1508" spans="1:2" x14ac:dyDescent="0.2">
      <c r="A1508" t="s">
        <v>4875</v>
      </c>
      <c r="B1508">
        <v>0</v>
      </c>
    </row>
    <row r="1509" spans="1:2" x14ac:dyDescent="0.2">
      <c r="A1509" t="s">
        <v>4877</v>
      </c>
      <c r="B1509">
        <v>0</v>
      </c>
    </row>
    <row r="1510" spans="1:2" x14ac:dyDescent="0.2">
      <c r="A1510" t="s">
        <v>4879</v>
      </c>
      <c r="B1510">
        <v>0</v>
      </c>
    </row>
    <row r="1511" spans="1:2" x14ac:dyDescent="0.2">
      <c r="A1511" t="s">
        <v>4881</v>
      </c>
      <c r="B1511">
        <v>0</v>
      </c>
    </row>
    <row r="1512" spans="1:2" x14ac:dyDescent="0.2">
      <c r="A1512" t="s">
        <v>3745</v>
      </c>
      <c r="B1512">
        <v>0</v>
      </c>
    </row>
    <row r="1513" spans="1:2" x14ac:dyDescent="0.2">
      <c r="A1513" t="s">
        <v>3746</v>
      </c>
      <c r="B1513">
        <v>0</v>
      </c>
    </row>
    <row r="1514" spans="1:2" x14ac:dyDescent="0.2">
      <c r="A1514" t="s">
        <v>3747</v>
      </c>
      <c r="B1514">
        <v>0</v>
      </c>
    </row>
    <row r="1515" spans="1:2" x14ac:dyDescent="0.2">
      <c r="A1515" t="s">
        <v>3748</v>
      </c>
      <c r="B1515">
        <v>0</v>
      </c>
    </row>
    <row r="1516" spans="1:2" x14ac:dyDescent="0.2">
      <c r="A1516" t="s">
        <v>3749</v>
      </c>
      <c r="B1516">
        <v>0</v>
      </c>
    </row>
    <row r="1517" spans="1:2" x14ac:dyDescent="0.2">
      <c r="A1517" t="s">
        <v>3750</v>
      </c>
      <c r="B1517">
        <v>0</v>
      </c>
    </row>
    <row r="1518" spans="1:2" x14ac:dyDescent="0.2">
      <c r="A1518" t="s">
        <v>3751</v>
      </c>
      <c r="B1518">
        <v>0</v>
      </c>
    </row>
    <row r="1519" spans="1:2" x14ac:dyDescent="0.2">
      <c r="A1519" t="s">
        <v>3752</v>
      </c>
      <c r="B1519">
        <v>0</v>
      </c>
    </row>
    <row r="1520" spans="1:2" x14ac:dyDescent="0.2">
      <c r="A1520" t="s">
        <v>3753</v>
      </c>
      <c r="B1520">
        <v>0</v>
      </c>
    </row>
    <row r="1521" spans="1:2" x14ac:dyDescent="0.2">
      <c r="A1521" t="s">
        <v>3754</v>
      </c>
      <c r="B1521">
        <v>0</v>
      </c>
    </row>
    <row r="1522" spans="1:2" x14ac:dyDescent="0.2">
      <c r="A1522" t="s">
        <v>3755</v>
      </c>
      <c r="B1522">
        <v>0</v>
      </c>
    </row>
    <row r="1523" spans="1:2" x14ac:dyDescent="0.2">
      <c r="A1523" t="s">
        <v>3756</v>
      </c>
      <c r="B1523">
        <v>0</v>
      </c>
    </row>
    <row r="1524" spans="1:2" x14ac:dyDescent="0.2">
      <c r="A1524" t="s">
        <v>3757</v>
      </c>
      <c r="B1524">
        <v>0</v>
      </c>
    </row>
    <row r="1525" spans="1:2" x14ac:dyDescent="0.2">
      <c r="A1525" t="s">
        <v>3758</v>
      </c>
      <c r="B1525">
        <v>0</v>
      </c>
    </row>
    <row r="1526" spans="1:2" x14ac:dyDescent="0.2">
      <c r="A1526" t="s">
        <v>3759</v>
      </c>
      <c r="B1526">
        <v>0</v>
      </c>
    </row>
    <row r="1527" spans="1:2" x14ac:dyDescent="0.2">
      <c r="A1527" t="s">
        <v>4883</v>
      </c>
      <c r="B1527">
        <v>0</v>
      </c>
    </row>
    <row r="1528" spans="1:2" x14ac:dyDescent="0.2">
      <c r="A1528" t="s">
        <v>4885</v>
      </c>
      <c r="B1528">
        <v>0</v>
      </c>
    </row>
    <row r="1529" spans="1:2" x14ac:dyDescent="0.2">
      <c r="A1529" t="s">
        <v>4887</v>
      </c>
      <c r="B1529">
        <v>0</v>
      </c>
    </row>
    <row r="1530" spans="1:2" x14ac:dyDescent="0.2">
      <c r="A1530" t="s">
        <v>4889</v>
      </c>
      <c r="B1530">
        <v>0</v>
      </c>
    </row>
    <row r="1531" spans="1:2" x14ac:dyDescent="0.2">
      <c r="A1531" t="s">
        <v>4891</v>
      </c>
      <c r="B1531">
        <v>0</v>
      </c>
    </row>
    <row r="1532" spans="1:2" x14ac:dyDescent="0.2">
      <c r="A1532" t="s">
        <v>3760</v>
      </c>
      <c r="B1532">
        <v>1</v>
      </c>
    </row>
    <row r="1533" spans="1:2" x14ac:dyDescent="0.2">
      <c r="A1533" t="s">
        <v>3761</v>
      </c>
      <c r="B1533">
        <v>1</v>
      </c>
    </row>
    <row r="1534" spans="1:2" x14ac:dyDescent="0.2">
      <c r="A1534" t="s">
        <v>3762</v>
      </c>
      <c r="B1534">
        <v>2</v>
      </c>
    </row>
    <row r="1535" spans="1:2" x14ac:dyDescent="0.2">
      <c r="A1535" t="s">
        <v>3763</v>
      </c>
      <c r="B1535">
        <v>20</v>
      </c>
    </row>
    <row r="1536" spans="1:2" x14ac:dyDescent="0.2">
      <c r="A1536" t="s">
        <v>3764</v>
      </c>
      <c r="B1536">
        <v>30</v>
      </c>
    </row>
    <row r="1537" spans="1:2" x14ac:dyDescent="0.2">
      <c r="A1537" t="s">
        <v>3765</v>
      </c>
      <c r="B1537">
        <v>1</v>
      </c>
    </row>
    <row r="1538" spans="1:2" x14ac:dyDescent="0.2">
      <c r="A1538" t="s">
        <v>3766</v>
      </c>
      <c r="B1538">
        <v>1</v>
      </c>
    </row>
    <row r="1539" spans="1:2" x14ac:dyDescent="0.2">
      <c r="A1539" t="s">
        <v>3767</v>
      </c>
      <c r="B1539">
        <v>10</v>
      </c>
    </row>
    <row r="1540" spans="1:2" x14ac:dyDescent="0.2">
      <c r="A1540" t="s">
        <v>3768</v>
      </c>
      <c r="B1540" t="b">
        <v>0</v>
      </c>
    </row>
    <row r="1541" spans="1:2" x14ac:dyDescent="0.2">
      <c r="A1541" t="s">
        <v>3769</v>
      </c>
      <c r="B1541">
        <v>0</v>
      </c>
    </row>
    <row r="1542" spans="1:2" x14ac:dyDescent="0.2">
      <c r="A1542" t="s">
        <v>3770</v>
      </c>
      <c r="B1542" t="b">
        <v>0</v>
      </c>
    </row>
    <row r="1543" spans="1:2" x14ac:dyDescent="0.2">
      <c r="A1543" t="s">
        <v>3771</v>
      </c>
      <c r="B1543" t="b">
        <v>0</v>
      </c>
    </row>
    <row r="1544" spans="1:2" x14ac:dyDescent="0.2">
      <c r="A1544" t="s">
        <v>3772</v>
      </c>
      <c r="B1544">
        <v>0</v>
      </c>
    </row>
    <row r="1545" spans="1:2" x14ac:dyDescent="0.2">
      <c r="A1545" t="s">
        <v>3773</v>
      </c>
      <c r="B1545">
        <v>0</v>
      </c>
    </row>
    <row r="1546" spans="1:2" x14ac:dyDescent="0.2">
      <c r="A1546" t="s">
        <v>3774</v>
      </c>
      <c r="B1546">
        <v>1</v>
      </c>
    </row>
    <row r="1547" spans="1:2" x14ac:dyDescent="0.2">
      <c r="A1547" t="s">
        <v>3775</v>
      </c>
      <c r="B1547" t="b">
        <v>0</v>
      </c>
    </row>
    <row r="1548" spans="1:2" x14ac:dyDescent="0.2">
      <c r="A1548" t="s">
        <v>3776</v>
      </c>
      <c r="B1548">
        <v>0</v>
      </c>
    </row>
    <row r="1549" spans="1:2" x14ac:dyDescent="0.2">
      <c r="A1549" t="s">
        <v>3777</v>
      </c>
      <c r="B1549">
        <v>0</v>
      </c>
    </row>
    <row r="1550" spans="1:2" x14ac:dyDescent="0.2">
      <c r="A1550" t="s">
        <v>3778</v>
      </c>
      <c r="B1550" t="b">
        <v>0</v>
      </c>
    </row>
    <row r="1551" spans="1:2" x14ac:dyDescent="0.2">
      <c r="A1551" t="s">
        <v>3779</v>
      </c>
      <c r="B1551">
        <v>0</v>
      </c>
    </row>
    <row r="1552" spans="1:2" x14ac:dyDescent="0.2">
      <c r="A1552" t="s">
        <v>3780</v>
      </c>
      <c r="B1552" t="b">
        <v>0</v>
      </c>
    </row>
    <row r="1553" spans="1:2" x14ac:dyDescent="0.2">
      <c r="A1553" t="s">
        <v>3781</v>
      </c>
      <c r="B1553" t="b">
        <v>0</v>
      </c>
    </row>
    <row r="1554" spans="1:2" x14ac:dyDescent="0.2">
      <c r="A1554" t="s">
        <v>3782</v>
      </c>
      <c r="B1554">
        <v>0</v>
      </c>
    </row>
    <row r="1555" spans="1:2" x14ac:dyDescent="0.2">
      <c r="A1555" t="s">
        <v>3783</v>
      </c>
      <c r="B1555">
        <v>0</v>
      </c>
    </row>
    <row r="1556" spans="1:2" x14ac:dyDescent="0.2">
      <c r="A1556" t="s">
        <v>3784</v>
      </c>
      <c r="B1556">
        <v>0</v>
      </c>
    </row>
    <row r="1557" spans="1:2" x14ac:dyDescent="0.2">
      <c r="A1557" t="s">
        <v>3785</v>
      </c>
      <c r="B1557">
        <v>0</v>
      </c>
    </row>
    <row r="1558" spans="1:2" x14ac:dyDescent="0.2">
      <c r="A1558" t="s">
        <v>3786</v>
      </c>
      <c r="B1558">
        <v>0</v>
      </c>
    </row>
    <row r="1559" spans="1:2" x14ac:dyDescent="0.2">
      <c r="A1559" t="s">
        <v>3787</v>
      </c>
      <c r="B1559" t="b">
        <v>0</v>
      </c>
    </row>
    <row r="1560" spans="1:2" x14ac:dyDescent="0.2">
      <c r="A1560" t="s">
        <v>3788</v>
      </c>
      <c r="B1560">
        <v>1</v>
      </c>
    </row>
    <row r="1561" spans="1:2" x14ac:dyDescent="0.2">
      <c r="A1561" t="s">
        <v>3789</v>
      </c>
      <c r="B1561">
        <v>1</v>
      </c>
    </row>
    <row r="1562" spans="1:2" x14ac:dyDescent="0.2">
      <c r="A1562" t="s">
        <v>3790</v>
      </c>
      <c r="B1562">
        <v>0</v>
      </c>
    </row>
    <row r="1563" spans="1:2" x14ac:dyDescent="0.2">
      <c r="A1563" t="s">
        <v>3791</v>
      </c>
      <c r="B1563">
        <v>1</v>
      </c>
    </row>
    <row r="1564" spans="1:2" x14ac:dyDescent="0.2">
      <c r="A1564" t="s">
        <v>3792</v>
      </c>
      <c r="B1564">
        <v>0</v>
      </c>
    </row>
    <row r="1565" spans="1:2" x14ac:dyDescent="0.2">
      <c r="A1565" t="s">
        <v>3793</v>
      </c>
      <c r="B1565" t="b">
        <v>0</v>
      </c>
    </row>
    <row r="1566" spans="1:2" x14ac:dyDescent="0.2">
      <c r="A1566" t="s">
        <v>3794</v>
      </c>
      <c r="B1566">
        <v>1</v>
      </c>
    </row>
    <row r="1567" spans="1:2" x14ac:dyDescent="0.2">
      <c r="A1567" t="s">
        <v>3795</v>
      </c>
      <c r="B1567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8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</sheetPr>
  <dimension ref="A1:FIO153"/>
  <sheetViews>
    <sheetView topLeftCell="A81" zoomScaleNormal="100" workbookViewId="0">
      <selection activeCell="C110" sqref="C110"/>
    </sheetView>
  </sheetViews>
  <sheetFormatPr defaultRowHeight="12.75" x14ac:dyDescent="0.2"/>
  <cols>
    <col min="1" max="1" width="22.85546875" bestFit="1" customWidth="1"/>
    <col min="2" max="2" width="6.28515625" customWidth="1"/>
    <col min="3" max="3" width="69.7109375" customWidth="1"/>
  </cols>
  <sheetData>
    <row r="1" spans="1:3 4305:4305" x14ac:dyDescent="0.2">
      <c r="A1" s="361" t="s">
        <v>308</v>
      </c>
      <c r="B1" s="133" t="s">
        <v>445</v>
      </c>
      <c r="C1" s="132" t="str">
        <f>PedPrtAfspr!F2&amp;" geb: "&amp;TEXT(PedPrtAfspr!F3,"dd-mmm-jj")&amp;". Gewicht: "&amp;ROUND(_Pat_Gewicht/10,1)&amp;" kg"</f>
        <v>,  geb: 01-jan-04. Gewicht: 0 kg</v>
      </c>
    </row>
    <row r="2" spans="1:3 4305:4305" x14ac:dyDescent="0.2">
      <c r="A2" t="s">
        <v>308</v>
      </c>
      <c r="B2" s="134" t="s">
        <v>446</v>
      </c>
      <c r="C2" s="132">
        <f>__2_AchterNaam</f>
        <v>0</v>
      </c>
      <c r="FIO2">
        <v>30</v>
      </c>
    </row>
    <row r="3" spans="1:3 4305:4305" x14ac:dyDescent="0.2">
      <c r="A3" t="s">
        <v>308</v>
      </c>
      <c r="B3" s="134" t="s">
        <v>447</v>
      </c>
      <c r="C3" s="132">
        <f>__3_VoorNaam</f>
        <v>0</v>
      </c>
    </row>
    <row r="4" spans="1:3 4305:4305" x14ac:dyDescent="0.2">
      <c r="A4" t="s">
        <v>308</v>
      </c>
      <c r="B4" s="134" t="s">
        <v>448</v>
      </c>
      <c r="C4" s="132" t="str">
        <f>TEXT(PedPrtAfspr!F3,"dd-mmm-jj")</f>
        <v>01-jan-04</v>
      </c>
    </row>
    <row r="5" spans="1:3 4305:4305" x14ac:dyDescent="0.2">
      <c r="A5" t="s">
        <v>308</v>
      </c>
      <c r="B5" s="134" t="s">
        <v>449</v>
      </c>
      <c r="C5" s="19">
        <f>__0_PatNum</f>
        <v>0</v>
      </c>
    </row>
    <row r="6" spans="1:3 4305:4305" x14ac:dyDescent="0.2">
      <c r="A6" s="361" t="s">
        <v>465</v>
      </c>
      <c r="B6" s="134" t="s">
        <v>445</v>
      </c>
      <c r="C6" t="str">
        <f>IF(PedPrtAfspr!C51&lt;&gt;0,PedPrtAfspr!C51&amp;" "&amp;PedPrtAfspr!E51&amp;" "&amp;PedPrtAfspr!F51&amp;" "&amp;PedPrtAfspr!G51&amp;", totaal "&amp;PedPrtAfspr!J51&amp;" "&amp;PedPrtAfspr!I51,"")</f>
        <v xml:space="preserve">1  in    (= ), totaal  </v>
      </c>
    </row>
    <row r="7" spans="1:3 4305:4305" x14ac:dyDescent="0.2">
      <c r="A7" t="s">
        <v>465</v>
      </c>
      <c r="B7" s="134" t="s">
        <v>446</v>
      </c>
      <c r="C7" t="str">
        <f>IF(PedPrtAfspr!C52&lt;&gt;0,PedPrtAfspr!C52&amp;" "&amp;PedPrtAfspr!E52&amp;" "&amp;PedPrtAfspr!F52&amp;" "&amp;PedPrtAfspr!G52&amp;", totaal "&amp;PedPrtAfspr!J52&amp;" "&amp;PedPrtAfspr!I52,"")</f>
        <v xml:space="preserve">1  in    (= ), totaal  </v>
      </c>
    </row>
    <row r="8" spans="1:3 4305:4305" x14ac:dyDescent="0.2">
      <c r="A8" t="s">
        <v>465</v>
      </c>
      <c r="B8" s="134" t="s">
        <v>447</v>
      </c>
      <c r="C8" t="str">
        <f>IF(PedPrtAfspr!C53&lt;&gt;0,PedPrtAfspr!C53&amp;" "&amp;PedPrtAfspr!E53&amp;" "&amp;PedPrtAfspr!F53&amp;" "&amp;PedPrtAfspr!G53&amp;", totaal "&amp;PedPrtAfspr!J53&amp;" "&amp;PedPrtAfspr!I53,"")</f>
        <v xml:space="preserve">1  in    (= ), totaal  </v>
      </c>
    </row>
    <row r="9" spans="1:3 4305:4305" x14ac:dyDescent="0.2">
      <c r="A9" t="s">
        <v>465</v>
      </c>
      <c r="B9" s="133" t="s">
        <v>448</v>
      </c>
      <c r="C9" t="str">
        <f>IF(PedPrtAfspr!C54&lt;&gt;0,PedPrtAfspr!C54&amp;" "&amp;PedPrtAfspr!E54&amp;" "&amp;PedPrtAfspr!F54&amp;" "&amp;PedPrtAfspr!G54&amp;", totaal "&amp;PedPrtAfspr!J54&amp;" "&amp;PedPrtAfspr!I54,"")</f>
        <v xml:space="preserve">1  in    (= ), totaal  </v>
      </c>
    </row>
    <row r="10" spans="1:3 4305:4305" x14ac:dyDescent="0.2">
      <c r="A10" t="s">
        <v>465</v>
      </c>
      <c r="B10" s="133" t="s">
        <v>449</v>
      </c>
      <c r="C10" t="str">
        <f>IF(PedPrtAfspr!C55&lt;&gt;0,PedPrtAfspr!C55&amp;" "&amp;PedPrtAfspr!E55&amp;" "&amp;PedPrtAfspr!F55&amp;" "&amp;PedPrtAfspr!G55&amp;", totaal "&amp;PedPrtAfspr!J55&amp;" "&amp;PedPrtAfspr!I55,"")</f>
        <v xml:space="preserve">1  in    (= ), totaal  </v>
      </c>
    </row>
    <row r="11" spans="1:3 4305:4305" x14ac:dyDescent="0.2">
      <c r="A11" t="s">
        <v>465</v>
      </c>
      <c r="B11" s="133" t="s">
        <v>450</v>
      </c>
      <c r="C11" t="str">
        <f>IF(PedPrtAfspr!C56&lt;&gt;0,PedPrtAfspr!C56&amp;" "&amp;PedPrtAfspr!E56&amp;" "&amp;PedPrtAfspr!F56&amp;" "&amp;PedPrtAfspr!G56&amp;", totaal "&amp;PedPrtAfspr!J56&amp;" "&amp;PedPrtAfspr!I56,"")</f>
        <v xml:space="preserve">1  in    (= ), totaal  </v>
      </c>
    </row>
    <row r="12" spans="1:3 4305:4305" x14ac:dyDescent="0.2">
      <c r="A12" t="s">
        <v>465</v>
      </c>
      <c r="B12" s="133" t="s">
        <v>451</v>
      </c>
      <c r="C12" t="str">
        <f>IF(PedPrtAfspr!C57&lt;&gt;0,PedPrtAfspr!C57&amp;" "&amp;PedPrtAfspr!E57&amp;" "&amp;PedPrtAfspr!F57&amp;" "&amp;PedPrtAfspr!G57&amp;", totaal "&amp;PedPrtAfspr!J57&amp;" "&amp;PedPrtAfspr!I57,"")</f>
        <v xml:space="preserve">1  in    (= ), totaal  </v>
      </c>
    </row>
    <row r="13" spans="1:3 4305:4305" x14ac:dyDescent="0.2">
      <c r="A13" t="s">
        <v>465</v>
      </c>
      <c r="B13" s="133" t="s">
        <v>452</v>
      </c>
      <c r="C13" t="str">
        <f>IF(PedPrtAfspr!C58&lt;&gt;0,PedPrtAfspr!C58&amp;" "&amp;PedPrtAfspr!E58&amp;" "&amp;PedPrtAfspr!F58&amp;" "&amp;PedPrtAfspr!G58&amp;", totaal "&amp;PedPrtAfspr!J58&amp;" "&amp;PedPrtAfspr!I58,"")</f>
        <v xml:space="preserve">1  in    (= ), totaal  </v>
      </c>
    </row>
    <row r="14" spans="1:3 4305:4305" x14ac:dyDescent="0.2">
      <c r="A14" t="s">
        <v>465</v>
      </c>
      <c r="B14" s="133" t="s">
        <v>453</v>
      </c>
      <c r="C14" t="str">
        <f>IF(PedPrtAfspr!C59&lt;&gt;0,PedPrtAfspr!C59&amp;" "&amp;PedPrtAfspr!E59&amp;" "&amp;PedPrtAfspr!F59&amp;" "&amp;PedPrtAfspr!G59&amp;", totaal "&amp;PedPrtAfspr!J59&amp;" "&amp;PedPrtAfspr!I59,"")</f>
        <v xml:space="preserve">1  in    (= ), totaal  </v>
      </c>
    </row>
    <row r="15" spans="1:3 4305:4305" x14ac:dyDescent="0.2">
      <c r="A15" t="s">
        <v>465</v>
      </c>
      <c r="B15" s="133">
        <v>10</v>
      </c>
      <c r="C15" t="str">
        <f>IF(PedPrtAfspr!C60&lt;&gt;0,PedPrtAfspr!C60&amp;" "&amp;PedPrtAfspr!E60&amp;" "&amp;PedPrtAfspr!F60&amp;" "&amp;PedPrtAfspr!G60&amp;", totaal "&amp;PedPrtAfspr!J60&amp;" "&amp;PedPrtAfspr!I60,"")</f>
        <v xml:space="preserve">1  in    (= ), totaal  </v>
      </c>
    </row>
    <row r="16" spans="1:3 4305:4305" x14ac:dyDescent="0.2">
      <c r="A16" t="s">
        <v>465</v>
      </c>
      <c r="B16" s="133">
        <v>11</v>
      </c>
      <c r="C16" t="str">
        <f>IF(PedPrtAfspr!C61&lt;&gt;0,PedPrtAfspr!C61&amp;" "&amp;PedPrtAfspr!E61&amp;" "&amp;PedPrtAfspr!F61&amp;" "&amp;PedPrtAfspr!G61&amp;", totaal "&amp;PedPrtAfspr!J61&amp;" "&amp;PedPrtAfspr!I61,"")</f>
        <v xml:space="preserve"> 0 in   , totaal  </v>
      </c>
    </row>
    <row r="17" spans="1:6" x14ac:dyDescent="0.2">
      <c r="A17" t="s">
        <v>465</v>
      </c>
      <c r="B17" s="133">
        <v>12</v>
      </c>
      <c r="C17" t="str">
        <f>IF(PedPrtAfspr!C62&lt;&gt;0,PedPrtAfspr!C62&amp;" "&amp;PedPrtAfspr!E62&amp;" "&amp;PedPrtAfspr!F62&amp;" "&amp;PedPrtAfspr!G62&amp;", totaal "&amp;PedPrtAfspr!J62&amp;" "&amp;PedPrtAfspr!I62,"")</f>
        <v xml:space="preserve"> 0 in   , totaal  </v>
      </c>
    </row>
    <row r="18" spans="1:6" x14ac:dyDescent="0.2">
      <c r="A18" t="s">
        <v>465</v>
      </c>
      <c r="B18" s="133">
        <v>13</v>
      </c>
      <c r="C18" t="str">
        <f>IF(PedPrtAfspr!C63&lt;&gt;0,PedPrtAfspr!C63&amp;" "&amp;PedPrtAfspr!E63&amp;" "&amp;PedPrtAfspr!F63&amp;" "&amp;PedPrtAfspr!G63&amp;", totaal "&amp;PedPrtAfspr!J63&amp;" "&amp;PedPrtAfspr!I63,"")</f>
        <v xml:space="preserve"> 0 in   , totaal  </v>
      </c>
    </row>
    <row r="19" spans="1:6" x14ac:dyDescent="0.2">
      <c r="A19" t="s">
        <v>465</v>
      </c>
      <c r="B19" s="133">
        <v>14</v>
      </c>
      <c r="C19" t="str">
        <f>IF(PedPrtAfspr!C64&lt;&gt;0,PedPrtAfspr!C64&amp;" "&amp;PedPrtAfspr!E64&amp;" "&amp;PedPrtAfspr!F64&amp;" "&amp;PedPrtAfspr!G64&amp;", totaal "&amp;PedPrtAfspr!J64&amp;" "&amp;PedPrtAfspr!I64,"")</f>
        <v xml:space="preserve"> 0 in   , totaal  </v>
      </c>
    </row>
    <row r="20" spans="1:6" x14ac:dyDescent="0.2">
      <c r="A20" t="s">
        <v>465</v>
      </c>
      <c r="B20" s="133">
        <v>15</v>
      </c>
      <c r="C20" t="str">
        <f>IF(PedPrtAfspr!C65&lt;&gt;0,PedPrtAfspr!C65&amp;" "&amp;PedPrtAfspr!E65&amp;" "&amp;PedPrtAfspr!F65&amp;" "&amp;PedPrtAfspr!G65&amp;", totaal "&amp;PedPrtAfspr!J65&amp;" "&amp;PedPrtAfspr!I65,"")</f>
        <v xml:space="preserve"> 0 in   , totaal  </v>
      </c>
    </row>
    <row r="21" spans="1:6" x14ac:dyDescent="0.2">
      <c r="A21" t="s">
        <v>465</v>
      </c>
      <c r="B21" s="133">
        <v>16</v>
      </c>
      <c r="C21" t="str">
        <f>IF(GlobBerOpm!B3&lt;&gt;0,PedPrtAfspr!C67&amp;" "&amp;GlobBerOpm!B3,"")</f>
        <v/>
      </c>
    </row>
    <row r="22" spans="1:6" x14ac:dyDescent="0.2">
      <c r="A22" t="s">
        <v>466</v>
      </c>
      <c r="B22" s="133" t="s">
        <v>445</v>
      </c>
      <c r="C22" t="str">
        <f>GlobBerMedDisc!AC2</f>
        <v/>
      </c>
    </row>
    <row r="23" spans="1:6" x14ac:dyDescent="0.2">
      <c r="A23" t="s">
        <v>466</v>
      </c>
      <c r="B23" s="133" t="s">
        <v>446</v>
      </c>
      <c r="C23" t="str">
        <f>GlobBerMedDisc!AC3</f>
        <v/>
      </c>
    </row>
    <row r="24" spans="1:6" x14ac:dyDescent="0.2">
      <c r="A24" t="s">
        <v>466</v>
      </c>
      <c r="B24" s="133" t="s">
        <v>447</v>
      </c>
      <c r="C24" t="str">
        <f>GlobBerMedDisc!AC4</f>
        <v/>
      </c>
    </row>
    <row r="25" spans="1:6" x14ac:dyDescent="0.2">
      <c r="A25" t="s">
        <v>466</v>
      </c>
      <c r="B25" s="133" t="s">
        <v>448</v>
      </c>
      <c r="C25" t="str">
        <f>GlobBerMedDisc!AC5</f>
        <v/>
      </c>
    </row>
    <row r="26" spans="1:6" x14ac:dyDescent="0.2">
      <c r="A26" t="s">
        <v>466</v>
      </c>
      <c r="B26" s="133" t="s">
        <v>449</v>
      </c>
      <c r="C26" t="str">
        <f>GlobBerMedDisc!AC6</f>
        <v/>
      </c>
    </row>
    <row r="27" spans="1:6" x14ac:dyDescent="0.2">
      <c r="A27" t="s">
        <v>466</v>
      </c>
      <c r="B27" s="133" t="s">
        <v>450</v>
      </c>
      <c r="C27" t="str">
        <f>GlobBerMedDisc!AC7</f>
        <v/>
      </c>
    </row>
    <row r="28" spans="1:6" x14ac:dyDescent="0.2">
      <c r="A28" t="s">
        <v>466</v>
      </c>
      <c r="B28" s="133" t="s">
        <v>451</v>
      </c>
      <c r="C28" t="str">
        <f>GlobBerMedDisc!AC8</f>
        <v/>
      </c>
    </row>
    <row r="29" spans="1:6" x14ac:dyDescent="0.2">
      <c r="A29" t="s">
        <v>466</v>
      </c>
      <c r="B29" s="133" t="s">
        <v>452</v>
      </c>
      <c r="C29" t="str">
        <f>GlobBerMedDisc!AC9</f>
        <v/>
      </c>
      <c r="E29" s="320"/>
      <c r="F29" s="323"/>
    </row>
    <row r="30" spans="1:6" x14ac:dyDescent="0.2">
      <c r="A30" t="s">
        <v>466</v>
      </c>
      <c r="B30" s="133" t="s">
        <v>453</v>
      </c>
      <c r="C30" t="str">
        <f>GlobBerMedDisc!AC10</f>
        <v/>
      </c>
    </row>
    <row r="31" spans="1:6" x14ac:dyDescent="0.2">
      <c r="A31" t="s">
        <v>466</v>
      </c>
      <c r="B31" s="133">
        <v>10</v>
      </c>
      <c r="C31" t="str">
        <f>GlobBerMedDisc!AC11</f>
        <v/>
      </c>
    </row>
    <row r="32" spans="1:6" x14ac:dyDescent="0.2">
      <c r="A32" t="s">
        <v>466</v>
      </c>
      <c r="B32" s="133">
        <v>11</v>
      </c>
      <c r="C32" t="str">
        <f>GlobBerMedDisc!AC12</f>
        <v/>
      </c>
    </row>
    <row r="33" spans="1:7" x14ac:dyDescent="0.2">
      <c r="A33" t="s">
        <v>466</v>
      </c>
      <c r="B33" s="133">
        <v>12</v>
      </c>
      <c r="C33" t="str">
        <f>GlobBerMedDisc!AC13</f>
        <v/>
      </c>
    </row>
    <row r="34" spans="1:7" x14ac:dyDescent="0.2">
      <c r="A34" t="s">
        <v>466</v>
      </c>
      <c r="B34" s="133">
        <v>13</v>
      </c>
      <c r="C34" t="str">
        <f>GlobBerMedDisc!AC14</f>
        <v/>
      </c>
    </row>
    <row r="35" spans="1:7" x14ac:dyDescent="0.2">
      <c r="A35" t="s">
        <v>466</v>
      </c>
      <c r="B35" s="133">
        <v>14</v>
      </c>
      <c r="C35" t="str">
        <f>GlobBerMedDisc!AC15</f>
        <v/>
      </c>
    </row>
    <row r="36" spans="1:7" x14ac:dyDescent="0.2">
      <c r="A36" t="s">
        <v>466</v>
      </c>
      <c r="B36" s="133">
        <v>15</v>
      </c>
      <c r="C36" t="str">
        <f>GlobBerMedDisc!AC16</f>
        <v/>
      </c>
    </row>
    <row r="37" spans="1:7" x14ac:dyDescent="0.2">
      <c r="A37" t="s">
        <v>466</v>
      </c>
      <c r="B37" s="133">
        <v>16</v>
      </c>
      <c r="C37" t="str">
        <f>GlobBerMedDisc!AC17</f>
        <v/>
      </c>
    </row>
    <row r="38" spans="1:7" x14ac:dyDescent="0.2">
      <c r="A38" t="s">
        <v>466</v>
      </c>
      <c r="B38" s="133">
        <v>17</v>
      </c>
      <c r="C38" t="str">
        <f>GlobBerMedDisc!AC18</f>
        <v/>
      </c>
    </row>
    <row r="39" spans="1:7" x14ac:dyDescent="0.2">
      <c r="A39" t="s">
        <v>466</v>
      </c>
      <c r="B39" s="133">
        <v>18</v>
      </c>
      <c r="C39" t="str">
        <f>GlobBerMedDisc!AC19</f>
        <v/>
      </c>
    </row>
    <row r="40" spans="1:7" x14ac:dyDescent="0.2">
      <c r="A40" t="s">
        <v>466</v>
      </c>
      <c r="B40" s="133">
        <v>19</v>
      </c>
      <c r="C40" t="str">
        <f>GlobBerMedDisc!AC20</f>
        <v/>
      </c>
    </row>
    <row r="41" spans="1:7" x14ac:dyDescent="0.2">
      <c r="A41" t="s">
        <v>466</v>
      </c>
      <c r="B41" s="133">
        <v>20</v>
      </c>
      <c r="C41" t="str">
        <f>GlobBerMedDisc!AC21</f>
        <v/>
      </c>
    </row>
    <row r="42" spans="1:7" x14ac:dyDescent="0.2">
      <c r="A42" s="320" t="s">
        <v>466</v>
      </c>
      <c r="B42" s="323">
        <v>21</v>
      </c>
      <c r="C42" s="320" t="str">
        <f>GlobBerMedDisc!AC22</f>
        <v/>
      </c>
      <c r="F42" s="320"/>
      <c r="G42" s="320"/>
    </row>
    <row r="43" spans="1:7" x14ac:dyDescent="0.2">
      <c r="A43" s="320" t="s">
        <v>466</v>
      </c>
      <c r="B43" s="323">
        <v>22</v>
      </c>
      <c r="C43" s="320" t="str">
        <f>GlobBerMedDisc!AC23</f>
        <v/>
      </c>
      <c r="F43" s="320"/>
      <c r="G43" s="320"/>
    </row>
    <row r="44" spans="1:7" s="320" customFormat="1" x14ac:dyDescent="0.2">
      <c r="A44" s="320" t="s">
        <v>466</v>
      </c>
      <c r="B44" s="323">
        <v>23</v>
      </c>
      <c r="C44" s="320" t="str">
        <f>GlobBerMedDisc!AC24</f>
        <v/>
      </c>
      <c r="D44"/>
      <c r="E44"/>
    </row>
    <row r="45" spans="1:7" x14ac:dyDescent="0.2">
      <c r="A45" s="320" t="s">
        <v>466</v>
      </c>
      <c r="B45" s="323">
        <v>24</v>
      </c>
      <c r="C45" s="320" t="str">
        <f>GlobBerMedDisc!AC25</f>
        <v/>
      </c>
      <c r="F45" s="320"/>
      <c r="G45" s="320"/>
    </row>
    <row r="46" spans="1:7" x14ac:dyDescent="0.2">
      <c r="A46" s="320" t="s">
        <v>466</v>
      </c>
      <c r="B46" s="323">
        <v>25</v>
      </c>
      <c r="C46" s="320" t="str">
        <f>GlobBerMedDisc!AC26</f>
        <v/>
      </c>
    </row>
    <row r="47" spans="1:7" x14ac:dyDescent="0.2">
      <c r="A47" s="320" t="s">
        <v>466</v>
      </c>
      <c r="B47" s="323">
        <v>26</v>
      </c>
      <c r="C47" s="320" t="str">
        <f>GlobBerMedDisc!AC27</f>
        <v/>
      </c>
    </row>
    <row r="48" spans="1:7" x14ac:dyDescent="0.2">
      <c r="A48" s="320" t="s">
        <v>466</v>
      </c>
      <c r="B48" s="323">
        <v>27</v>
      </c>
      <c r="C48" s="320" t="str">
        <f>GlobBerMedDisc!AC28</f>
        <v/>
      </c>
    </row>
    <row r="49" spans="1:5" x14ac:dyDescent="0.2">
      <c r="A49" s="320" t="s">
        <v>466</v>
      </c>
      <c r="B49" s="323">
        <v>28</v>
      </c>
      <c r="C49" s="320" t="str">
        <f>GlobBerMedDisc!AC29</f>
        <v/>
      </c>
    </row>
    <row r="50" spans="1:5" x14ac:dyDescent="0.2">
      <c r="A50" s="320" t="s">
        <v>466</v>
      </c>
      <c r="B50" s="323">
        <v>29</v>
      </c>
      <c r="C50" s="320" t="str">
        <f>GlobBerMedDisc!AC30</f>
        <v/>
      </c>
    </row>
    <row r="51" spans="1:5" x14ac:dyDescent="0.2">
      <c r="A51" s="320" t="s">
        <v>466</v>
      </c>
      <c r="B51" s="323">
        <v>30</v>
      </c>
      <c r="C51" s="320" t="str">
        <f>GlobBerMedDisc!AC31</f>
        <v/>
      </c>
    </row>
    <row r="52" spans="1:5" x14ac:dyDescent="0.2">
      <c r="A52" s="321" t="s">
        <v>947</v>
      </c>
      <c r="B52" s="323" t="s">
        <v>445</v>
      </c>
      <c r="C52" s="320" t="str">
        <f>IF(PedGuiAfspr!C38="","",CONCATENATE(PedGuiAfspr!B38,": ",PedGuiAfspr!C38))</f>
        <v/>
      </c>
      <c r="D52" s="320"/>
      <c r="E52" s="321"/>
    </row>
    <row r="53" spans="1:5" x14ac:dyDescent="0.2">
      <c r="A53" s="321" t="s">
        <v>947</v>
      </c>
      <c r="B53" s="323" t="s">
        <v>446</v>
      </c>
      <c r="C53" s="320" t="str">
        <f>IF(PedGuiAfspr!C39="","",CONCATENATE(PedGuiAfspr!B39,": ",PedGuiAfspr!C39))</f>
        <v/>
      </c>
      <c r="D53" s="320"/>
      <c r="E53" s="321"/>
    </row>
    <row r="54" spans="1:5" x14ac:dyDescent="0.2">
      <c r="A54" s="321" t="s">
        <v>947</v>
      </c>
      <c r="B54" s="323" t="s">
        <v>447</v>
      </c>
      <c r="C54" s="320" t="str">
        <f>IF(PedGuiAfspr!C40="","",CONCATENATE(PedGuiAfspr!B40,": ",PedGuiAfspr!C40))</f>
        <v/>
      </c>
      <c r="D54" s="320"/>
      <c r="E54" s="321"/>
    </row>
    <row r="55" spans="1:5" x14ac:dyDescent="0.2">
      <c r="A55" s="321" t="s">
        <v>947</v>
      </c>
      <c r="B55" s="323" t="s">
        <v>448</v>
      </c>
      <c r="C55" s="320" t="str">
        <f>IF(PedGuiAfspr!C41="","",CONCATENATE(PedGuiAfspr!B41,": ",PedGuiAfspr!C41))</f>
        <v/>
      </c>
      <c r="D55" s="320"/>
      <c r="E55" s="321"/>
    </row>
    <row r="56" spans="1:5" x14ac:dyDescent="0.2">
      <c r="A56" t="s">
        <v>467</v>
      </c>
      <c r="B56" s="133" t="s">
        <v>445</v>
      </c>
      <c r="C56" t="str">
        <f>IF(PedPrtAfspr!C39&lt;&gt;0,PedPrtAfspr!C39,"")</f>
        <v/>
      </c>
    </row>
    <row r="57" spans="1:5" x14ac:dyDescent="0.2">
      <c r="A57" t="s">
        <v>467</v>
      </c>
      <c r="B57" s="133" t="s">
        <v>446</v>
      </c>
      <c r="C57" t="str">
        <f>IF(PedPrtAfspr!C40&lt;&gt;0,PedPrtAfspr!C40,"")</f>
        <v/>
      </c>
    </row>
    <row r="58" spans="1:5" x14ac:dyDescent="0.2">
      <c r="A58" t="s">
        <v>467</v>
      </c>
      <c r="B58" s="133" t="s">
        <v>447</v>
      </c>
      <c r="C58" t="str">
        <f>IF(PedPrtAfspr!C41&lt;&gt;0,PedPrtAfspr!C41,"")</f>
        <v/>
      </c>
    </row>
    <row r="59" spans="1:5" x14ac:dyDescent="0.2">
      <c r="A59" t="s">
        <v>467</v>
      </c>
      <c r="B59" s="133" t="s">
        <v>448</v>
      </c>
      <c r="C59" t="str">
        <f>IF(PedPrtAfspr!C42&lt;&gt;0,PedPrtAfspr!C42,"")</f>
        <v/>
      </c>
    </row>
    <row r="60" spans="1:5" x14ac:dyDescent="0.2">
      <c r="A60" t="s">
        <v>467</v>
      </c>
      <c r="B60" s="133" t="s">
        <v>449</v>
      </c>
      <c r="C60" t="str">
        <f>IF(PedPrtAfspr!C43&lt;&gt;0,PedPrtAfspr!C43,"")</f>
        <v/>
      </c>
    </row>
    <row r="61" spans="1:5" x14ac:dyDescent="0.2">
      <c r="A61" t="s">
        <v>467</v>
      </c>
      <c r="B61" s="133" t="s">
        <v>450</v>
      </c>
      <c r="C61" t="str">
        <f>IF(PedPrtAfspr!C44&lt;&gt;0,PedPrtAfspr!C44,"")</f>
        <v/>
      </c>
    </row>
    <row r="62" spans="1:5" x14ac:dyDescent="0.2">
      <c r="A62" t="s">
        <v>467</v>
      </c>
      <c r="B62" s="133" t="s">
        <v>451</v>
      </c>
      <c r="C62" t="str">
        <f>IF(PedPrtAfspr!D67&lt;&gt;0,"Opmerkingen: "&amp;PedPrtAfspr!D67,"")</f>
        <v/>
      </c>
    </row>
    <row r="63" spans="1:5" s="320" customFormat="1" x14ac:dyDescent="0.2">
      <c r="A63" s="321" t="s">
        <v>20</v>
      </c>
      <c r="B63" s="324" t="s">
        <v>445</v>
      </c>
      <c r="C63" s="320" t="str">
        <f>IF(PedBerIVenPM!H2&gt;1,"Pacemaker: "&amp;INDEX(tblPacemakerPositie,PedBerIVenPM!H2)&amp;", Modus:"&amp;INDEX(tblPacemakerModus,PedBerIVenPM!I2)&amp;"; Frequentie:"&amp;PedBerIVenPM!K1&amp;", Atriale output:"&amp;PedBerIVenPM!K2&amp;", Ventr. Output:"&amp;PedBerIVenPM!K3&amp;", AV interval:"&amp;PedBerIVenPM!K4&amp;", Atriale sens.:"&amp;PedBerIVenPM!K5&amp;", Ventr. sens.:"&amp;PedBerIVenPM!K6,"")</f>
        <v/>
      </c>
    </row>
    <row r="64" spans="1:5" x14ac:dyDescent="0.2">
      <c r="A64" t="s">
        <v>468</v>
      </c>
      <c r="B64" s="133" t="s">
        <v>445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 xml:space="preserve">Enteraal voeding:  </v>
      </c>
    </row>
    <row r="65" spans="1:3" x14ac:dyDescent="0.2">
      <c r="A65" t="s">
        <v>468</v>
      </c>
      <c r="B65" s="133" t="s">
        <v>446</v>
      </c>
      <c r="C65" t="str">
        <f>IF(PedPrtAfspr!D12&lt;&gt;0,"Opmerkingen: "&amp;PedPrtAfspr!D12,"")</f>
        <v>Opmerkingen: Opmerking bij enterale voeding</v>
      </c>
    </row>
    <row r="66" spans="1:3" x14ac:dyDescent="0.2">
      <c r="A66" t="s">
        <v>468</v>
      </c>
      <c r="B66" s="133" t="s">
        <v>447</v>
      </c>
      <c r="C66" t="str">
        <f>IF(PedPrtAfspr!E70&lt;&gt;"",PedPrtAfspr!D70&amp;": "&amp;PedPrtAfspr!E70,"")&amp;IF(PedPrtAfspr!F71&lt;&gt;""," met "&amp;PedPrtAfspr!D71&amp;" "&amp;PedPrtAfspr!F71,"")&amp;IF(PedPrtAfspr!F73&lt;&gt;"",", "&amp;PedPrtAfspr!D73&amp;" "&amp;PedPrtAfspr!F73,"")&amp;IF(PedPrtAfspr!F74&lt;&gt;"",", "&amp;PedPrtAfspr!D74&amp;" "&amp;PedPrtAfspr!F74,"")&amp;IF(PedPrtAfspr!F75&lt;&gt; "",", "&amp;PedPrtAfspr!D75&amp;" "&amp;PedPrtAfspr!F75,"")&amp;IF(PedPrtAfspr!E72&lt;&gt; "",", "&amp;PedPrtAfspr!D72&amp;" "&amp;PedPrtAfspr!E72,"")</f>
        <v/>
      </c>
    </row>
    <row r="67" spans="1:3" x14ac:dyDescent="0.2">
      <c r="A67" t="s">
        <v>468</v>
      </c>
      <c r="B67" s="133" t="s">
        <v>448</v>
      </c>
      <c r="C67" t="str">
        <f>IF(PedPrtAfspr!E77&lt;&gt;"",PedPrtAfspr!D77&amp;": "&amp;PedPrtAfspr!E77,"")&amp;IF(PedPrtAfspr!F78&lt;&gt;"",", "&amp;PedPrtAfspr!D78&amp;" "&amp;PedPrtAfspr!F78,"")&amp;IF(PedPrtAfspr!F79&lt;&gt;"",", "&amp;PedPrtAfspr!D79&amp;" "&amp;PedPrtAfspr!F79,"")&amp;IF(PedPrtAfspr!F80&lt;&gt;"",", "&amp;PedPrtAfspr!D80&amp;" "&amp;PedPrtAfspr!F80,"")&amp;IF(PedPrtAfspr!F81&lt;&gt;"",", "&amp;PedPrtAfspr!D81&amp;" "&amp;PedPrtAfspr!F81,"")&amp;IF(PedPrtAfspr!F82&lt;&gt;"",", "&amp;PedPrtAfspr!D82&amp;" "&amp;PedPrtAfspr!F82,"")&amp;IF(PedPrtAfspr!F83&lt;&gt;"",", "&amp;PedPrtAfspr!D83&amp;" "&amp;PedPrtAfspr!F83,"")</f>
        <v/>
      </c>
    </row>
    <row r="68" spans="1:3" x14ac:dyDescent="0.2">
      <c r="A68" t="s">
        <v>468</v>
      </c>
      <c r="B68" s="133" t="s">
        <v>449</v>
      </c>
      <c r="C68" t="str">
        <f>IF(PedPrtAfspr!E85&lt;&gt;" ",PedPrtAfspr!D85&amp;": "&amp;PedPrtAfspr!E85,"")</f>
        <v/>
      </c>
    </row>
    <row r="69" spans="1:3" x14ac:dyDescent="0.2">
      <c r="A69" t="s">
        <v>468</v>
      </c>
      <c r="B69" s="133" t="s">
        <v>450</v>
      </c>
      <c r="C69" t="str">
        <f>IF(PedPrtAfspr!E87&lt;&gt;"",PedPrtAfspr!D87&amp;": "&amp;PedPrtAfspr!E87,"")&amp;IF(PedPrtAfspr!F88&lt;&gt;"",", "&amp;PedPrtAfspr!D88&amp;" "&amp;PedPrtAfspr!F88,"")&amp;IF(PedPrtAfspr!F89&lt;&gt;"",", "&amp;PedPrtAfspr!D89&amp;" "&amp;PedPrtAfspr!F89,"")&amp;IF(PedPrtAfspr!F90&lt;&gt;"",", "&amp;PedPrtAfspr!D90&amp;" "&amp;PedPrtAfspr!F90,"")</f>
        <v/>
      </c>
    </row>
    <row r="70" spans="1:3" x14ac:dyDescent="0.2">
      <c r="A70" t="s">
        <v>468</v>
      </c>
      <c r="B70" s="133" t="s">
        <v>451</v>
      </c>
      <c r="C70" t="str">
        <f>IF(PedPrtAfspr!I70&lt;&gt;"",PedPrtAfspr!H70&amp;": "&amp;PedPrtAfspr!I70,"")&amp;IF(PedPrtAfspr!J71&lt;&gt;"",", "&amp;PedPrtAfspr!H71&amp;" "&amp;PedPrtAfspr!J71,"")&amp;IF(PedPrtAfspr!J72&lt;&gt;"",", "&amp;PedPrtAfspr!H72&amp;" "&amp;PedPrtAfspr!J72,"")&amp;IF(PedPrtAfspr!J73&lt;&gt;"",", "&amp;PedPrtAfspr!H73&amp;" "&amp;PedPrtAfspr!J73,"")</f>
        <v/>
      </c>
    </row>
    <row r="71" spans="1:3" x14ac:dyDescent="0.2">
      <c r="A71" t="s">
        <v>468</v>
      </c>
      <c r="B71" s="134" t="s">
        <v>452</v>
      </c>
      <c r="C71" t="str">
        <f>IF(PedGuiEntTPN!E39&lt;&gt;0,"Opmerkingen: "&amp;PedGuiEntTPN!E39,"")</f>
        <v/>
      </c>
    </row>
    <row r="72" spans="1:3" x14ac:dyDescent="0.2">
      <c r="A72" t="s">
        <v>153</v>
      </c>
      <c r="B72" s="133" t="s">
        <v>445</v>
      </c>
      <c r="C72" t="str">
        <f>IF(PedPrtAfspr!D15&lt;&gt;"",PedPrtAfspr!C15&amp;": "&amp;PedPrtAfspr!D15,"")</f>
        <v/>
      </c>
    </row>
    <row r="73" spans="1:3" x14ac:dyDescent="0.2">
      <c r="A73" t="s">
        <v>153</v>
      </c>
      <c r="B73" s="133" t="s">
        <v>446</v>
      </c>
      <c r="C73" t="str">
        <f>IF(PedPrtAfspr!D16&lt;&gt;"",PedPrtAfspr!C16&amp;": "&amp;PedPrtAfspr!D16,"")</f>
        <v/>
      </c>
    </row>
    <row r="74" spans="1:3" x14ac:dyDescent="0.2">
      <c r="A74" t="s">
        <v>153</v>
      </c>
      <c r="B74" s="133" t="s">
        <v>447</v>
      </c>
      <c r="C74" t="str">
        <f>IF(PedPrtAfspr!D17&lt;&gt;"",PedPrtAfspr!C17&amp;": "&amp;PedPrtAfspr!D17,"")</f>
        <v/>
      </c>
    </row>
    <row r="75" spans="1:3" x14ac:dyDescent="0.2">
      <c r="A75" t="s">
        <v>153</v>
      </c>
      <c r="B75" s="133" t="s">
        <v>448</v>
      </c>
      <c r="C75" t="str">
        <f>IF(PedPrtAfspr!D18&lt;&gt;"",PedPrtAfspr!C18&amp;": "&amp;PedPrtAfspr!D18,"")</f>
        <v/>
      </c>
    </row>
    <row r="76" spans="1:3" x14ac:dyDescent="0.2">
      <c r="A76" t="s">
        <v>153</v>
      </c>
      <c r="B76" s="133" t="s">
        <v>449</v>
      </c>
      <c r="C76" t="str">
        <f>IF(PedPrtAfspr!D19&lt;&gt;"",PedPrtAfspr!C19&amp;": "&amp;PedPrtAfspr!D19,"")</f>
        <v/>
      </c>
    </row>
    <row r="77" spans="1:3" x14ac:dyDescent="0.2">
      <c r="A77" t="s">
        <v>153</v>
      </c>
      <c r="B77" s="133" t="s">
        <v>450</v>
      </c>
      <c r="C77" t="str">
        <f>IF(PedPrtAfspr!D20&lt;&gt;0,PedPrtAfspr!C20&amp;": "&amp;PedPrtAfspr!D20,"")</f>
        <v/>
      </c>
    </row>
    <row r="78" spans="1:3" x14ac:dyDescent="0.2">
      <c r="A78" t="s">
        <v>367</v>
      </c>
      <c r="B78" s="133" t="s">
        <v>445</v>
      </c>
      <c r="C78" t="str">
        <f>PedPrtAfspr!C96&amp;": "&amp;PedPrtAfspr!D96</f>
        <v>Vocht: 0 ml/kg</v>
      </c>
    </row>
    <row r="79" spans="1:3" x14ac:dyDescent="0.2">
      <c r="A79" t="s">
        <v>367</v>
      </c>
      <c r="B79" s="133" t="s">
        <v>446</v>
      </c>
      <c r="C79" t="str">
        <f>PedPrtAfspr!C97&amp;": "&amp;PedPrtAfspr!D97</f>
        <v>Eiwit: 0  gram/kg</v>
      </c>
    </row>
    <row r="80" spans="1:3" x14ac:dyDescent="0.2">
      <c r="A80" t="s">
        <v>367</v>
      </c>
      <c r="B80" s="133" t="s">
        <v>447</v>
      </c>
      <c r="C80" t="str">
        <f>PedPrtAfspr!C98&amp;": "&amp;PedPrtAfspr!D98</f>
        <v>Glucose/KH: 0 g/kg</v>
      </c>
    </row>
    <row r="81" spans="1:3" x14ac:dyDescent="0.2">
      <c r="A81" t="s">
        <v>367</v>
      </c>
      <c r="B81" s="133" t="s">
        <v>448</v>
      </c>
      <c r="C81" t="str">
        <f>PedPrtAfspr!E96&amp;": "&amp;PedPrtAfspr!F96</f>
        <v>Calorieen: 0 kCal/kg</v>
      </c>
    </row>
    <row r="82" spans="1:3" x14ac:dyDescent="0.2">
      <c r="A82" t="s">
        <v>367</v>
      </c>
      <c r="B82" s="133" t="s">
        <v>449</v>
      </c>
      <c r="C82" t="str">
        <f>PedPrtAfspr!E97&amp;": "&amp;PedPrtAfspr!F97</f>
        <v>Vet: 0 gram/kg</v>
      </c>
    </row>
    <row r="83" spans="1:3" x14ac:dyDescent="0.2">
      <c r="A83" t="s">
        <v>367</v>
      </c>
      <c r="B83" s="133" t="s">
        <v>450</v>
      </c>
      <c r="C83" t="str">
        <f>PedPrtAfspr!G96&amp;": "&amp;PedPrtAfspr!H96</f>
        <v>Kalium: 0 mmol/kg</v>
      </c>
    </row>
    <row r="84" spans="1:3" x14ac:dyDescent="0.2">
      <c r="A84" t="s">
        <v>367</v>
      </c>
      <c r="B84" s="133" t="s">
        <v>451</v>
      </c>
      <c r="C84" t="str">
        <f>PedPrtAfspr!G97&amp;": "&amp;PedPrtAfspr!H97</f>
        <v>Calcium: 0 mmol/kg</v>
      </c>
    </row>
    <row r="85" spans="1:3" x14ac:dyDescent="0.2">
      <c r="A85" t="s">
        <v>367</v>
      </c>
      <c r="B85" s="133" t="s">
        <v>452</v>
      </c>
      <c r="C85" t="str">
        <f>PedPrtAfspr!G98&amp;": "&amp;PedPrtAfspr!H98</f>
        <v>Magnesium: 0 mmol/kg</v>
      </c>
    </row>
    <row r="86" spans="1:3" x14ac:dyDescent="0.2">
      <c r="A86" t="s">
        <v>367</v>
      </c>
      <c r="B86" s="133" t="s">
        <v>453</v>
      </c>
      <c r="C86" t="str">
        <f>PedPrtAfspr!I96&amp;": "&amp;PedPrtAfspr!J96</f>
        <v>Natrium : 0 mmol/kg</v>
      </c>
    </row>
    <row r="87" spans="1:3" x14ac:dyDescent="0.2">
      <c r="A87" t="s">
        <v>367</v>
      </c>
      <c r="B87" s="133">
        <v>10</v>
      </c>
      <c r="C87" t="str">
        <f>PedPrtAfspr!I97&amp;": "&amp;PedPrtAfspr!J97</f>
        <v>Fosfaat: 0 mmol/kg</v>
      </c>
    </row>
    <row r="88" spans="1:3" x14ac:dyDescent="0.2">
      <c r="A88" s="321" t="s">
        <v>678</v>
      </c>
      <c r="B88" s="320">
        <v>6</v>
      </c>
      <c r="C88" s="322" t="str">
        <f ca="1">NeoGuiInfB!H15</f>
        <v/>
      </c>
    </row>
    <row r="89" spans="1:3" x14ac:dyDescent="0.2">
      <c r="A89" s="321" t="s">
        <v>1148</v>
      </c>
      <c r="B89" s="323" t="s">
        <v>445</v>
      </c>
      <c r="C89" t="str">
        <f>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f>
        <v/>
      </c>
    </row>
    <row r="90" spans="1:3" x14ac:dyDescent="0.2">
      <c r="A90" s="321" t="s">
        <v>1148</v>
      </c>
      <c r="B90" s="323" t="s">
        <v>446</v>
      </c>
      <c r="C90" s="320" t="str">
        <f>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f>
        <v/>
      </c>
    </row>
    <row r="91" spans="1:3" x14ac:dyDescent="0.2">
      <c r="A91" s="321" t="s">
        <v>1148</v>
      </c>
      <c r="B91" s="323" t="s">
        <v>447</v>
      </c>
      <c r="C91" s="320" t="str">
        <f>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f>
        <v/>
      </c>
    </row>
    <row r="92" spans="1:3" x14ac:dyDescent="0.2">
      <c r="A92" s="321" t="s">
        <v>1148</v>
      </c>
      <c r="B92" s="323" t="s">
        <v>448</v>
      </c>
      <c r="C92" s="320" t="str">
        <f>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f>
        <v/>
      </c>
    </row>
    <row r="93" spans="1:3" x14ac:dyDescent="0.2">
      <c r="A93" s="321" t="s">
        <v>1148</v>
      </c>
      <c r="B93" s="323" t="s">
        <v>449</v>
      </c>
      <c r="C93" s="320" t="str">
        <f>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f>
        <v/>
      </c>
    </row>
    <row r="94" spans="1:3" x14ac:dyDescent="0.2">
      <c r="A94" s="321" t="s">
        <v>1148</v>
      </c>
      <c r="B94" s="323" t="s">
        <v>450</v>
      </c>
      <c r="C94" s="320" t="str">
        <f>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f>
        <v/>
      </c>
    </row>
    <row r="95" spans="1:3" x14ac:dyDescent="0.2">
      <c r="A95" s="321" t="s">
        <v>1148</v>
      </c>
      <c r="B95" s="323" t="s">
        <v>451</v>
      </c>
      <c r="C95" s="320" t="str">
        <f>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f>
        <v/>
      </c>
    </row>
    <row r="96" spans="1:3" x14ac:dyDescent="0.2">
      <c r="A96" s="321" t="s">
        <v>1148</v>
      </c>
      <c r="B96" s="323" t="s">
        <v>452</v>
      </c>
      <c r="C96" s="320" t="str">
        <f>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f>
        <v/>
      </c>
    </row>
    <row r="97" spans="1:7" x14ac:dyDescent="0.2">
      <c r="A97" s="321" t="s">
        <v>1148</v>
      </c>
      <c r="B97" s="323" t="s">
        <v>453</v>
      </c>
      <c r="C97" s="320" t="str">
        <f>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f>
        <v/>
      </c>
    </row>
    <row r="98" spans="1:7" x14ac:dyDescent="0.2">
      <c r="A98" s="321" t="s">
        <v>1148</v>
      </c>
      <c r="B98" s="323" t="s">
        <v>681</v>
      </c>
      <c r="C98" s="320" t="str">
        <f>IF(NeoBerInfB!B32="","",NeoBerInfB!B32)</f>
        <v/>
      </c>
    </row>
    <row r="99" spans="1:7" x14ac:dyDescent="0.2">
      <c r="A99" s="321" t="s">
        <v>1148</v>
      </c>
      <c r="B99" s="323" t="s">
        <v>682</v>
      </c>
      <c r="C99" s="320" t="str">
        <f>IF(NeoBerInfB!B33="","",NeoBerInfB!B33)</f>
        <v/>
      </c>
    </row>
    <row r="100" spans="1:7" x14ac:dyDescent="0.2">
      <c r="A100" s="321" t="s">
        <v>1148</v>
      </c>
      <c r="B100" s="323" t="s">
        <v>683</v>
      </c>
      <c r="C100" s="320" t="str">
        <f>IF(NeoBerInfB!E29&lt;&gt;0, NeoGuiInfB!B42&amp;": "&amp; INDEX(tbl_Neo_Opl,NeoBerInfB!$E29,1)&amp;" " &amp; NeoGuiInfB!G42,"")</f>
        <v/>
      </c>
    </row>
    <row r="101" spans="1:7" x14ac:dyDescent="0.2">
      <c r="A101" s="321" t="s">
        <v>1148</v>
      </c>
      <c r="B101" s="323" t="s">
        <v>779</v>
      </c>
      <c r="C101" s="320" t="str">
        <f>IF(NeoBerInfB!E30&lt;&gt;0, NeoGuiInfB!B43&amp;": "&amp; INDEX(tbl_Neo_Opl,NeoBerInfB!$E30,1)&amp;" " &amp; NeoGuiInfB!G43,"")</f>
        <v/>
      </c>
    </row>
    <row r="102" spans="1:7" x14ac:dyDescent="0.2">
      <c r="A102" s="321" t="s">
        <v>1148</v>
      </c>
      <c r="B102" s="323" t="s">
        <v>780</v>
      </c>
      <c r="C102" s="320" t="str">
        <f>IF(NeoBerInfB!E31&lt;&gt;0, NeoGuiInfB!B44&amp;": "&amp; INDEX(tbl_Neo_Opl,NeoBerInfB!$E31,1)&amp;" " &amp; NeoGuiInfB!G44,"")</f>
        <v/>
      </c>
    </row>
    <row r="103" spans="1:7" x14ac:dyDescent="0.2">
      <c r="A103" s="321" t="s">
        <v>1148</v>
      </c>
      <c r="B103" s="323" t="s">
        <v>1113</v>
      </c>
      <c r="C103" s="320" t="str">
        <f>IF(Var_Neo_WerkbriefActueelIntravasaleToegangStand&lt;&gt;"",CONCATENATE(Var_Neo_WerkbriefActueelIntravasaleToegangTekst," ",Var_Neo_WerkbriefActueelIntravasaleToegangStand, " ml/uur"),"")</f>
        <v/>
      </c>
    </row>
    <row r="104" spans="1:7" x14ac:dyDescent="0.2">
      <c r="A104" s="321" t="s">
        <v>1148</v>
      </c>
      <c r="B104" s="323" t="s">
        <v>1136</v>
      </c>
      <c r="C104" s="320" t="str">
        <f ca="1">IF(NeoBerInfB!C35&lt;&gt;0,CONCATENATE(INDEX(tbl_Neo_IntralipidSmof,Var_Neo_InfB_IntralipidSmof)," ",ROUNDUP(NeoBerInfB!C35/24,1)," ml/uur"),"")</f>
        <v/>
      </c>
    </row>
    <row r="105" spans="1:7" x14ac:dyDescent="0.2">
      <c r="A105" s="321" t="s">
        <v>1148</v>
      </c>
      <c r="B105" s="323" t="s">
        <v>1137</v>
      </c>
      <c r="C105" s="320" t="str">
        <f ca="1">IF(Var_Neo_WerkbriefActueelTPNStand&lt;&gt;"",CONCATENATE("TPN: ",Var_Neo_WerkbriefActueelTPNStand, " ml/uur"),"")</f>
        <v/>
      </c>
      <c r="D105" s="320"/>
    </row>
    <row r="106" spans="1:7" x14ac:dyDescent="0.2">
      <c r="A106" s="321" t="s">
        <v>1148</v>
      </c>
      <c r="B106" s="323" t="s">
        <v>1138</v>
      </c>
      <c r="C106" s="320" t="str">
        <f ca="1">IF(Var_Neo_WerkbriefActueelTPNStand&lt;&gt;"",CONCATENATE("TPN Totaal: ",Var_Neo_WerkbriefActueelTPNTotaalGeheel,",", Var_Neo_WerkbriefActueelTPNTotaalBreuk, " ml"),"")</f>
        <v/>
      </c>
      <c r="D106" s="320"/>
    </row>
    <row r="107" spans="1:7" s="320" customFormat="1" x14ac:dyDescent="0.2">
      <c r="A107" s="321" t="s">
        <v>1148</v>
      </c>
      <c r="B107" s="323" t="s">
        <v>1139</v>
      </c>
      <c r="C107" s="320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  <c r="E107"/>
    </row>
    <row r="108" spans="1:7" s="320" customFormat="1" x14ac:dyDescent="0.2">
      <c r="A108" s="321" t="s">
        <v>1148</v>
      </c>
      <c r="B108" s="323" t="s">
        <v>1140</v>
      </c>
      <c r="C108" s="320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  <c r="E108"/>
    </row>
    <row r="109" spans="1:7" s="320" customFormat="1" x14ac:dyDescent="0.2">
      <c r="A109" s="321" t="s">
        <v>1148</v>
      </c>
      <c r="B109" s="323" t="s">
        <v>1141</v>
      </c>
      <c r="C109" s="320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  <c r="E109"/>
      <c r="F109"/>
      <c r="G109"/>
    </row>
    <row r="110" spans="1:7" s="320" customFormat="1" x14ac:dyDescent="0.2">
      <c r="A110" s="321" t="s">
        <v>1148</v>
      </c>
      <c r="B110" s="323" t="s">
        <v>1142</v>
      </c>
      <c r="C110" s="320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  <c r="E110"/>
    </row>
    <row r="111" spans="1:7" s="320" customFormat="1" x14ac:dyDescent="0.2">
      <c r="A111" s="321" t="s">
        <v>1148</v>
      </c>
      <c r="B111" s="323" t="s">
        <v>1143</v>
      </c>
      <c r="C111" s="320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  <c r="E111"/>
    </row>
    <row r="112" spans="1:7" s="320" customFormat="1" x14ac:dyDescent="0.2">
      <c r="A112" s="321" t="s">
        <v>1148</v>
      </c>
      <c r="B112" s="323" t="s">
        <v>1144</v>
      </c>
      <c r="C112" s="320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  <c r="E112"/>
    </row>
    <row r="113" spans="1:7" x14ac:dyDescent="0.2">
      <c r="A113" s="321" t="s">
        <v>1148</v>
      </c>
      <c r="B113" s="323" t="s">
        <v>1145</v>
      </c>
      <c r="C113" s="320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  <c r="D113" s="320"/>
      <c r="F113" s="320"/>
      <c r="G113" s="320"/>
    </row>
    <row r="114" spans="1:7" x14ac:dyDescent="0.2">
      <c r="A114" s="321" t="s">
        <v>1148</v>
      </c>
      <c r="B114" s="323" t="s">
        <v>1146</v>
      </c>
      <c r="C114" s="320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  <c r="D114" s="320"/>
      <c r="F114" s="320"/>
      <c r="G114" s="320"/>
    </row>
    <row r="115" spans="1:7" x14ac:dyDescent="0.2">
      <c r="A115" s="321" t="s">
        <v>1148</v>
      </c>
      <c r="B115" s="323" t="s">
        <v>1147</v>
      </c>
      <c r="C115" s="320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  <c r="D115" s="320"/>
      <c r="F115" s="320"/>
      <c r="G115" s="320"/>
    </row>
    <row r="116" spans="1:7" s="320" customFormat="1" x14ac:dyDescent="0.2">
      <c r="A116" s="321" t="s">
        <v>1149</v>
      </c>
      <c r="B116" s="323" t="s">
        <v>445</v>
      </c>
      <c r="C116" s="320" t="str">
        <f>IF(Var_Neo_InfB_Voeding_02&lt;&gt;"",Var_Neo_InfB_Voeding_02,"")</f>
        <v>Voeding: MM of Nenatal 1</v>
      </c>
      <c r="D116"/>
      <c r="E116"/>
    </row>
    <row r="117" spans="1:7" s="320" customFormat="1" x14ac:dyDescent="0.2">
      <c r="A117" s="321" t="s">
        <v>1149</v>
      </c>
      <c r="B117" s="323" t="s">
        <v>446</v>
      </c>
      <c r="C117" s="320" t="str">
        <f>IF(Var_Neo_InfB_Voeding_03&lt;&gt;"",Var_Neo_InfB_Voeding_03,"")</f>
        <v>Hoeveelheid 1:  0 maal 0 ml</v>
      </c>
      <c r="D117"/>
      <c r="E117"/>
    </row>
    <row r="118" spans="1:7" x14ac:dyDescent="0.2">
      <c r="A118" s="321" t="s">
        <v>1149</v>
      </c>
      <c r="B118" s="323" t="s">
        <v>447</v>
      </c>
      <c r="C118" s="320" t="str">
        <f>IF(Var_Neo_InfB_Voeding_04&lt;&gt;"",Var_Neo_InfB_Voeding_04,"")</f>
        <v>Hoeveelheid 2:  0 maal 0 ml</v>
      </c>
    </row>
    <row r="119" spans="1:7" x14ac:dyDescent="0.2">
      <c r="A119" s="321" t="s">
        <v>1149</v>
      </c>
      <c r="B119" s="323" t="s">
        <v>448</v>
      </c>
      <c r="C119" s="320" t="str">
        <f>IF(Var_Neo_InfB_Voeding_05&lt;&gt;"",Var_Neo_InfB_Voeding_05,"")</f>
        <v/>
      </c>
    </row>
    <row r="120" spans="1:7" s="320" customFormat="1" x14ac:dyDescent="0.2">
      <c r="A120" s="321" t="s">
        <v>1149</v>
      </c>
      <c r="B120" s="323" t="s">
        <v>449</v>
      </c>
      <c r="C120" s="320" t="str">
        <f>IF(Var_Neo_InfB_Voeding_06&lt;&gt;"",Var_Neo_InfB_Voeding_06,"")</f>
        <v/>
      </c>
    </row>
    <row r="121" spans="1:7" x14ac:dyDescent="0.2">
      <c r="A121" s="321" t="s">
        <v>1149</v>
      </c>
      <c r="B121" s="323" t="s">
        <v>450</v>
      </c>
      <c r="C121" s="320" t="str">
        <f>IF(Var_Neo_InfB_Voeding_07&lt;&gt;"",Var_Neo_InfB_Voeding_07,"")</f>
        <v/>
      </c>
      <c r="D121" s="320"/>
      <c r="E121" s="320"/>
    </row>
    <row r="122" spans="1:7" x14ac:dyDescent="0.2">
      <c r="A122" s="321" t="s">
        <v>1149</v>
      </c>
      <c r="B122" s="323" t="s">
        <v>451</v>
      </c>
      <c r="C122" s="320" t="str">
        <f>IF(Var_Neo_InfB_Voeding_08&lt;&gt;"",Var_Neo_InfB_Voeding_08,"")</f>
        <v/>
      </c>
      <c r="D122" s="320"/>
      <c r="E122" s="320"/>
    </row>
    <row r="123" spans="1:7" x14ac:dyDescent="0.2">
      <c r="A123" s="321" t="s">
        <v>1149</v>
      </c>
      <c r="B123" s="323" t="s">
        <v>452</v>
      </c>
      <c r="C123" s="320" t="str">
        <f>IF(Var_Neo_InfB_Voeding_09&lt;&gt;"",Var_Neo_InfB_Voeding_09,"")</f>
        <v/>
      </c>
      <c r="D123" s="320"/>
      <c r="E123" s="320"/>
    </row>
    <row r="124" spans="1:7" s="320" customFormat="1" x14ac:dyDescent="0.2">
      <c r="A124" s="321" t="s">
        <v>1149</v>
      </c>
      <c r="B124" s="323" t="s">
        <v>453</v>
      </c>
      <c r="C124" s="320" t="str">
        <f>IF(Var_Neo_InfB_Voeding_10&lt;&gt;"",Var_Neo_InfB_Voeding_10,"")</f>
        <v/>
      </c>
      <c r="F124"/>
      <c r="G124"/>
    </row>
    <row r="125" spans="1:7" x14ac:dyDescent="0.2">
      <c r="A125" s="321" t="s">
        <v>1149</v>
      </c>
      <c r="B125" s="323" t="s">
        <v>681</v>
      </c>
      <c r="C125" s="320" t="str">
        <f>IF(Var_Neo_InfB_Voeding_11&lt;&gt;"",Var_Neo_InfB_Voeding_11,"")</f>
        <v/>
      </c>
      <c r="D125" s="320"/>
      <c r="E125" s="320"/>
    </row>
    <row r="126" spans="1:7" x14ac:dyDescent="0.2">
      <c r="A126" s="321" t="s">
        <v>1149</v>
      </c>
      <c r="B126" s="323" t="s">
        <v>682</v>
      </c>
      <c r="C126" s="320" t="str">
        <f>IF(Var_Neo_InfB_Voeding_12&lt;&gt;"",Var_Neo_InfB_Voeding_12,"")</f>
        <v/>
      </c>
      <c r="D126" s="320"/>
      <c r="E126" s="320"/>
    </row>
    <row r="127" spans="1:7" x14ac:dyDescent="0.2">
      <c r="A127" s="321" t="s">
        <v>1149</v>
      </c>
      <c r="B127" s="323" t="s">
        <v>683</v>
      </c>
      <c r="C127" s="320" t="str">
        <f>IF(Var_Neo_InfB_Voeding_13&lt;&gt;"",Var_Neo_InfB_Voeding_13,"")</f>
        <v/>
      </c>
      <c r="D127" s="320"/>
      <c r="E127" s="320"/>
      <c r="F127" s="320"/>
      <c r="G127" s="320"/>
    </row>
    <row r="128" spans="1:7" x14ac:dyDescent="0.2">
      <c r="A128" s="321" t="s">
        <v>750</v>
      </c>
      <c r="B128" s="323" t="s">
        <v>445</v>
      </c>
      <c r="C128" t="str">
        <f>IF(NeoGuiAfspr!C45="","",CONCATENATE(NeoGuiAfspr!B45,": ",NeoGuiAfspr!C45))</f>
        <v/>
      </c>
      <c r="E128" s="321"/>
    </row>
    <row r="129" spans="1:5" x14ac:dyDescent="0.2">
      <c r="A129" s="321" t="s">
        <v>750</v>
      </c>
      <c r="B129" s="323" t="s">
        <v>446</v>
      </c>
      <c r="C129" s="320" t="str">
        <f>IF(NeoGuiAfspr!C46="","",CONCATENATE(NeoGuiAfspr!B46,": ",NeoGuiAfspr!C46))</f>
        <v/>
      </c>
      <c r="E129" s="321"/>
    </row>
    <row r="130" spans="1:5" s="320" customFormat="1" x14ac:dyDescent="0.2">
      <c r="A130" s="321" t="s">
        <v>750</v>
      </c>
      <c r="B130" s="323" t="s">
        <v>447</v>
      </c>
      <c r="C130" s="320" t="str">
        <f>IF(NeoGuiAfspr!C47="","",CONCATENATE(NeoGuiAfspr!B47,": ",NeoGuiAfspr!C47))</f>
        <v/>
      </c>
      <c r="E130" s="321"/>
    </row>
    <row r="131" spans="1:5" s="320" customFormat="1" x14ac:dyDescent="0.2">
      <c r="A131" s="321" t="s">
        <v>750</v>
      </c>
      <c r="B131" s="323" t="s">
        <v>448</v>
      </c>
      <c r="C131" s="320" t="str">
        <f>IF(NeoGuiAfspr!C48="","",CONCATENATE(NeoGuiAfspr!B48,": ",NeoGuiAfspr!C48))</f>
        <v/>
      </c>
      <c r="D131"/>
      <c r="E131" s="321"/>
    </row>
    <row r="132" spans="1:5" x14ac:dyDescent="0.2">
      <c r="A132" s="321" t="s">
        <v>750</v>
      </c>
      <c r="B132" s="323" t="s">
        <v>449</v>
      </c>
      <c r="C132" s="320" t="str">
        <f>IF(NeoGuiAfspr!C49="","",CONCATENATE(NeoGuiAfspr!B49,": ",NeoGuiAfspr!C49))</f>
        <v/>
      </c>
      <c r="E132" s="321"/>
    </row>
    <row r="133" spans="1:5" x14ac:dyDescent="0.2">
      <c r="A133" s="320" t="s">
        <v>679</v>
      </c>
      <c r="B133" s="323" t="s">
        <v>445</v>
      </c>
      <c r="C133" s="320" t="str">
        <f>IF(NeoGuiInfB!D65&lt;&gt;"",NeoGuiInfB!C65&amp;": "&amp;NeoGuiInfB!D65,"")</f>
        <v/>
      </c>
    </row>
    <row r="134" spans="1:5" x14ac:dyDescent="0.2">
      <c r="A134" s="320" t="s">
        <v>679</v>
      </c>
      <c r="B134" s="323" t="s">
        <v>446</v>
      </c>
      <c r="C134" s="320" t="str">
        <f>IF(NeoGuiInfB!D66&lt;&gt;"",NeoGuiInfB!C66&amp;": "&amp;NeoGuiInfB!D66,"")</f>
        <v/>
      </c>
    </row>
    <row r="135" spans="1:5" x14ac:dyDescent="0.2">
      <c r="A135" s="320" t="s">
        <v>679</v>
      </c>
      <c r="B135" s="323" t="s">
        <v>447</v>
      </c>
      <c r="C135" s="320" t="str">
        <f>IF(NeoGuiInfB!D67&lt;&gt;"",NeoGuiInfB!C67&amp;": "&amp;NeoGuiInfB!D67,"")</f>
        <v/>
      </c>
    </row>
    <row r="136" spans="1:5" x14ac:dyDescent="0.2">
      <c r="A136" s="320" t="s">
        <v>679</v>
      </c>
      <c r="B136" s="323" t="s">
        <v>448</v>
      </c>
      <c r="C136" s="320" t="str">
        <f>IF(NeoGuiInfB!D68&lt;&gt;"",NeoGuiInfB!C68&amp;": "&amp;NeoGuiInfB!D68,"")</f>
        <v/>
      </c>
    </row>
    <row r="137" spans="1:5" x14ac:dyDescent="0.2">
      <c r="A137" s="320" t="s">
        <v>679</v>
      </c>
      <c r="B137" s="323" t="s">
        <v>449</v>
      </c>
      <c r="C137" s="320" t="str">
        <f>IF(NeoGuiInfB!D69&lt;&gt;"",NeoGuiInfB!C69&amp;": "&amp;NeoGuiInfB!D69,"")</f>
        <v/>
      </c>
      <c r="D137" s="320"/>
      <c r="E137" s="320"/>
    </row>
    <row r="138" spans="1:5" x14ac:dyDescent="0.2">
      <c r="A138" s="320" t="s">
        <v>679</v>
      </c>
      <c r="B138" s="323" t="s">
        <v>450</v>
      </c>
      <c r="C138" s="320" t="str">
        <f>IF(NeoGuiInfB!D70&lt;&gt;"",NeoGuiInfB!C70&amp;": "&amp;NeoGuiInfB!D70,"")</f>
        <v/>
      </c>
    </row>
    <row r="139" spans="1:5" x14ac:dyDescent="0.2">
      <c r="A139" s="320" t="s">
        <v>679</v>
      </c>
      <c r="B139" s="323" t="s">
        <v>451</v>
      </c>
      <c r="C139" s="320" t="str">
        <f>IF(NeoGuiInfB!D71&lt;&gt;"",NeoGuiInfB!C71&amp;" "&amp;NeoGuiInfB!D71,"")</f>
        <v/>
      </c>
    </row>
    <row r="140" spans="1:5" x14ac:dyDescent="0.2">
      <c r="A140" s="320" t="s">
        <v>679</v>
      </c>
      <c r="B140" s="323" t="s">
        <v>452</v>
      </c>
      <c r="C140" s="320" t="str">
        <f>IF(NeoGuiInfB!D72&lt;&gt;"",NeoGuiInfB!C72&amp;" "&amp;NeoGuiInfB!D72,"")</f>
        <v/>
      </c>
      <c r="D140" s="320"/>
      <c r="E140" s="320"/>
    </row>
    <row r="141" spans="1:5" x14ac:dyDescent="0.2">
      <c r="A141" s="320" t="s">
        <v>679</v>
      </c>
      <c r="B141" s="323" t="s">
        <v>453</v>
      </c>
      <c r="C141" s="320" t="str">
        <f>IF(NeoGuiInfB!D73&lt;&gt;"",NeoGuiInfB!C73&amp;" "&amp;NeoGuiInfB!D73,"")</f>
        <v/>
      </c>
      <c r="D141" s="320"/>
      <c r="E141" s="320"/>
    </row>
    <row r="142" spans="1:5" x14ac:dyDescent="0.2">
      <c r="A142" s="320" t="s">
        <v>680</v>
      </c>
      <c r="B142" s="323" t="s">
        <v>445</v>
      </c>
      <c r="C142" s="321" t="e">
        <f ca="1">CONCATENATE(NeoGuiInfB!B3,"        : ",NeoGuiInfB!$C$2," - ",NeoGuiInfB!C3,"; ",NeoGuiInfB!$D$2," - ",NeoGuiInfB!D3,"; ",NeoGuiInfB!$E$2," - ",NeoGuiInfB!E3,";")</f>
        <v>#DIV/0!</v>
      </c>
    </row>
    <row r="143" spans="1:5" x14ac:dyDescent="0.2">
      <c r="A143" s="320" t="s">
        <v>680</v>
      </c>
      <c r="B143" s="323" t="s">
        <v>446</v>
      </c>
      <c r="C143" s="321" t="e">
        <f ca="1">CONCATENATE(NeoGuiInfB!B4,"            : ",NeoGuiInfB!C2," - ",NeoGuiInfB!C4,"; ",NeoGuiInfB!$D$2," - ",NeoGuiInfB!D4,"; ",NeoGuiInfB!$E$2," - ",NeoGuiInfB!E4,";")</f>
        <v>#DIV/0!</v>
      </c>
    </row>
    <row r="144" spans="1:5" x14ac:dyDescent="0.2">
      <c r="A144" s="320" t="s">
        <v>680</v>
      </c>
      <c r="B144" s="323" t="s">
        <v>447</v>
      </c>
      <c r="C144" s="321" t="e">
        <f ca="1">CONCATENATE(NeoGuiInfB!B5,"              : ",NeoGuiInfB!$C$2," - ",NeoGuiInfB!C5,"; ",NeoGuiInfB!$D$2," - ",NeoGuiInfB!D5,"; ",NeoGuiInfB!$E$2," - ",NeoGuiInfB!E5,";")</f>
        <v>#DIV/0!</v>
      </c>
    </row>
    <row r="145" spans="1:3" x14ac:dyDescent="0.2">
      <c r="A145" s="320" t="s">
        <v>680</v>
      </c>
      <c r="B145" s="323" t="s">
        <v>448</v>
      </c>
      <c r="C145" s="321" t="e">
        <f>CONCATENATE(NeoGuiInfB!B6,"       : ",NeoGuiInfB!$C$2," - ",NeoGuiInfB!C6,"; ",NeoGuiInfB!$D$2," - ",NeoGuiInfB!D6,"; ",NeoGuiInfB!$E$2," - ",NeoGuiInfB!E6,";")</f>
        <v>#DIV/0!</v>
      </c>
    </row>
    <row r="146" spans="1:3" x14ac:dyDescent="0.2">
      <c r="A146" s="320" t="s">
        <v>680</v>
      </c>
      <c r="B146" s="323" t="s">
        <v>449</v>
      </c>
      <c r="C146" s="321" t="e">
        <f ca="1">CONCATENATE(NeoGuiInfB!B7,"        : ",NeoGuiInfB!$C$2," - ",NeoGuiInfB!C7,"; ",NeoGuiInfB!$D$2," - ",NeoGuiInfB!D7,"; ",NeoGuiInfB!$E$2," - ",NeoGuiInfB!E7,";")</f>
        <v>#DIV/0!</v>
      </c>
    </row>
    <row r="147" spans="1:3" x14ac:dyDescent="0.2">
      <c r="A147" s="320" t="s">
        <v>680</v>
      </c>
      <c r="B147" s="323" t="s">
        <v>450</v>
      </c>
      <c r="C147" s="321" t="str">
        <f ca="1">CONCATENATE(NeoGuiInfB!B8,"            : ",NeoGuiInfB!$C$2," - ",NeoGuiInfB!C8,"; ",NeoGuiInfB!$D$2," - ",NeoGuiInfB!D8,"; ",NeoGuiInfB!$E$2," - ",NeoGuiInfB!E8,";")</f>
        <v>Vit D            : Intraveneus - 0 IE; Oraal - 0 IE; Totaal - 0 IE;</v>
      </c>
    </row>
    <row r="148" spans="1:3" x14ac:dyDescent="0.2">
      <c r="A148" s="320" t="s">
        <v>680</v>
      </c>
      <c r="B148" s="323" t="s">
        <v>451</v>
      </c>
      <c r="C148" s="321" t="e">
        <f ca="1">CONCATENATE(NeoGuiInfB!G3,"        : ",NeoGuiInfB!$H$2," - ",NeoGuiInfB!H3,"; ",NeoGuiInfB!$I$2," - ",NeoGuiInfB!I3,"; ",NeoGuiInfB!$J$2," - ",NeoGuiInfB!J3,";")</f>
        <v>#DIV/0!</v>
      </c>
    </row>
    <row r="149" spans="1:3" x14ac:dyDescent="0.2">
      <c r="A149" s="320" t="s">
        <v>680</v>
      </c>
      <c r="B149" s="323" t="s">
        <v>452</v>
      </c>
      <c r="C149" s="321" t="e">
        <f ca="1">CONCATENATE(NeoGuiInfB!G4,"         : ",NeoGuiInfB!$H$2," - ",NeoGuiInfB!H4,"; ",NeoGuiInfB!$I$2," - ",NeoGuiInfB!I4,"; ",NeoGuiInfB!$J$2," - ",NeoGuiInfB!J4,";")</f>
        <v>#DIV/0!</v>
      </c>
    </row>
    <row r="150" spans="1:3" x14ac:dyDescent="0.2">
      <c r="A150" s="320" t="s">
        <v>680</v>
      </c>
      <c r="B150" s="323" t="s">
        <v>453</v>
      </c>
      <c r="C150" s="321" t="e">
        <f ca="1">CONCATENATE(NeoGuiInfB!G5,"       : ",NeoGuiInfB!$H$2," - ",NeoGuiInfB!H5,"; ",NeoGuiInfB!$I$2," - ",NeoGuiInfB!I5,"; ",NeoGuiInfB!$J$2," - ",NeoGuiInfB!J5,";")</f>
        <v>#DIV/0!</v>
      </c>
    </row>
    <row r="151" spans="1:3" x14ac:dyDescent="0.2">
      <c r="A151" s="320" t="s">
        <v>680</v>
      </c>
      <c r="B151" s="324" t="s">
        <v>681</v>
      </c>
      <c r="C151" s="321" t="e">
        <f ca="1">CONCATENATE(NeoGuiInfB!G6,"  : ",NeoGuiInfB!$H$2," - ",NeoGuiInfB!H6,"; ",NeoGuiInfB!$I$2," - ",NeoGuiInfB!I6,"; ",NeoGuiInfB!$J$2," - ",NeoGuiInfB!J6,";")</f>
        <v>#DIV/0!</v>
      </c>
    </row>
    <row r="152" spans="1:3" x14ac:dyDescent="0.2">
      <c r="A152" s="320" t="s">
        <v>680</v>
      </c>
      <c r="B152" s="324" t="s">
        <v>682</v>
      </c>
      <c r="C152" s="321" t="e">
        <f ca="1">CONCATENATE(NeoGuiInfB!G7,"          : ",NeoGuiInfB!$H$2," - ",NeoGuiInfB!H7,"; ",NeoGuiInfB!$I$2," - ",NeoGuiInfB!I7,"; ",NeoGuiInfB!$J$2," - ",NeoGuiInfB!J7,";")</f>
        <v>#DIV/0!</v>
      </c>
    </row>
    <row r="153" spans="1:3" x14ac:dyDescent="0.2">
      <c r="A153" s="320" t="s">
        <v>680</v>
      </c>
      <c r="B153" s="324" t="s">
        <v>683</v>
      </c>
      <c r="C153" s="321" t="e">
        <f>CONCATENATE(NeoGuiInfB!G8,"         : ",NeoGuiInfB!$H$2," - ",NeoGuiInfB!H8,"; ",NeoGuiInfB!$I$2," - ",NeoGuiInfB!I8,"; ",NeoGuiInfB!$J$2," - ",NeoGuiInfB!J8,";")</f>
        <v>#DIV/0!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598"/>
  <sheetViews>
    <sheetView zoomScaleNormal="100" workbookViewId="0">
      <pane xSplit="1" ySplit="1" topLeftCell="B1496" activePane="bottomRight" state="frozen"/>
      <selection activeCell="C22" sqref="C22"/>
      <selection pane="topRight" activeCell="C22" sqref="C22"/>
      <selection pane="bottomLeft" activeCell="C22" sqref="C22"/>
      <selection pane="bottomRight" activeCell="A1542" sqref="A1542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361" t="s">
        <v>166</v>
      </c>
      <c r="B1" t="s">
        <v>167</v>
      </c>
      <c r="C1" s="321" t="s">
        <v>2510</v>
      </c>
    </row>
    <row r="2" spans="1:6" x14ac:dyDescent="0.2">
      <c r="A2" s="320" t="s">
        <v>1205</v>
      </c>
      <c r="B2" s="320" t="str">
        <f>IF(ISBLANK(PatDetails!$B$1),"",PatDetails!$B$1)</f>
        <v/>
      </c>
      <c r="C2" s="700"/>
    </row>
    <row r="3" spans="1:6" x14ac:dyDescent="0.2">
      <c r="A3" s="320" t="s">
        <v>1206</v>
      </c>
      <c r="B3" s="320" t="str">
        <f>IF(ISBLANK(PatDetails!$B$2),"",PatDetails!$B$2)</f>
        <v/>
      </c>
      <c r="C3" s="700"/>
    </row>
    <row r="4" spans="1:6" x14ac:dyDescent="0.2">
      <c r="A4" s="320" t="s">
        <v>1207</v>
      </c>
      <c r="B4" s="320" t="str">
        <f>IF(ISBLANK(PatDetails!$B$3),"",PatDetails!$B$3)</f>
        <v/>
      </c>
      <c r="C4" s="700"/>
    </row>
    <row r="5" spans="1:6" x14ac:dyDescent="0.2">
      <c r="A5" s="320" t="s">
        <v>1208</v>
      </c>
      <c r="B5" s="320" t="str">
        <f>IF(ISBLANK(PatDetails!$B$4),"",PatDetails!$B$4)</f>
        <v/>
      </c>
      <c r="C5" s="700"/>
    </row>
    <row r="6" spans="1:6" x14ac:dyDescent="0.2">
      <c r="A6" s="320" t="s">
        <v>1209</v>
      </c>
      <c r="B6" s="26">
        <f>IF(ISBLANK(PatDetails!$B$5),"",PatDetails!$B$5)</f>
        <v>1462</v>
      </c>
      <c r="C6" s="132">
        <f>EmptyDate()</f>
        <v>1462</v>
      </c>
      <c r="E6" s="132"/>
    </row>
    <row r="7" spans="1:6" x14ac:dyDescent="0.2">
      <c r="A7" s="320" t="s">
        <v>2512</v>
      </c>
      <c r="B7" t="str">
        <f>IF(ISBLANK(GlobBerMedDisc!$AH$2),"",GlobBerMedDisc!$AH$2)</f>
        <v/>
      </c>
      <c r="C7" s="700"/>
    </row>
    <row r="8" spans="1:6" x14ac:dyDescent="0.2">
      <c r="A8" s="320" t="s">
        <v>2513</v>
      </c>
      <c r="B8" t="str">
        <f>IF(ISBLANK(GlobBerMedDisc!$AH$3),"",GlobBerMedDisc!$AH$3)</f>
        <v/>
      </c>
      <c r="C8" s="700"/>
    </row>
    <row r="9" spans="1:6" x14ac:dyDescent="0.2">
      <c r="A9" s="320" t="s">
        <v>2514</v>
      </c>
      <c r="B9" t="str">
        <f>IF(ISBLANK(GlobBerMedDisc!$AH$4),"",GlobBerMedDisc!$AH$4)</f>
        <v/>
      </c>
      <c r="C9" s="700"/>
    </row>
    <row r="10" spans="1:6" x14ac:dyDescent="0.2">
      <c r="A10" s="320" t="s">
        <v>2515</v>
      </c>
      <c r="B10" t="str">
        <f>IF(ISBLANK(GlobBerMedDisc!$AH$5),"",GlobBerMedDisc!$AH$5)</f>
        <v/>
      </c>
      <c r="C10" s="700"/>
    </row>
    <row r="11" spans="1:6" x14ac:dyDescent="0.2">
      <c r="A11" s="320" t="s">
        <v>2516</v>
      </c>
      <c r="B11" t="str">
        <f>IF(ISBLANK(GlobBerMedDisc!$AH$6),"",GlobBerMedDisc!$AH$6)</f>
        <v/>
      </c>
      <c r="C11" s="700"/>
    </row>
    <row r="12" spans="1:6" x14ac:dyDescent="0.2">
      <c r="A12" s="320" t="s">
        <v>2517</v>
      </c>
      <c r="B12" t="str">
        <f>IF(ISBLANK(GlobBerMedDisc!$AH$7),"",GlobBerMedDisc!$AH$7)</f>
        <v/>
      </c>
      <c r="C12" s="700"/>
    </row>
    <row r="13" spans="1:6" x14ac:dyDescent="0.2">
      <c r="A13" s="320" t="s">
        <v>2518</v>
      </c>
      <c r="B13" t="str">
        <f>IF(ISBLANK(GlobBerMedDisc!$AH$8),"",GlobBerMedDisc!$AH$8)</f>
        <v/>
      </c>
      <c r="C13" s="700"/>
      <c r="F13" s="320"/>
    </row>
    <row r="14" spans="1:6" x14ac:dyDescent="0.2">
      <c r="A14" s="320" t="s">
        <v>2519</v>
      </c>
      <c r="B14" t="str">
        <f>IF(ISBLANK(GlobBerMedDisc!$AH$9),"",GlobBerMedDisc!$AH$9)</f>
        <v/>
      </c>
      <c r="C14" s="700"/>
    </row>
    <row r="15" spans="1:6" x14ac:dyDescent="0.2">
      <c r="A15" s="320" t="s">
        <v>2520</v>
      </c>
      <c r="B15" t="str">
        <f>IF(ISBLANK(GlobBerMedDisc!$AH$10),"",GlobBerMedDisc!$AH$10)</f>
        <v/>
      </c>
      <c r="C15" s="700"/>
    </row>
    <row r="16" spans="1:6" x14ac:dyDescent="0.2">
      <c r="A16" s="320" t="s">
        <v>2521</v>
      </c>
      <c r="B16" t="str">
        <f>IF(ISBLANK(GlobBerMedDisc!$AH$11),"",GlobBerMedDisc!$AH$11)</f>
        <v/>
      </c>
      <c r="C16" s="700"/>
    </row>
    <row r="17" spans="1:3" x14ac:dyDescent="0.2">
      <c r="A17" s="320" t="s">
        <v>2522</v>
      </c>
      <c r="B17" t="str">
        <f>IF(ISBLANK(GlobBerMedDisc!$AH$12),"",GlobBerMedDisc!$AH$12)</f>
        <v/>
      </c>
      <c r="C17" s="700"/>
    </row>
    <row r="18" spans="1:3" x14ac:dyDescent="0.2">
      <c r="A18" s="320" t="s">
        <v>2523</v>
      </c>
      <c r="B18" t="str">
        <f>IF(ISBLANK(GlobBerMedDisc!$AH$13),"",GlobBerMedDisc!$AH$13)</f>
        <v/>
      </c>
      <c r="C18" s="700"/>
    </row>
    <row r="19" spans="1:3" x14ac:dyDescent="0.2">
      <c r="A19" s="320" t="s">
        <v>2524</v>
      </c>
      <c r="B19" t="str">
        <f>IF(ISBLANK(GlobBerMedDisc!$AH$14),"",GlobBerMedDisc!$AH$14)</f>
        <v/>
      </c>
      <c r="C19" s="700"/>
    </row>
    <row r="20" spans="1:3" x14ac:dyDescent="0.2">
      <c r="A20" s="320" t="s">
        <v>2525</v>
      </c>
      <c r="B20" t="str">
        <f>IF(ISBLANK(GlobBerMedDisc!$AH$15),"",GlobBerMedDisc!$AH$15)</f>
        <v/>
      </c>
      <c r="C20" s="700"/>
    </row>
    <row r="21" spans="1:3" x14ac:dyDescent="0.2">
      <c r="A21" s="320" t="s">
        <v>2526</v>
      </c>
      <c r="B21" t="str">
        <f>IF(ISBLANK(GlobBerMedDisc!$AH$16),"",GlobBerMedDisc!$AH$16)</f>
        <v/>
      </c>
      <c r="C21" s="700"/>
    </row>
    <row r="22" spans="1:3" x14ac:dyDescent="0.2">
      <c r="A22" s="320" t="s">
        <v>2527</v>
      </c>
      <c r="B22" t="str">
        <f>IF(ISBLANK(GlobBerMedDisc!$AH$17),"",GlobBerMedDisc!$AH$17)</f>
        <v/>
      </c>
      <c r="C22" s="700"/>
    </row>
    <row r="23" spans="1:3" x14ac:dyDescent="0.2">
      <c r="A23" s="320" t="s">
        <v>2528</v>
      </c>
      <c r="B23" t="str">
        <f>IF(ISBLANK(GlobBerMedDisc!$AH$18),"",GlobBerMedDisc!$AH$18)</f>
        <v/>
      </c>
      <c r="C23" s="700"/>
    </row>
    <row r="24" spans="1:3" x14ac:dyDescent="0.2">
      <c r="A24" s="320" t="s">
        <v>2529</v>
      </c>
      <c r="B24" t="str">
        <f>IF(ISBLANK(GlobBerMedDisc!$AH$19),"",GlobBerMedDisc!$AH$19)</f>
        <v/>
      </c>
      <c r="C24" s="700"/>
    </row>
    <row r="25" spans="1:3" x14ac:dyDescent="0.2">
      <c r="A25" s="320" t="s">
        <v>2530</v>
      </c>
      <c r="B25" t="str">
        <f>IF(ISBLANK(GlobBerMedDisc!$AH$20),"",GlobBerMedDisc!$AH$20)</f>
        <v/>
      </c>
      <c r="C25" s="700"/>
    </row>
    <row r="26" spans="1:3" x14ac:dyDescent="0.2">
      <c r="A26" s="320" t="s">
        <v>2531</v>
      </c>
      <c r="B26" t="str">
        <f>IF(ISBLANK(GlobBerMedDisc!$AH$21),"",GlobBerMedDisc!$AH$21)</f>
        <v/>
      </c>
      <c r="C26" s="700"/>
    </row>
    <row r="27" spans="1:3" x14ac:dyDescent="0.2">
      <c r="A27" s="320" t="s">
        <v>2532</v>
      </c>
      <c r="B27" t="str">
        <f>IF(ISBLANK(GlobBerMedDisc!$AH$22),"",GlobBerMedDisc!$AH$22)</f>
        <v/>
      </c>
      <c r="C27" s="700"/>
    </row>
    <row r="28" spans="1:3" x14ac:dyDescent="0.2">
      <c r="A28" s="320" t="s">
        <v>2533</v>
      </c>
      <c r="B28" t="str">
        <f>IF(ISBLANK(GlobBerMedDisc!$AH$23),"",GlobBerMedDisc!$AH$23)</f>
        <v/>
      </c>
      <c r="C28" s="700"/>
    </row>
    <row r="29" spans="1:3" x14ac:dyDescent="0.2">
      <c r="A29" s="320" t="s">
        <v>2534</v>
      </c>
      <c r="B29" t="str">
        <f>IF(ISBLANK(GlobBerMedDisc!$AH$24),"",GlobBerMedDisc!$AH$24)</f>
        <v/>
      </c>
      <c r="C29" s="700"/>
    </row>
    <row r="30" spans="1:3" x14ac:dyDescent="0.2">
      <c r="A30" s="320" t="s">
        <v>2535</v>
      </c>
      <c r="B30" t="str">
        <f>IF(ISBLANK(GlobBerMedDisc!$AH$25),"",GlobBerMedDisc!$AH$25)</f>
        <v/>
      </c>
      <c r="C30" s="700"/>
    </row>
    <row r="31" spans="1:3" x14ac:dyDescent="0.2">
      <c r="A31" s="320" t="s">
        <v>2536</v>
      </c>
      <c r="B31" t="str">
        <f>IF(ISBLANK(GlobBerMedDisc!$AH$26),"",GlobBerMedDisc!$AH$26)</f>
        <v/>
      </c>
      <c r="C31" s="700"/>
    </row>
    <row r="32" spans="1:3" x14ac:dyDescent="0.2">
      <c r="A32" s="320" t="s">
        <v>2537</v>
      </c>
      <c r="B32" t="str">
        <f>IF(ISBLANK(GlobBerMedDisc!$AH$27),"",GlobBerMedDisc!$AH$27)</f>
        <v/>
      </c>
      <c r="C32" s="700"/>
    </row>
    <row r="33" spans="1:6" x14ac:dyDescent="0.2">
      <c r="A33" s="320" t="s">
        <v>2538</v>
      </c>
      <c r="B33" t="str">
        <f>IF(ISBLANK(GlobBerMedDisc!$AH$28),"",GlobBerMedDisc!$AH$28)</f>
        <v/>
      </c>
      <c r="C33" s="700"/>
    </row>
    <row r="34" spans="1:6" x14ac:dyDescent="0.2">
      <c r="A34" s="320" t="s">
        <v>2539</v>
      </c>
      <c r="B34" t="str">
        <f>IF(ISBLANK(GlobBerMedDisc!$AH$29),"",GlobBerMedDisc!$AH$29)</f>
        <v/>
      </c>
      <c r="C34" s="700"/>
    </row>
    <row r="35" spans="1:6" x14ac:dyDescent="0.2">
      <c r="A35" s="320" t="s">
        <v>2540</v>
      </c>
      <c r="B35" t="str">
        <f>IF(ISBLANK(GlobBerMedDisc!$AH$30),"",GlobBerMedDisc!$AH$30)</f>
        <v/>
      </c>
      <c r="C35" s="700"/>
    </row>
    <row r="36" spans="1:6" x14ac:dyDescent="0.2">
      <c r="A36" s="320" t="s">
        <v>2541</v>
      </c>
      <c r="B36" t="str">
        <f>IF(ISBLANK(GlobBerMedDisc!$AH$31),"",GlobBerMedDisc!$AH$31)</f>
        <v/>
      </c>
      <c r="C36" s="700"/>
    </row>
    <row r="37" spans="1:6" x14ac:dyDescent="0.2">
      <c r="A37" s="320" t="s">
        <v>2542</v>
      </c>
      <c r="B37" t="str">
        <f>IF(ISBLANK(GlobBerMedDisc!$F$2),"",GlobBerMedDisc!$F$2)</f>
        <v/>
      </c>
      <c r="C37" s="700"/>
    </row>
    <row r="38" spans="1:6" x14ac:dyDescent="0.2">
      <c r="A38" s="320" t="s">
        <v>2543</v>
      </c>
      <c r="B38" t="str">
        <f>IF(ISBLANK(GlobBerMedDisc!$F$3),"",GlobBerMedDisc!$F$3)</f>
        <v/>
      </c>
      <c r="C38" s="700"/>
    </row>
    <row r="39" spans="1:6" x14ac:dyDescent="0.2">
      <c r="A39" s="320" t="s">
        <v>2544</v>
      </c>
      <c r="B39" t="str">
        <f>IF(ISBLANK(GlobBerMedDisc!$F$4),"",GlobBerMedDisc!$F$4)</f>
        <v/>
      </c>
      <c r="C39" s="700"/>
    </row>
    <row r="40" spans="1:6" x14ac:dyDescent="0.2">
      <c r="A40" s="320" t="s">
        <v>2545</v>
      </c>
      <c r="B40" t="str">
        <f>IF(ISBLANK(GlobBerMedDisc!$F$5),"",GlobBerMedDisc!$F$5)</f>
        <v/>
      </c>
      <c r="C40" s="700"/>
      <c r="F40" s="320"/>
    </row>
    <row r="41" spans="1:6" x14ac:dyDescent="0.2">
      <c r="A41" s="320" t="s">
        <v>2546</v>
      </c>
      <c r="B41" t="str">
        <f>IF(ISBLANK(GlobBerMedDisc!$F$6),"",GlobBerMedDisc!$F$6)</f>
        <v/>
      </c>
      <c r="C41" s="700"/>
    </row>
    <row r="42" spans="1:6" x14ac:dyDescent="0.2">
      <c r="A42" s="320" t="s">
        <v>2547</v>
      </c>
      <c r="B42" t="str">
        <f>IF(ISBLANK(GlobBerMedDisc!$F$7),"",GlobBerMedDisc!$F$7)</f>
        <v/>
      </c>
      <c r="C42" s="700"/>
    </row>
    <row r="43" spans="1:6" x14ac:dyDescent="0.2">
      <c r="A43" s="320" t="s">
        <v>2548</v>
      </c>
      <c r="B43" t="str">
        <f>IF(ISBLANK(GlobBerMedDisc!$F$8),"",GlobBerMedDisc!$F$8)</f>
        <v/>
      </c>
      <c r="C43" s="700"/>
    </row>
    <row r="44" spans="1:6" x14ac:dyDescent="0.2">
      <c r="A44" s="320" t="s">
        <v>2549</v>
      </c>
      <c r="B44" t="str">
        <f>IF(ISBLANK(GlobBerMedDisc!$F$9),"",GlobBerMedDisc!$F$9)</f>
        <v/>
      </c>
      <c r="C44" s="700"/>
    </row>
    <row r="45" spans="1:6" x14ac:dyDescent="0.2">
      <c r="A45" s="320" t="s">
        <v>2550</v>
      </c>
      <c r="B45" t="str">
        <f>IF(ISBLANK(GlobBerMedDisc!$F$10),"",GlobBerMedDisc!$F$10)</f>
        <v/>
      </c>
      <c r="C45" s="700"/>
    </row>
    <row r="46" spans="1:6" x14ac:dyDescent="0.2">
      <c r="A46" s="320" t="s">
        <v>2551</v>
      </c>
      <c r="B46" t="str">
        <f>IF(ISBLANK(GlobBerMedDisc!$F$11),"",GlobBerMedDisc!$F$11)</f>
        <v/>
      </c>
      <c r="C46" s="700"/>
    </row>
    <row r="47" spans="1:6" x14ac:dyDescent="0.2">
      <c r="A47" s="320" t="s">
        <v>2552</v>
      </c>
      <c r="B47" t="str">
        <f>IF(ISBLANK(GlobBerMedDisc!$F$12),"",GlobBerMedDisc!$F$12)</f>
        <v/>
      </c>
      <c r="C47" s="700"/>
    </row>
    <row r="48" spans="1:6" x14ac:dyDescent="0.2">
      <c r="A48" s="320" t="s">
        <v>2553</v>
      </c>
      <c r="B48" t="str">
        <f>IF(ISBLANK(GlobBerMedDisc!$F$13),"",GlobBerMedDisc!$F$13)</f>
        <v/>
      </c>
      <c r="C48" s="700"/>
    </row>
    <row r="49" spans="1:3" x14ac:dyDescent="0.2">
      <c r="A49" s="320" t="s">
        <v>2554</v>
      </c>
      <c r="B49" t="str">
        <f>IF(ISBLANK(GlobBerMedDisc!$F$14),"",GlobBerMedDisc!$F$14)</f>
        <v/>
      </c>
      <c r="C49" s="700"/>
    </row>
    <row r="50" spans="1:3" x14ac:dyDescent="0.2">
      <c r="A50" s="320" t="s">
        <v>2555</v>
      </c>
      <c r="B50" t="str">
        <f>IF(ISBLANK(GlobBerMedDisc!$F$15),"",GlobBerMedDisc!$F$15)</f>
        <v/>
      </c>
      <c r="C50" s="700"/>
    </row>
    <row r="51" spans="1:3" x14ac:dyDescent="0.2">
      <c r="A51" s="320" t="s">
        <v>2556</v>
      </c>
      <c r="B51" t="str">
        <f>IF(ISBLANK(GlobBerMedDisc!$F$16),"",GlobBerMedDisc!$F$16)</f>
        <v/>
      </c>
      <c r="C51" s="700"/>
    </row>
    <row r="52" spans="1:3" x14ac:dyDescent="0.2">
      <c r="A52" s="320" t="s">
        <v>2557</v>
      </c>
      <c r="B52" t="str">
        <f>IF(ISBLANK(GlobBerMedDisc!$F$17),"",GlobBerMedDisc!$F$17)</f>
        <v/>
      </c>
      <c r="C52" s="700"/>
    </row>
    <row r="53" spans="1:3" x14ac:dyDescent="0.2">
      <c r="A53" s="320" t="s">
        <v>2558</v>
      </c>
      <c r="B53" t="str">
        <f>IF(ISBLANK(GlobBerMedDisc!$F$18),"",GlobBerMedDisc!$F$18)</f>
        <v/>
      </c>
      <c r="C53" s="700"/>
    </row>
    <row r="54" spans="1:3" x14ac:dyDescent="0.2">
      <c r="A54" s="320" t="s">
        <v>2559</v>
      </c>
      <c r="B54" t="str">
        <f>IF(ISBLANK(GlobBerMedDisc!$F$19),"",GlobBerMedDisc!$F$19)</f>
        <v/>
      </c>
      <c r="C54" s="700"/>
    </row>
    <row r="55" spans="1:3" x14ac:dyDescent="0.2">
      <c r="A55" s="320" t="s">
        <v>2560</v>
      </c>
      <c r="B55" t="str">
        <f>IF(ISBLANK(GlobBerMedDisc!$F$20),"",GlobBerMedDisc!$F$20)</f>
        <v/>
      </c>
      <c r="C55" s="700"/>
    </row>
    <row r="56" spans="1:3" x14ac:dyDescent="0.2">
      <c r="A56" s="320" t="s">
        <v>2561</v>
      </c>
      <c r="B56" t="str">
        <f>IF(ISBLANK(GlobBerMedDisc!$F$21),"",GlobBerMedDisc!$F$21)</f>
        <v/>
      </c>
      <c r="C56" s="700"/>
    </row>
    <row r="57" spans="1:3" x14ac:dyDescent="0.2">
      <c r="A57" s="320" t="s">
        <v>2562</v>
      </c>
      <c r="B57" t="str">
        <f>IF(ISBLANK(GlobBerMedDisc!$F$22),"",GlobBerMedDisc!$F$22)</f>
        <v/>
      </c>
      <c r="C57" s="700"/>
    </row>
    <row r="58" spans="1:3" x14ac:dyDescent="0.2">
      <c r="A58" s="320" t="s">
        <v>2563</v>
      </c>
      <c r="B58" t="str">
        <f>IF(ISBLANK(GlobBerMedDisc!$F$23),"",GlobBerMedDisc!$F$23)</f>
        <v/>
      </c>
      <c r="C58" s="700"/>
    </row>
    <row r="59" spans="1:3" x14ac:dyDescent="0.2">
      <c r="A59" s="320" t="s">
        <v>2564</v>
      </c>
      <c r="B59" t="str">
        <f>IF(ISBLANK(GlobBerMedDisc!$F$24),"",GlobBerMedDisc!$F$24)</f>
        <v/>
      </c>
      <c r="C59" s="700"/>
    </row>
    <row r="60" spans="1:3" x14ac:dyDescent="0.2">
      <c r="A60" s="320" t="s">
        <v>2565</v>
      </c>
      <c r="B60" t="str">
        <f>IF(ISBLANK(GlobBerMedDisc!$F$25),"",GlobBerMedDisc!$F$25)</f>
        <v/>
      </c>
      <c r="C60" s="700"/>
    </row>
    <row r="61" spans="1:3" x14ac:dyDescent="0.2">
      <c r="A61" s="320" t="s">
        <v>2566</v>
      </c>
      <c r="B61" t="str">
        <f>IF(ISBLANK(GlobBerMedDisc!$F$26),"",GlobBerMedDisc!$F$26)</f>
        <v/>
      </c>
      <c r="C61" s="700"/>
    </row>
    <row r="62" spans="1:3" x14ac:dyDescent="0.2">
      <c r="A62" s="320" t="s">
        <v>2567</v>
      </c>
      <c r="B62" t="str">
        <f>IF(ISBLANK(GlobBerMedDisc!$F$27),"",GlobBerMedDisc!$F$27)</f>
        <v/>
      </c>
      <c r="C62" s="700"/>
    </row>
    <row r="63" spans="1:3" x14ac:dyDescent="0.2">
      <c r="A63" s="320" t="s">
        <v>2568</v>
      </c>
      <c r="B63" t="str">
        <f>IF(ISBLANK(GlobBerMedDisc!$F$28),"",GlobBerMedDisc!$F$28)</f>
        <v/>
      </c>
      <c r="C63" s="700"/>
    </row>
    <row r="64" spans="1:3" x14ac:dyDescent="0.2">
      <c r="A64" s="320" t="s">
        <v>2569</v>
      </c>
      <c r="B64" t="str">
        <f>IF(ISBLANK(GlobBerMedDisc!$F$29),"",GlobBerMedDisc!$F$29)</f>
        <v/>
      </c>
      <c r="C64" s="700"/>
    </row>
    <row r="65" spans="1:3" x14ac:dyDescent="0.2">
      <c r="A65" s="320" t="s">
        <v>2570</v>
      </c>
      <c r="B65" t="str">
        <f>IF(ISBLANK(GlobBerMedDisc!$F$30),"",GlobBerMedDisc!$F$30)</f>
        <v/>
      </c>
      <c r="C65" s="700"/>
    </row>
    <row r="66" spans="1:3" x14ac:dyDescent="0.2">
      <c r="A66" s="320" t="s">
        <v>2571</v>
      </c>
      <c r="B66" t="str">
        <f>IF(ISBLANK(GlobBerMedDisc!$F$31),"",GlobBerMedDisc!$F$31)</f>
        <v/>
      </c>
      <c r="C66" s="700"/>
    </row>
    <row r="67" spans="1:3" x14ac:dyDescent="0.2">
      <c r="A67" s="320" t="s">
        <v>2572</v>
      </c>
      <c r="B67">
        <f>IF(ISBLANK(GlobBerMedDisc!$G$2),"",GlobBerMedDisc!$G$2)</f>
        <v>0</v>
      </c>
      <c r="C67" s="322">
        <v>0</v>
      </c>
    </row>
    <row r="68" spans="1:3" x14ac:dyDescent="0.2">
      <c r="A68" s="320" t="s">
        <v>2573</v>
      </c>
      <c r="B68">
        <f>IF(ISBLANK(GlobBerMedDisc!$G$3),"",GlobBerMedDisc!$G$3)</f>
        <v>0</v>
      </c>
      <c r="C68" s="322">
        <v>0</v>
      </c>
    </row>
    <row r="69" spans="1:3" x14ac:dyDescent="0.2">
      <c r="A69" s="320" t="s">
        <v>2574</v>
      </c>
      <c r="B69">
        <f>IF(ISBLANK(GlobBerMedDisc!$G$4),"",GlobBerMedDisc!$G$4)</f>
        <v>0</v>
      </c>
      <c r="C69" s="322">
        <v>0</v>
      </c>
    </row>
    <row r="70" spans="1:3" x14ac:dyDescent="0.2">
      <c r="A70" s="320" t="s">
        <v>2575</v>
      </c>
      <c r="B70">
        <f>IF(ISBLANK(GlobBerMedDisc!$G$5),"",GlobBerMedDisc!$G$5)</f>
        <v>0</v>
      </c>
      <c r="C70" s="322">
        <v>0</v>
      </c>
    </row>
    <row r="71" spans="1:3" x14ac:dyDescent="0.2">
      <c r="A71" s="320" t="s">
        <v>2576</v>
      </c>
      <c r="B71" s="320">
        <f>IF(ISBLANK(GlobBerMedDisc!$G$6),"",GlobBerMedDisc!$G$6)</f>
        <v>0</v>
      </c>
      <c r="C71" s="322">
        <v>0</v>
      </c>
    </row>
    <row r="72" spans="1:3" x14ac:dyDescent="0.2">
      <c r="A72" s="320" t="s">
        <v>2577</v>
      </c>
      <c r="B72" s="320">
        <f>IF(ISBLANK(GlobBerMedDisc!$G$7),"",GlobBerMedDisc!$G$7)</f>
        <v>0</v>
      </c>
      <c r="C72" s="322">
        <v>0</v>
      </c>
    </row>
    <row r="73" spans="1:3" x14ac:dyDescent="0.2">
      <c r="A73" s="320" t="s">
        <v>2578</v>
      </c>
      <c r="B73" s="320">
        <f>IF(ISBLANK(GlobBerMedDisc!$G$8),"",GlobBerMedDisc!$G$8)</f>
        <v>0</v>
      </c>
      <c r="C73" s="322">
        <v>0</v>
      </c>
    </row>
    <row r="74" spans="1:3" x14ac:dyDescent="0.2">
      <c r="A74" s="320" t="s">
        <v>2579</v>
      </c>
      <c r="B74" s="320">
        <f>IF(ISBLANK(GlobBerMedDisc!$G$9),"",GlobBerMedDisc!$G$9)</f>
        <v>0</v>
      </c>
      <c r="C74" s="322">
        <v>0</v>
      </c>
    </row>
    <row r="75" spans="1:3" x14ac:dyDescent="0.2">
      <c r="A75" s="320" t="s">
        <v>2580</v>
      </c>
      <c r="B75" s="320">
        <f>IF(ISBLANK(GlobBerMedDisc!$G$10),"",GlobBerMedDisc!$G$10)</f>
        <v>0</v>
      </c>
      <c r="C75" s="322">
        <v>0</v>
      </c>
    </row>
    <row r="76" spans="1:3" x14ac:dyDescent="0.2">
      <c r="A76" s="320" t="s">
        <v>2581</v>
      </c>
      <c r="B76" s="320">
        <f>IF(ISBLANK(GlobBerMedDisc!$G$11),"",GlobBerMedDisc!$G$11)</f>
        <v>0</v>
      </c>
      <c r="C76" s="322">
        <v>0</v>
      </c>
    </row>
    <row r="77" spans="1:3" x14ac:dyDescent="0.2">
      <c r="A77" s="320" t="s">
        <v>2582</v>
      </c>
      <c r="B77" s="320">
        <f>IF(ISBLANK(GlobBerMedDisc!$G$12),"",GlobBerMedDisc!$G$12)</f>
        <v>0</v>
      </c>
      <c r="C77" s="322">
        <v>0</v>
      </c>
    </row>
    <row r="78" spans="1:3" x14ac:dyDescent="0.2">
      <c r="A78" s="320" t="s">
        <v>2583</v>
      </c>
      <c r="B78" s="320">
        <f>IF(ISBLANK(GlobBerMedDisc!$G$13),"",GlobBerMedDisc!$G$13)</f>
        <v>0</v>
      </c>
      <c r="C78" s="322">
        <v>0</v>
      </c>
    </row>
    <row r="79" spans="1:3" x14ac:dyDescent="0.2">
      <c r="A79" s="320" t="s">
        <v>2584</v>
      </c>
      <c r="B79">
        <f>IF(ISBLANK(GlobBerMedDisc!$G$14),"",GlobBerMedDisc!$G$14)</f>
        <v>0</v>
      </c>
      <c r="C79" s="322">
        <v>0</v>
      </c>
    </row>
    <row r="80" spans="1:3" x14ac:dyDescent="0.2">
      <c r="A80" s="320" t="s">
        <v>2585</v>
      </c>
      <c r="B80">
        <f>IF(ISBLANK(GlobBerMedDisc!$G$15),"",GlobBerMedDisc!$G$15)</f>
        <v>0</v>
      </c>
      <c r="C80" s="322">
        <v>0</v>
      </c>
    </row>
    <row r="81" spans="1:3" x14ac:dyDescent="0.2">
      <c r="A81" s="320" t="s">
        <v>2586</v>
      </c>
      <c r="B81">
        <f>IF(ISBLANK(GlobBerMedDisc!$G$16),"",GlobBerMedDisc!$G$16)</f>
        <v>0</v>
      </c>
      <c r="C81" s="322">
        <v>0</v>
      </c>
    </row>
    <row r="82" spans="1:3" x14ac:dyDescent="0.2">
      <c r="A82" s="320" t="s">
        <v>2587</v>
      </c>
      <c r="B82">
        <f>IF(ISBLANK(GlobBerMedDisc!$G$17),"",GlobBerMedDisc!$G$17)</f>
        <v>0</v>
      </c>
      <c r="C82" s="322">
        <v>0</v>
      </c>
    </row>
    <row r="83" spans="1:3" x14ac:dyDescent="0.2">
      <c r="A83" s="320" t="s">
        <v>2588</v>
      </c>
      <c r="B83">
        <f>IF(ISBLANK(GlobBerMedDisc!$G$18),"",GlobBerMedDisc!$G$18)</f>
        <v>0</v>
      </c>
      <c r="C83" s="322">
        <v>0</v>
      </c>
    </row>
    <row r="84" spans="1:3" x14ac:dyDescent="0.2">
      <c r="A84" s="320" t="s">
        <v>2589</v>
      </c>
      <c r="B84">
        <f>IF(ISBLANK(GlobBerMedDisc!$G$19),"",GlobBerMedDisc!$G$19)</f>
        <v>0</v>
      </c>
      <c r="C84" s="322">
        <v>0</v>
      </c>
    </row>
    <row r="85" spans="1:3" x14ac:dyDescent="0.2">
      <c r="A85" s="320" t="s">
        <v>2590</v>
      </c>
      <c r="B85">
        <f>IF(ISBLANK(GlobBerMedDisc!$G$20),"",GlobBerMedDisc!$G$20)</f>
        <v>0</v>
      </c>
      <c r="C85" s="322">
        <v>0</v>
      </c>
    </row>
    <row r="86" spans="1:3" x14ac:dyDescent="0.2">
      <c r="A86" s="320" t="s">
        <v>2591</v>
      </c>
      <c r="B86">
        <f>IF(ISBLANK(GlobBerMedDisc!$G$21),"",GlobBerMedDisc!$G$21)</f>
        <v>0</v>
      </c>
      <c r="C86" s="322">
        <v>0</v>
      </c>
    </row>
    <row r="87" spans="1:3" x14ac:dyDescent="0.2">
      <c r="A87" s="320" t="s">
        <v>2592</v>
      </c>
      <c r="B87">
        <f>IF(ISBLANK(GlobBerMedDisc!$G$22),"",GlobBerMedDisc!$G$22)</f>
        <v>0</v>
      </c>
      <c r="C87" s="322">
        <v>0</v>
      </c>
    </row>
    <row r="88" spans="1:3" x14ac:dyDescent="0.2">
      <c r="A88" s="320" t="s">
        <v>2593</v>
      </c>
      <c r="B88">
        <f>IF(ISBLANK(GlobBerMedDisc!$G$23),"",GlobBerMedDisc!$G$23)</f>
        <v>0</v>
      </c>
      <c r="C88" s="322">
        <v>0</v>
      </c>
    </row>
    <row r="89" spans="1:3" x14ac:dyDescent="0.2">
      <c r="A89" s="320" t="s">
        <v>2594</v>
      </c>
      <c r="B89">
        <f>IF(ISBLANK(GlobBerMedDisc!$G$24),"",GlobBerMedDisc!$G$24)</f>
        <v>0</v>
      </c>
      <c r="C89" s="322">
        <v>0</v>
      </c>
    </row>
    <row r="90" spans="1:3" x14ac:dyDescent="0.2">
      <c r="A90" s="320" t="s">
        <v>2595</v>
      </c>
      <c r="B90">
        <f>IF(ISBLANK(GlobBerMedDisc!$G$25),"",GlobBerMedDisc!$G$25)</f>
        <v>0</v>
      </c>
      <c r="C90" s="322">
        <v>0</v>
      </c>
    </row>
    <row r="91" spans="1:3" x14ac:dyDescent="0.2">
      <c r="A91" s="320" t="s">
        <v>2596</v>
      </c>
      <c r="B91">
        <f>IF(ISBLANK(GlobBerMedDisc!$G$26),"",GlobBerMedDisc!$G$26)</f>
        <v>0</v>
      </c>
      <c r="C91" s="322">
        <v>0</v>
      </c>
    </row>
    <row r="92" spans="1:3" x14ac:dyDescent="0.2">
      <c r="A92" s="320" t="s">
        <v>2597</v>
      </c>
      <c r="B92">
        <f>IF(ISBLANK(GlobBerMedDisc!$G$27),"",GlobBerMedDisc!$G$27)</f>
        <v>0</v>
      </c>
      <c r="C92" s="322">
        <v>0</v>
      </c>
    </row>
    <row r="93" spans="1:3" x14ac:dyDescent="0.2">
      <c r="A93" s="320" t="s">
        <v>2598</v>
      </c>
      <c r="B93">
        <f>IF(ISBLANK(GlobBerMedDisc!$G$28),"",GlobBerMedDisc!$G$28)</f>
        <v>0</v>
      </c>
      <c r="C93" s="322">
        <v>0</v>
      </c>
    </row>
    <row r="94" spans="1:3" x14ac:dyDescent="0.2">
      <c r="A94" s="320" t="s">
        <v>2599</v>
      </c>
      <c r="B94">
        <f>IF(ISBLANK(GlobBerMedDisc!$G$29),"",GlobBerMedDisc!$G$29)</f>
        <v>0</v>
      </c>
      <c r="C94" s="322">
        <v>0</v>
      </c>
    </row>
    <row r="95" spans="1:3" x14ac:dyDescent="0.2">
      <c r="A95" s="320" t="s">
        <v>2600</v>
      </c>
      <c r="B95">
        <f>IF(ISBLANK(GlobBerMedDisc!$G$30),"",GlobBerMedDisc!$G$30)</f>
        <v>0</v>
      </c>
      <c r="C95" s="322">
        <v>0</v>
      </c>
    </row>
    <row r="96" spans="1:3" x14ac:dyDescent="0.2">
      <c r="A96" s="320" t="s">
        <v>2601</v>
      </c>
      <c r="B96">
        <f>IF(ISBLANK(GlobBerMedDisc!$G$31),"",GlobBerMedDisc!$G$31)</f>
        <v>0</v>
      </c>
      <c r="C96" s="322">
        <v>0</v>
      </c>
    </row>
    <row r="97" spans="1:3" x14ac:dyDescent="0.2">
      <c r="A97" s="320" t="s">
        <v>2602</v>
      </c>
      <c r="B97" t="str">
        <f>IF(ISBLANK(GlobBerMedDisc!$AK$2),"",GlobBerMedDisc!$AK$2)</f>
        <v/>
      </c>
      <c r="C97" s="134"/>
    </row>
    <row r="98" spans="1:3" x14ac:dyDescent="0.2">
      <c r="A98" s="320" t="s">
        <v>2603</v>
      </c>
      <c r="B98" t="str">
        <f>IF(ISBLANK(GlobBerMedDisc!$AK$3),"",GlobBerMedDisc!$AK$3)</f>
        <v/>
      </c>
      <c r="C98" s="134"/>
    </row>
    <row r="99" spans="1:3" x14ac:dyDescent="0.2">
      <c r="A99" s="320" t="s">
        <v>2604</v>
      </c>
      <c r="B99" t="str">
        <f>IF(ISBLANK(GlobBerMedDisc!$AK$4),"",GlobBerMedDisc!$AK$4)</f>
        <v/>
      </c>
      <c r="C99" s="134"/>
    </row>
    <row r="100" spans="1:3" x14ac:dyDescent="0.2">
      <c r="A100" s="320" t="s">
        <v>2605</v>
      </c>
      <c r="B100" t="str">
        <f>IF(ISBLANK(GlobBerMedDisc!$AK$5),"",GlobBerMedDisc!$AK$5)</f>
        <v/>
      </c>
      <c r="C100" s="134"/>
    </row>
    <row r="101" spans="1:3" x14ac:dyDescent="0.2">
      <c r="A101" s="320" t="s">
        <v>2606</v>
      </c>
      <c r="B101" t="str">
        <f>IF(ISBLANK(GlobBerMedDisc!$AK$6),"",GlobBerMedDisc!$AK$6)</f>
        <v/>
      </c>
      <c r="C101" s="134"/>
    </row>
    <row r="102" spans="1:3" x14ac:dyDescent="0.2">
      <c r="A102" s="320" t="s">
        <v>2607</v>
      </c>
      <c r="B102" t="str">
        <f>IF(ISBLANK(GlobBerMedDisc!$AK$7),"",GlobBerMedDisc!$AK$7)</f>
        <v/>
      </c>
      <c r="C102" s="134"/>
    </row>
    <row r="103" spans="1:3" x14ac:dyDescent="0.2">
      <c r="A103" s="320" t="s">
        <v>2608</v>
      </c>
      <c r="B103" t="str">
        <f>IF(ISBLANK(GlobBerMedDisc!$AK$8),"",GlobBerMedDisc!$AK$8)</f>
        <v/>
      </c>
      <c r="C103" s="134"/>
    </row>
    <row r="104" spans="1:3" x14ac:dyDescent="0.2">
      <c r="A104" s="320" t="s">
        <v>2609</v>
      </c>
      <c r="B104" t="str">
        <f>IF(ISBLANK(GlobBerMedDisc!$AK$9),"",GlobBerMedDisc!$AK$9)</f>
        <v/>
      </c>
      <c r="C104" s="134"/>
    </row>
    <row r="105" spans="1:3" x14ac:dyDescent="0.2">
      <c r="A105" s="320" t="s">
        <v>2610</v>
      </c>
      <c r="B105" t="str">
        <f>IF(ISBLANK(GlobBerMedDisc!$AK$10),"",GlobBerMedDisc!$AK$10)</f>
        <v/>
      </c>
      <c r="C105" s="134"/>
    </row>
    <row r="106" spans="1:3" x14ac:dyDescent="0.2">
      <c r="A106" s="320" t="s">
        <v>2611</v>
      </c>
      <c r="B106" t="str">
        <f>IF(ISBLANK(GlobBerMedDisc!$AK$11),"",GlobBerMedDisc!$AK$11)</f>
        <v/>
      </c>
      <c r="C106" s="134"/>
    </row>
    <row r="107" spans="1:3" x14ac:dyDescent="0.2">
      <c r="A107" s="320" t="s">
        <v>2612</v>
      </c>
      <c r="B107" t="str">
        <f>IF(ISBLANK(GlobBerMedDisc!$AK$12),"",GlobBerMedDisc!$AK$12)</f>
        <v/>
      </c>
      <c r="C107" s="134"/>
    </row>
    <row r="108" spans="1:3" x14ac:dyDescent="0.2">
      <c r="A108" s="320" t="s">
        <v>2613</v>
      </c>
      <c r="B108" t="str">
        <f>IF(ISBLANK(GlobBerMedDisc!$AK$13),"",GlobBerMedDisc!$AK$13)</f>
        <v/>
      </c>
      <c r="C108" s="134"/>
    </row>
    <row r="109" spans="1:3" x14ac:dyDescent="0.2">
      <c r="A109" s="320" t="s">
        <v>2614</v>
      </c>
      <c r="B109" t="str">
        <f>IF(ISBLANK(GlobBerMedDisc!$AK$14),"",GlobBerMedDisc!$AK$14)</f>
        <v/>
      </c>
      <c r="C109" s="134"/>
    </row>
    <row r="110" spans="1:3" x14ac:dyDescent="0.2">
      <c r="A110" s="320" t="s">
        <v>2615</v>
      </c>
      <c r="B110" t="str">
        <f>IF(ISBLANK(GlobBerMedDisc!$AK$15),"",GlobBerMedDisc!$AK$15)</f>
        <v/>
      </c>
      <c r="C110" s="134"/>
    </row>
    <row r="111" spans="1:3" x14ac:dyDescent="0.2">
      <c r="A111" s="320" t="s">
        <v>2616</v>
      </c>
      <c r="B111" t="str">
        <f>IF(ISBLANK(GlobBerMedDisc!$AK$16),"",GlobBerMedDisc!$AK$16)</f>
        <v/>
      </c>
      <c r="C111" s="134"/>
    </row>
    <row r="112" spans="1:3" x14ac:dyDescent="0.2">
      <c r="A112" s="320" t="s">
        <v>2617</v>
      </c>
      <c r="B112" t="str">
        <f>IF(ISBLANK(GlobBerMedDisc!$AK$17),"",GlobBerMedDisc!$AK$17)</f>
        <v/>
      </c>
      <c r="C112" s="134"/>
    </row>
    <row r="113" spans="1:3" x14ac:dyDescent="0.2">
      <c r="A113" s="320" t="s">
        <v>2618</v>
      </c>
      <c r="B113" t="str">
        <f>IF(ISBLANK(GlobBerMedDisc!$AK$18),"",GlobBerMedDisc!$AK$18)</f>
        <v/>
      </c>
      <c r="C113" s="134"/>
    </row>
    <row r="114" spans="1:3" x14ac:dyDescent="0.2">
      <c r="A114" s="320" t="s">
        <v>2619</v>
      </c>
      <c r="B114" t="str">
        <f>IF(ISBLANK(GlobBerMedDisc!$AK$19),"",GlobBerMedDisc!$AK$19)</f>
        <v/>
      </c>
      <c r="C114" s="134"/>
    </row>
    <row r="115" spans="1:3" x14ac:dyDescent="0.2">
      <c r="A115" s="320" t="s">
        <v>2620</v>
      </c>
      <c r="B115" t="str">
        <f>IF(ISBLANK(GlobBerMedDisc!$AK$20),"",GlobBerMedDisc!$AK$20)</f>
        <v/>
      </c>
      <c r="C115" s="134"/>
    </row>
    <row r="116" spans="1:3" x14ac:dyDescent="0.2">
      <c r="A116" s="320" t="s">
        <v>2621</v>
      </c>
      <c r="B116" t="str">
        <f>IF(ISBLANK(GlobBerMedDisc!$AK$21),"",GlobBerMedDisc!$AK$21)</f>
        <v/>
      </c>
      <c r="C116" s="134"/>
    </row>
    <row r="117" spans="1:3" x14ac:dyDescent="0.2">
      <c r="A117" s="320" t="s">
        <v>2622</v>
      </c>
      <c r="B117" t="str">
        <f>IF(ISBLANK(GlobBerMedDisc!$AK$22),"",GlobBerMedDisc!$AK$22)</f>
        <v/>
      </c>
      <c r="C117" s="134"/>
    </row>
    <row r="118" spans="1:3" x14ac:dyDescent="0.2">
      <c r="A118" s="320" t="s">
        <v>2623</v>
      </c>
      <c r="B118" t="str">
        <f>IF(ISBLANK(GlobBerMedDisc!$AK$23),"",GlobBerMedDisc!$AK$23)</f>
        <v/>
      </c>
      <c r="C118" s="134"/>
    </row>
    <row r="119" spans="1:3" x14ac:dyDescent="0.2">
      <c r="A119" s="320" t="s">
        <v>2624</v>
      </c>
      <c r="B119" t="str">
        <f>IF(ISBLANK(GlobBerMedDisc!$AK$24),"",GlobBerMedDisc!$AK$24)</f>
        <v/>
      </c>
      <c r="C119" s="134"/>
    </row>
    <row r="120" spans="1:3" x14ac:dyDescent="0.2">
      <c r="A120" s="320" t="s">
        <v>2625</v>
      </c>
      <c r="B120" t="str">
        <f>IF(ISBLANK(GlobBerMedDisc!$AK$25),"",GlobBerMedDisc!$AK$25)</f>
        <v/>
      </c>
      <c r="C120" s="134"/>
    </row>
    <row r="121" spans="1:3" x14ac:dyDescent="0.2">
      <c r="A121" s="320" t="s">
        <v>2626</v>
      </c>
      <c r="B121" t="str">
        <f>IF(ISBLANK(GlobBerMedDisc!$AK$26),"",GlobBerMedDisc!$AK$26)</f>
        <v/>
      </c>
      <c r="C121" s="134"/>
    </row>
    <row r="122" spans="1:3" x14ac:dyDescent="0.2">
      <c r="A122" s="320" t="s">
        <v>2627</v>
      </c>
      <c r="B122" t="str">
        <f>IF(ISBLANK(GlobBerMedDisc!$AK$27),"",GlobBerMedDisc!$AK$27)</f>
        <v/>
      </c>
      <c r="C122" s="134"/>
    </row>
    <row r="123" spans="1:3" x14ac:dyDescent="0.2">
      <c r="A123" s="320" t="s">
        <v>2628</v>
      </c>
      <c r="B123" t="str">
        <f>IF(ISBLANK(GlobBerMedDisc!$AK$28),"",GlobBerMedDisc!$AK$28)</f>
        <v/>
      </c>
      <c r="C123" s="134"/>
    </row>
    <row r="124" spans="1:3" x14ac:dyDescent="0.2">
      <c r="A124" s="320" t="s">
        <v>2629</v>
      </c>
      <c r="B124" t="str">
        <f>IF(ISBLANK(GlobBerMedDisc!$AK$29),"",GlobBerMedDisc!$AK$29)</f>
        <v/>
      </c>
      <c r="C124" s="134"/>
    </row>
    <row r="125" spans="1:3" x14ac:dyDescent="0.2">
      <c r="A125" s="320" t="s">
        <v>2630</v>
      </c>
      <c r="B125" t="str">
        <f>IF(ISBLANK(GlobBerMedDisc!$AK$30),"",GlobBerMedDisc!$AK$30)</f>
        <v/>
      </c>
      <c r="C125" s="134"/>
    </row>
    <row r="126" spans="1:3" x14ac:dyDescent="0.2">
      <c r="A126" s="320" t="s">
        <v>2631</v>
      </c>
      <c r="B126" t="str">
        <f>IF(ISBLANK(GlobBerMedDisc!$AK$31),"",GlobBerMedDisc!$AK$31)</f>
        <v/>
      </c>
      <c r="C126" s="134"/>
    </row>
    <row r="127" spans="1:3" x14ac:dyDescent="0.2">
      <c r="A127" s="320" t="s">
        <v>2632</v>
      </c>
      <c r="B127" t="str">
        <f>IF(ISBLANK(GlobBerMedDisc!$D$2),"",GlobBerMedDisc!$D$2)</f>
        <v/>
      </c>
      <c r="C127" s="134"/>
    </row>
    <row r="128" spans="1:3" x14ac:dyDescent="0.2">
      <c r="A128" s="320" t="s">
        <v>2633</v>
      </c>
      <c r="B128" t="str">
        <f>IF(ISBLANK(GlobBerMedDisc!$D$3),"",GlobBerMedDisc!$D$3)</f>
        <v/>
      </c>
      <c r="C128" s="134"/>
    </row>
    <row r="129" spans="1:3" x14ac:dyDescent="0.2">
      <c r="A129" s="320" t="s">
        <v>2634</v>
      </c>
      <c r="B129" t="str">
        <f>IF(ISBLANK(GlobBerMedDisc!$D$4),"",GlobBerMedDisc!$D$4)</f>
        <v/>
      </c>
      <c r="C129" s="134"/>
    </row>
    <row r="130" spans="1:3" x14ac:dyDescent="0.2">
      <c r="A130" s="320" t="s">
        <v>2635</v>
      </c>
      <c r="B130" t="str">
        <f>IF(ISBLANK(GlobBerMedDisc!$D$5),"",GlobBerMedDisc!$D$5)</f>
        <v/>
      </c>
      <c r="C130" s="134"/>
    </row>
    <row r="131" spans="1:3" x14ac:dyDescent="0.2">
      <c r="A131" s="320" t="s">
        <v>2636</v>
      </c>
      <c r="B131" t="str">
        <f>IF(ISBLANK(GlobBerMedDisc!$D$6),"",GlobBerMedDisc!$D$6)</f>
        <v/>
      </c>
      <c r="C131" s="134"/>
    </row>
    <row r="132" spans="1:3" x14ac:dyDescent="0.2">
      <c r="A132" s="320" t="s">
        <v>2637</v>
      </c>
      <c r="B132" t="str">
        <f>IF(ISBLANK(GlobBerMedDisc!$D$7),"",GlobBerMedDisc!$D$7)</f>
        <v/>
      </c>
      <c r="C132" s="134"/>
    </row>
    <row r="133" spans="1:3" x14ac:dyDescent="0.2">
      <c r="A133" s="320" t="s">
        <v>2638</v>
      </c>
      <c r="B133" t="str">
        <f>IF(ISBLANK(GlobBerMedDisc!$D$8),"",GlobBerMedDisc!$D$8)</f>
        <v/>
      </c>
      <c r="C133" s="134"/>
    </row>
    <row r="134" spans="1:3" x14ac:dyDescent="0.2">
      <c r="A134" s="320" t="s">
        <v>2639</v>
      </c>
      <c r="B134" t="str">
        <f>IF(ISBLANK(GlobBerMedDisc!$D$9),"",GlobBerMedDisc!$D$9)</f>
        <v/>
      </c>
      <c r="C134" s="134"/>
    </row>
    <row r="135" spans="1:3" x14ac:dyDescent="0.2">
      <c r="A135" s="320" t="s">
        <v>2640</v>
      </c>
      <c r="B135" t="str">
        <f>IF(ISBLANK(GlobBerMedDisc!$D$10),"",GlobBerMedDisc!$D$10)</f>
        <v/>
      </c>
      <c r="C135" s="134"/>
    </row>
    <row r="136" spans="1:3" x14ac:dyDescent="0.2">
      <c r="A136" s="320" t="s">
        <v>2641</v>
      </c>
      <c r="B136" t="str">
        <f>IF(ISBLANK(GlobBerMedDisc!$D$11),"",GlobBerMedDisc!$D$11)</f>
        <v/>
      </c>
      <c r="C136" s="134"/>
    </row>
    <row r="137" spans="1:3" x14ac:dyDescent="0.2">
      <c r="A137" s="320" t="s">
        <v>2642</v>
      </c>
      <c r="B137" t="str">
        <f>IF(ISBLANK(GlobBerMedDisc!$D$12),"",GlobBerMedDisc!$D$12)</f>
        <v/>
      </c>
      <c r="C137" s="134"/>
    </row>
    <row r="138" spans="1:3" x14ac:dyDescent="0.2">
      <c r="A138" s="320" t="s">
        <v>2643</v>
      </c>
      <c r="B138" t="str">
        <f>IF(ISBLANK(GlobBerMedDisc!$D$13),"",GlobBerMedDisc!$D$13)</f>
        <v/>
      </c>
      <c r="C138" s="134"/>
    </row>
    <row r="139" spans="1:3" x14ac:dyDescent="0.2">
      <c r="A139" s="320" t="s">
        <v>2644</v>
      </c>
      <c r="B139" t="str">
        <f>IF(ISBLANK(GlobBerMedDisc!$D$14),"",GlobBerMedDisc!$D$14)</f>
        <v/>
      </c>
      <c r="C139" s="134"/>
    </row>
    <row r="140" spans="1:3" x14ac:dyDescent="0.2">
      <c r="A140" s="320" t="s">
        <v>2645</v>
      </c>
      <c r="B140" t="str">
        <f>IF(ISBLANK(GlobBerMedDisc!$D$15),"",GlobBerMedDisc!$D$15)</f>
        <v/>
      </c>
      <c r="C140" s="134"/>
    </row>
    <row r="141" spans="1:3" x14ac:dyDescent="0.2">
      <c r="A141" s="320" t="s">
        <v>2646</v>
      </c>
      <c r="B141" t="str">
        <f>IF(ISBLANK(GlobBerMedDisc!$D$16),"",GlobBerMedDisc!$D$16)</f>
        <v/>
      </c>
      <c r="C141" s="134"/>
    </row>
    <row r="142" spans="1:3" x14ac:dyDescent="0.2">
      <c r="A142" s="320" t="s">
        <v>2647</v>
      </c>
      <c r="B142" t="str">
        <f>IF(ISBLANK(GlobBerMedDisc!$D$17),"",GlobBerMedDisc!$D$17)</f>
        <v/>
      </c>
      <c r="C142" s="134"/>
    </row>
    <row r="143" spans="1:3" x14ac:dyDescent="0.2">
      <c r="A143" s="320" t="s">
        <v>2648</v>
      </c>
      <c r="B143" t="str">
        <f>IF(ISBLANK(GlobBerMedDisc!$D$18),"",GlobBerMedDisc!$D$18)</f>
        <v/>
      </c>
      <c r="C143" s="134"/>
    </row>
    <row r="144" spans="1:3" x14ac:dyDescent="0.2">
      <c r="A144" s="320" t="s">
        <v>2649</v>
      </c>
      <c r="B144" t="str">
        <f>IF(ISBLANK(GlobBerMedDisc!$D$19),"",GlobBerMedDisc!$D$19)</f>
        <v/>
      </c>
      <c r="C144" s="134"/>
    </row>
    <row r="145" spans="1:3" x14ac:dyDescent="0.2">
      <c r="A145" s="320" t="s">
        <v>2650</v>
      </c>
      <c r="B145" t="str">
        <f>IF(ISBLANK(GlobBerMedDisc!$D$20),"",GlobBerMedDisc!$D$20)</f>
        <v/>
      </c>
      <c r="C145" s="134"/>
    </row>
    <row r="146" spans="1:3" x14ac:dyDescent="0.2">
      <c r="A146" s="320" t="s">
        <v>2651</v>
      </c>
      <c r="B146" t="str">
        <f>IF(ISBLANK(GlobBerMedDisc!$D$21),"",GlobBerMedDisc!$D$21)</f>
        <v/>
      </c>
      <c r="C146" s="134"/>
    </row>
    <row r="147" spans="1:3" x14ac:dyDescent="0.2">
      <c r="A147" s="320" t="s">
        <v>2652</v>
      </c>
      <c r="B147" t="str">
        <f>IF(ISBLANK(GlobBerMedDisc!$D$22),"",GlobBerMedDisc!$D$22)</f>
        <v/>
      </c>
      <c r="C147" s="134"/>
    </row>
    <row r="148" spans="1:3" x14ac:dyDescent="0.2">
      <c r="A148" s="320" t="s">
        <v>2653</v>
      </c>
      <c r="B148" t="str">
        <f>IF(ISBLANK(GlobBerMedDisc!$D$23),"",GlobBerMedDisc!$D$23)</f>
        <v/>
      </c>
      <c r="C148" s="134"/>
    </row>
    <row r="149" spans="1:3" x14ac:dyDescent="0.2">
      <c r="A149" s="320" t="s">
        <v>2654</v>
      </c>
      <c r="B149" t="str">
        <f>IF(ISBLANK(GlobBerMedDisc!$D$24),"",GlobBerMedDisc!$D$24)</f>
        <v/>
      </c>
      <c r="C149" s="134"/>
    </row>
    <row r="150" spans="1:3" x14ac:dyDescent="0.2">
      <c r="A150" s="320" t="s">
        <v>2655</v>
      </c>
      <c r="B150" t="str">
        <f>IF(ISBLANK(GlobBerMedDisc!$D$25),"",GlobBerMedDisc!$D$25)</f>
        <v/>
      </c>
      <c r="C150" s="134"/>
    </row>
    <row r="151" spans="1:3" x14ac:dyDescent="0.2">
      <c r="A151" s="320" t="s">
        <v>2656</v>
      </c>
      <c r="B151" t="str">
        <f>IF(ISBLANK(GlobBerMedDisc!$D$26),"",GlobBerMedDisc!$D$26)</f>
        <v/>
      </c>
      <c r="C151" s="134"/>
    </row>
    <row r="152" spans="1:3" x14ac:dyDescent="0.2">
      <c r="A152" s="320" t="s">
        <v>2657</v>
      </c>
      <c r="B152" t="str">
        <f>IF(ISBLANK(GlobBerMedDisc!$D$27),"",GlobBerMedDisc!$D$27)</f>
        <v/>
      </c>
      <c r="C152" s="134"/>
    </row>
    <row r="153" spans="1:3" x14ac:dyDescent="0.2">
      <c r="A153" s="320" t="s">
        <v>2658</v>
      </c>
      <c r="B153" t="str">
        <f>IF(ISBLANK(GlobBerMedDisc!$D$28),"",GlobBerMedDisc!$D$28)</f>
        <v/>
      </c>
      <c r="C153" s="134"/>
    </row>
    <row r="154" spans="1:3" x14ac:dyDescent="0.2">
      <c r="A154" s="320" t="s">
        <v>2659</v>
      </c>
      <c r="B154" t="str">
        <f>IF(ISBLANK(GlobBerMedDisc!$D$29),"",GlobBerMedDisc!$D$29)</f>
        <v/>
      </c>
      <c r="C154" s="134"/>
    </row>
    <row r="155" spans="1:3" x14ac:dyDescent="0.2">
      <c r="A155" s="320" t="s">
        <v>2660</v>
      </c>
      <c r="B155" t="str">
        <f>IF(ISBLANK(GlobBerMedDisc!$D$30),"",GlobBerMedDisc!$D$30)</f>
        <v/>
      </c>
      <c r="C155" s="134"/>
    </row>
    <row r="156" spans="1:3" x14ac:dyDescent="0.2">
      <c r="A156" s="320" t="s">
        <v>2661</v>
      </c>
      <c r="B156" t="str">
        <f>IF(ISBLANK(GlobBerMedDisc!$D$31),"",GlobBerMedDisc!$D$31)</f>
        <v/>
      </c>
      <c r="C156" s="134"/>
    </row>
    <row r="157" spans="1:3" x14ac:dyDescent="0.2">
      <c r="A157" s="320" t="s">
        <v>2662</v>
      </c>
      <c r="B157" t="str">
        <f>IF(ISBLANK(GlobBerMedDisc!$U$2),"",GlobBerMedDisc!$U$2)</f>
        <v/>
      </c>
      <c r="C157" s="134"/>
    </row>
    <row r="158" spans="1:3" x14ac:dyDescent="0.2">
      <c r="A158" s="320" t="s">
        <v>2663</v>
      </c>
      <c r="B158" t="str">
        <f>IF(ISBLANK(GlobBerMedDisc!$U$3),"",GlobBerMedDisc!$U$3)</f>
        <v/>
      </c>
      <c r="C158" s="134"/>
    </row>
    <row r="159" spans="1:3" x14ac:dyDescent="0.2">
      <c r="A159" s="320" t="s">
        <v>2664</v>
      </c>
      <c r="B159" t="str">
        <f>IF(ISBLANK(GlobBerMedDisc!$U$4),"",GlobBerMedDisc!$U$4)</f>
        <v/>
      </c>
      <c r="C159" s="134"/>
    </row>
    <row r="160" spans="1:3" x14ac:dyDescent="0.2">
      <c r="A160" s="320" t="s">
        <v>2665</v>
      </c>
      <c r="B160" t="str">
        <f>IF(ISBLANK(GlobBerMedDisc!$U$5),"",GlobBerMedDisc!$U$5)</f>
        <v/>
      </c>
      <c r="C160" s="134"/>
    </row>
    <row r="161" spans="1:3" x14ac:dyDescent="0.2">
      <c r="A161" s="320" t="s">
        <v>2666</v>
      </c>
      <c r="B161" t="str">
        <f>IF(ISBLANK(GlobBerMedDisc!$U$6),"",GlobBerMedDisc!$U$6)</f>
        <v/>
      </c>
      <c r="C161" s="134"/>
    </row>
    <row r="162" spans="1:3" x14ac:dyDescent="0.2">
      <c r="A162" s="320" t="s">
        <v>2667</v>
      </c>
      <c r="B162" t="str">
        <f>IF(ISBLANK(GlobBerMedDisc!$U$7),"",GlobBerMedDisc!$U$7)</f>
        <v/>
      </c>
      <c r="C162" s="134"/>
    </row>
    <row r="163" spans="1:3" x14ac:dyDescent="0.2">
      <c r="A163" s="320" t="s">
        <v>2668</v>
      </c>
      <c r="B163" t="str">
        <f>IF(ISBLANK(GlobBerMedDisc!$U$8),"",GlobBerMedDisc!$U$8)</f>
        <v/>
      </c>
      <c r="C163" s="134"/>
    </row>
    <row r="164" spans="1:3" x14ac:dyDescent="0.2">
      <c r="A164" s="320" t="s">
        <v>2669</v>
      </c>
      <c r="B164" t="str">
        <f>IF(ISBLANK(GlobBerMedDisc!$U$9),"",GlobBerMedDisc!$U$9)</f>
        <v/>
      </c>
      <c r="C164" s="134"/>
    </row>
    <row r="165" spans="1:3" x14ac:dyDescent="0.2">
      <c r="A165" s="320" t="s">
        <v>2670</v>
      </c>
      <c r="B165" t="str">
        <f>IF(ISBLANK(GlobBerMedDisc!$U$10),"",GlobBerMedDisc!$U$10)</f>
        <v/>
      </c>
      <c r="C165" s="134"/>
    </row>
    <row r="166" spans="1:3" x14ac:dyDescent="0.2">
      <c r="A166" s="320" t="s">
        <v>2671</v>
      </c>
      <c r="B166" t="str">
        <f>IF(ISBLANK(GlobBerMedDisc!$U$11),"",GlobBerMedDisc!$U$11)</f>
        <v/>
      </c>
      <c r="C166" s="134"/>
    </row>
    <row r="167" spans="1:3" x14ac:dyDescent="0.2">
      <c r="A167" s="320" t="s">
        <v>2672</v>
      </c>
      <c r="B167" t="str">
        <f>IF(ISBLANK(GlobBerMedDisc!$U$12),"",GlobBerMedDisc!$U$12)</f>
        <v/>
      </c>
      <c r="C167" s="134"/>
    </row>
    <row r="168" spans="1:3" x14ac:dyDescent="0.2">
      <c r="A168" s="320" t="s">
        <v>2673</v>
      </c>
      <c r="B168" t="str">
        <f>IF(ISBLANK(GlobBerMedDisc!$U$13),"",GlobBerMedDisc!$U$13)</f>
        <v/>
      </c>
      <c r="C168" s="134"/>
    </row>
    <row r="169" spans="1:3" x14ac:dyDescent="0.2">
      <c r="A169" s="320" t="s">
        <v>2674</v>
      </c>
      <c r="B169" t="str">
        <f>IF(ISBLANK(GlobBerMedDisc!$U$14),"",GlobBerMedDisc!$U$14)</f>
        <v/>
      </c>
      <c r="C169" s="134"/>
    </row>
    <row r="170" spans="1:3" x14ac:dyDescent="0.2">
      <c r="A170" s="320" t="s">
        <v>2675</v>
      </c>
      <c r="B170" t="str">
        <f>IF(ISBLANK(GlobBerMedDisc!$U$15),"",GlobBerMedDisc!$U$15)</f>
        <v/>
      </c>
      <c r="C170" s="134"/>
    </row>
    <row r="171" spans="1:3" x14ac:dyDescent="0.2">
      <c r="A171" s="320" t="s">
        <v>2676</v>
      </c>
      <c r="B171" t="str">
        <f>IF(ISBLANK(GlobBerMedDisc!$U$16),"",GlobBerMedDisc!$U$16)</f>
        <v/>
      </c>
      <c r="C171" s="134"/>
    </row>
    <row r="172" spans="1:3" x14ac:dyDescent="0.2">
      <c r="A172" s="320" t="s">
        <v>2677</v>
      </c>
      <c r="B172" t="str">
        <f>IF(ISBLANK(GlobBerMedDisc!$U$17),"",GlobBerMedDisc!$U$17)</f>
        <v/>
      </c>
      <c r="C172" s="134"/>
    </row>
    <row r="173" spans="1:3" x14ac:dyDescent="0.2">
      <c r="A173" s="320" t="s">
        <v>2678</v>
      </c>
      <c r="B173" t="str">
        <f>IF(ISBLANK(GlobBerMedDisc!$U$18),"",GlobBerMedDisc!$U$18)</f>
        <v/>
      </c>
      <c r="C173" s="134"/>
    </row>
    <row r="174" spans="1:3" x14ac:dyDescent="0.2">
      <c r="A174" s="320" t="s">
        <v>2679</v>
      </c>
      <c r="B174" t="str">
        <f>IF(ISBLANK(GlobBerMedDisc!$U$19),"",GlobBerMedDisc!$U$19)</f>
        <v/>
      </c>
      <c r="C174" s="134"/>
    </row>
    <row r="175" spans="1:3" x14ac:dyDescent="0.2">
      <c r="A175" s="320" t="s">
        <v>2680</v>
      </c>
      <c r="B175" t="str">
        <f>IF(ISBLANK(GlobBerMedDisc!$U$20),"",GlobBerMedDisc!$U$20)</f>
        <v/>
      </c>
      <c r="C175" s="134"/>
    </row>
    <row r="176" spans="1:3" x14ac:dyDescent="0.2">
      <c r="A176" s="320" t="s">
        <v>2681</v>
      </c>
      <c r="B176" t="str">
        <f>IF(ISBLANK(GlobBerMedDisc!$U$21),"",GlobBerMedDisc!$U$21)</f>
        <v/>
      </c>
      <c r="C176" s="134"/>
    </row>
    <row r="177" spans="1:3" x14ac:dyDescent="0.2">
      <c r="A177" s="320" t="s">
        <v>2682</v>
      </c>
      <c r="B177" t="str">
        <f>IF(ISBLANK(GlobBerMedDisc!$U$22),"",GlobBerMedDisc!$U$22)</f>
        <v/>
      </c>
      <c r="C177" s="134"/>
    </row>
    <row r="178" spans="1:3" x14ac:dyDescent="0.2">
      <c r="A178" s="320" t="s">
        <v>2683</v>
      </c>
      <c r="B178" t="str">
        <f>IF(ISBLANK(GlobBerMedDisc!$U$23),"",GlobBerMedDisc!$U$23)</f>
        <v/>
      </c>
      <c r="C178" s="134"/>
    </row>
    <row r="179" spans="1:3" x14ac:dyDescent="0.2">
      <c r="A179" s="320" t="s">
        <v>2684</v>
      </c>
      <c r="B179" t="str">
        <f>IF(ISBLANK(GlobBerMedDisc!$U$24),"",GlobBerMedDisc!$U$24)</f>
        <v/>
      </c>
      <c r="C179" s="134"/>
    </row>
    <row r="180" spans="1:3" x14ac:dyDescent="0.2">
      <c r="A180" s="320" t="s">
        <v>2685</v>
      </c>
      <c r="B180" t="str">
        <f>IF(ISBLANK(GlobBerMedDisc!$U$25),"",GlobBerMedDisc!$U$25)</f>
        <v/>
      </c>
      <c r="C180" s="134"/>
    </row>
    <row r="181" spans="1:3" x14ac:dyDescent="0.2">
      <c r="A181" s="320" t="s">
        <v>2686</v>
      </c>
      <c r="B181" t="str">
        <f>IF(ISBLANK(GlobBerMedDisc!$U$26),"",GlobBerMedDisc!$U$26)</f>
        <v/>
      </c>
      <c r="C181" s="134"/>
    </row>
    <row r="182" spans="1:3" x14ac:dyDescent="0.2">
      <c r="A182" s="320" t="s">
        <v>2687</v>
      </c>
      <c r="B182" t="str">
        <f>IF(ISBLANK(GlobBerMedDisc!$U$27),"",GlobBerMedDisc!$U$27)</f>
        <v/>
      </c>
      <c r="C182" s="134"/>
    </row>
    <row r="183" spans="1:3" x14ac:dyDescent="0.2">
      <c r="A183" s="320" t="s">
        <v>2688</v>
      </c>
      <c r="B183" t="str">
        <f>IF(ISBLANK(GlobBerMedDisc!$U$28),"",GlobBerMedDisc!$U$28)</f>
        <v/>
      </c>
      <c r="C183" s="134"/>
    </row>
    <row r="184" spans="1:3" x14ac:dyDescent="0.2">
      <c r="A184" s="320" t="s">
        <v>2689</v>
      </c>
      <c r="B184" t="str">
        <f>IF(ISBLANK(GlobBerMedDisc!$U$29),"",GlobBerMedDisc!$U$29)</f>
        <v/>
      </c>
      <c r="C184" s="134"/>
    </row>
    <row r="185" spans="1:3" x14ac:dyDescent="0.2">
      <c r="A185" s="320" t="s">
        <v>2690</v>
      </c>
      <c r="B185" t="str">
        <f>IF(ISBLANK(GlobBerMedDisc!$U$30),"",GlobBerMedDisc!$U$30)</f>
        <v/>
      </c>
      <c r="C185" s="134"/>
    </row>
    <row r="186" spans="1:3" x14ac:dyDescent="0.2">
      <c r="A186" s="320" t="s">
        <v>2691</v>
      </c>
      <c r="B186" t="str">
        <f>IF(ISBLANK(GlobBerMedDisc!$U$31),"",GlobBerMedDisc!$U$31)</f>
        <v/>
      </c>
      <c r="C186" s="134"/>
    </row>
    <row r="187" spans="1:3" x14ac:dyDescent="0.2">
      <c r="A187" s="320" t="s">
        <v>2692</v>
      </c>
      <c r="B187" t="str">
        <f>IF(ISBLANK(GlobBerMedDisc!$B$2),"",GlobBerMedDisc!$B$2)</f>
        <v/>
      </c>
      <c r="C187" s="134"/>
    </row>
    <row r="188" spans="1:3" x14ac:dyDescent="0.2">
      <c r="A188" s="320" t="s">
        <v>2693</v>
      </c>
      <c r="B188" t="str">
        <f>IF(ISBLANK(GlobBerMedDisc!$B$3),"",GlobBerMedDisc!$B$3)</f>
        <v/>
      </c>
      <c r="C188" s="134"/>
    </row>
    <row r="189" spans="1:3" x14ac:dyDescent="0.2">
      <c r="A189" s="320" t="s">
        <v>2694</v>
      </c>
      <c r="B189" t="str">
        <f>IF(ISBLANK(GlobBerMedDisc!$B$4),"",GlobBerMedDisc!$B$4)</f>
        <v/>
      </c>
      <c r="C189" s="134"/>
    </row>
    <row r="190" spans="1:3" x14ac:dyDescent="0.2">
      <c r="A190" s="320" t="s">
        <v>2695</v>
      </c>
      <c r="B190" t="str">
        <f>IF(ISBLANK(GlobBerMedDisc!$B$5),"",GlobBerMedDisc!$B$5)</f>
        <v/>
      </c>
      <c r="C190" s="134"/>
    </row>
    <row r="191" spans="1:3" x14ac:dyDescent="0.2">
      <c r="A191" s="320" t="s">
        <v>2696</v>
      </c>
      <c r="B191" t="str">
        <f>IF(ISBLANK(GlobBerMedDisc!$B$6),"",GlobBerMedDisc!$B$6)</f>
        <v/>
      </c>
      <c r="C191" s="134"/>
    </row>
    <row r="192" spans="1:3" x14ac:dyDescent="0.2">
      <c r="A192" s="320" t="s">
        <v>2697</v>
      </c>
      <c r="B192" t="str">
        <f>IF(ISBLANK(GlobBerMedDisc!$B$7),"",GlobBerMedDisc!$B$7)</f>
        <v/>
      </c>
      <c r="C192" s="134"/>
    </row>
    <row r="193" spans="1:3" x14ac:dyDescent="0.2">
      <c r="A193" s="320" t="s">
        <v>2698</v>
      </c>
      <c r="B193" t="str">
        <f>IF(ISBLANK(GlobBerMedDisc!$B$8),"",GlobBerMedDisc!$B$8)</f>
        <v/>
      </c>
      <c r="C193" s="134"/>
    </row>
    <row r="194" spans="1:3" x14ac:dyDescent="0.2">
      <c r="A194" s="320" t="s">
        <v>2699</v>
      </c>
      <c r="B194" t="str">
        <f>IF(ISBLANK(GlobBerMedDisc!$B$9),"",GlobBerMedDisc!$B$9)</f>
        <v/>
      </c>
      <c r="C194" s="134"/>
    </row>
    <row r="195" spans="1:3" x14ac:dyDescent="0.2">
      <c r="A195" s="320" t="s">
        <v>2700</v>
      </c>
      <c r="B195" t="str">
        <f>IF(ISBLANK(GlobBerMedDisc!$B$10),"",GlobBerMedDisc!$B$10)</f>
        <v/>
      </c>
      <c r="C195" s="134"/>
    </row>
    <row r="196" spans="1:3" x14ac:dyDescent="0.2">
      <c r="A196" s="320" t="s">
        <v>2701</v>
      </c>
      <c r="B196" t="str">
        <f>IF(ISBLANK(GlobBerMedDisc!$B$11),"",GlobBerMedDisc!$B$11)</f>
        <v/>
      </c>
      <c r="C196" s="134"/>
    </row>
    <row r="197" spans="1:3" x14ac:dyDescent="0.2">
      <c r="A197" s="320" t="s">
        <v>2702</v>
      </c>
      <c r="B197" t="str">
        <f>IF(ISBLANK(GlobBerMedDisc!$B$12),"",GlobBerMedDisc!$B$12)</f>
        <v/>
      </c>
      <c r="C197" s="134"/>
    </row>
    <row r="198" spans="1:3" x14ac:dyDescent="0.2">
      <c r="A198" s="320" t="s">
        <v>2703</v>
      </c>
      <c r="B198" t="str">
        <f>IF(ISBLANK(GlobBerMedDisc!$B$13),"",GlobBerMedDisc!$B$13)</f>
        <v/>
      </c>
      <c r="C198" s="134"/>
    </row>
    <row r="199" spans="1:3" x14ac:dyDescent="0.2">
      <c r="A199" s="320" t="s">
        <v>2704</v>
      </c>
      <c r="B199" t="str">
        <f>IF(ISBLANK(GlobBerMedDisc!$B$14),"",GlobBerMedDisc!$B$14)</f>
        <v/>
      </c>
      <c r="C199" s="134"/>
    </row>
    <row r="200" spans="1:3" x14ac:dyDescent="0.2">
      <c r="A200" s="320" t="s">
        <v>2705</v>
      </c>
      <c r="B200" t="str">
        <f>IF(ISBLANK(GlobBerMedDisc!$B$15),"",GlobBerMedDisc!$B$15)</f>
        <v/>
      </c>
      <c r="C200" s="134"/>
    </row>
    <row r="201" spans="1:3" x14ac:dyDescent="0.2">
      <c r="A201" s="320" t="s">
        <v>2706</v>
      </c>
      <c r="B201" t="str">
        <f>IF(ISBLANK(GlobBerMedDisc!$B$16),"",GlobBerMedDisc!$B$16)</f>
        <v/>
      </c>
      <c r="C201" s="134"/>
    </row>
    <row r="202" spans="1:3" x14ac:dyDescent="0.2">
      <c r="A202" s="320" t="s">
        <v>2707</v>
      </c>
      <c r="B202" t="str">
        <f>IF(ISBLANK(GlobBerMedDisc!$B$17),"",GlobBerMedDisc!$B$17)</f>
        <v/>
      </c>
      <c r="C202" s="134"/>
    </row>
    <row r="203" spans="1:3" x14ac:dyDescent="0.2">
      <c r="A203" s="320" t="s">
        <v>2708</v>
      </c>
      <c r="B203" t="str">
        <f>IF(ISBLANK(GlobBerMedDisc!$B$18),"",GlobBerMedDisc!$B$18)</f>
        <v/>
      </c>
      <c r="C203" s="134"/>
    </row>
    <row r="204" spans="1:3" x14ac:dyDescent="0.2">
      <c r="A204" s="320" t="s">
        <v>2709</v>
      </c>
      <c r="B204" t="str">
        <f>IF(ISBLANK(GlobBerMedDisc!$B$19),"",GlobBerMedDisc!$B$19)</f>
        <v/>
      </c>
      <c r="C204" s="134"/>
    </row>
    <row r="205" spans="1:3" x14ac:dyDescent="0.2">
      <c r="A205" s="320" t="s">
        <v>2710</v>
      </c>
      <c r="B205" t="str">
        <f>IF(ISBLANK(GlobBerMedDisc!$B$20),"",GlobBerMedDisc!$B$20)</f>
        <v/>
      </c>
      <c r="C205" s="134"/>
    </row>
    <row r="206" spans="1:3" x14ac:dyDescent="0.2">
      <c r="A206" s="320" t="s">
        <v>2711</v>
      </c>
      <c r="B206" t="str">
        <f>IF(ISBLANK(GlobBerMedDisc!$B$21),"",GlobBerMedDisc!$B$21)</f>
        <v/>
      </c>
      <c r="C206" s="134"/>
    </row>
    <row r="207" spans="1:3" x14ac:dyDescent="0.2">
      <c r="A207" s="320" t="s">
        <v>2712</v>
      </c>
      <c r="B207" t="str">
        <f>IF(ISBLANK(GlobBerMedDisc!$B$22),"",GlobBerMedDisc!$B$22)</f>
        <v/>
      </c>
      <c r="C207" s="134"/>
    </row>
    <row r="208" spans="1:3" x14ac:dyDescent="0.2">
      <c r="A208" s="320" t="s">
        <v>2713</v>
      </c>
      <c r="B208" t="str">
        <f>IF(ISBLANK(GlobBerMedDisc!$B$23),"",GlobBerMedDisc!$B$23)</f>
        <v/>
      </c>
      <c r="C208" s="134"/>
    </row>
    <row r="209" spans="1:3" x14ac:dyDescent="0.2">
      <c r="A209" s="320" t="s">
        <v>2714</v>
      </c>
      <c r="B209" t="str">
        <f>IF(ISBLANK(GlobBerMedDisc!$B$24),"",GlobBerMedDisc!$B$24)</f>
        <v/>
      </c>
      <c r="C209" s="134"/>
    </row>
    <row r="210" spans="1:3" x14ac:dyDescent="0.2">
      <c r="A210" s="320" t="s">
        <v>2715</v>
      </c>
      <c r="B210" t="str">
        <f>IF(ISBLANK(GlobBerMedDisc!$B$25),"",GlobBerMedDisc!$B$25)</f>
        <v/>
      </c>
      <c r="C210" s="134"/>
    </row>
    <row r="211" spans="1:3" x14ac:dyDescent="0.2">
      <c r="A211" s="320" t="s">
        <v>2716</v>
      </c>
      <c r="B211" t="str">
        <f>IF(ISBLANK(GlobBerMedDisc!$B$26),"",GlobBerMedDisc!$B$26)</f>
        <v/>
      </c>
      <c r="C211" s="134"/>
    </row>
    <row r="212" spans="1:3" x14ac:dyDescent="0.2">
      <c r="A212" s="320" t="s">
        <v>2717</v>
      </c>
      <c r="B212" t="str">
        <f>IF(ISBLANK(GlobBerMedDisc!$B$27),"",GlobBerMedDisc!$B$27)</f>
        <v/>
      </c>
      <c r="C212" s="134"/>
    </row>
    <row r="213" spans="1:3" x14ac:dyDescent="0.2">
      <c r="A213" s="320" t="s">
        <v>2718</v>
      </c>
      <c r="B213" t="str">
        <f>IF(ISBLANK(GlobBerMedDisc!$B$28),"",GlobBerMedDisc!$B$28)</f>
        <v/>
      </c>
      <c r="C213" s="134"/>
    </row>
    <row r="214" spans="1:3" x14ac:dyDescent="0.2">
      <c r="A214" s="320" t="s">
        <v>2719</v>
      </c>
      <c r="B214" t="str">
        <f>IF(ISBLANK(GlobBerMedDisc!$B$29),"",GlobBerMedDisc!$B$29)</f>
        <v/>
      </c>
      <c r="C214" s="134"/>
    </row>
    <row r="215" spans="1:3" x14ac:dyDescent="0.2">
      <c r="A215" s="320" t="s">
        <v>2720</v>
      </c>
      <c r="B215" t="str">
        <f>IF(ISBLANK(GlobBerMedDisc!$B$30),"",GlobBerMedDisc!$B$30)</f>
        <v/>
      </c>
      <c r="C215" s="134"/>
    </row>
    <row r="216" spans="1:3" x14ac:dyDescent="0.2">
      <c r="A216" s="320" t="s">
        <v>2721</v>
      </c>
      <c r="B216" t="str">
        <f>IF(ISBLANK(GlobBerMedDisc!$B$31),"",GlobBerMedDisc!$B$31)</f>
        <v/>
      </c>
      <c r="C216" s="134"/>
    </row>
    <row r="217" spans="1:3" x14ac:dyDescent="0.2">
      <c r="A217" s="320" t="s">
        <v>2722</v>
      </c>
      <c r="B217">
        <f>IF(ISBLANK(GlobBerMedDisc!$Q$2),"",GlobBerMedDisc!$Q$2)</f>
        <v>0</v>
      </c>
      <c r="C217" s="322">
        <v>0</v>
      </c>
    </row>
    <row r="218" spans="1:3" x14ac:dyDescent="0.2">
      <c r="A218" s="320" t="s">
        <v>2723</v>
      </c>
      <c r="B218">
        <f>IF(ISBLANK(GlobBerMedDisc!$Q$3),"",GlobBerMedDisc!$Q$3)</f>
        <v>0</v>
      </c>
      <c r="C218" s="322">
        <v>0</v>
      </c>
    </row>
    <row r="219" spans="1:3" x14ac:dyDescent="0.2">
      <c r="A219" s="320" t="s">
        <v>2724</v>
      </c>
      <c r="B219">
        <f>IF(ISBLANK(GlobBerMedDisc!$Q$4),"",GlobBerMedDisc!$Q$4)</f>
        <v>0</v>
      </c>
      <c r="C219" s="322">
        <v>0</v>
      </c>
    </row>
    <row r="220" spans="1:3" x14ac:dyDescent="0.2">
      <c r="A220" s="320" t="s">
        <v>2725</v>
      </c>
      <c r="B220">
        <f>IF(ISBLANK(GlobBerMedDisc!$Q$5),"",GlobBerMedDisc!$Q$5)</f>
        <v>0</v>
      </c>
      <c r="C220" s="322">
        <v>0</v>
      </c>
    </row>
    <row r="221" spans="1:3" x14ac:dyDescent="0.2">
      <c r="A221" s="320" t="s">
        <v>2726</v>
      </c>
      <c r="B221">
        <f>IF(ISBLANK(GlobBerMedDisc!$Q$6),"",GlobBerMedDisc!$Q$6)</f>
        <v>0</v>
      </c>
      <c r="C221" s="322">
        <v>0</v>
      </c>
    </row>
    <row r="222" spans="1:3" x14ac:dyDescent="0.2">
      <c r="A222" s="320" t="s">
        <v>2727</v>
      </c>
      <c r="B222">
        <f>IF(ISBLANK(GlobBerMedDisc!$Q$7),"",GlobBerMedDisc!$Q$7)</f>
        <v>0</v>
      </c>
      <c r="C222" s="322">
        <v>0</v>
      </c>
    </row>
    <row r="223" spans="1:3" x14ac:dyDescent="0.2">
      <c r="A223" s="320" t="s">
        <v>2728</v>
      </c>
      <c r="B223">
        <f>IF(ISBLANK(GlobBerMedDisc!$Q$8),"",GlobBerMedDisc!$Q$8)</f>
        <v>0</v>
      </c>
      <c r="C223" s="322">
        <v>0</v>
      </c>
    </row>
    <row r="224" spans="1:3" x14ac:dyDescent="0.2">
      <c r="A224" s="320" t="s">
        <v>2729</v>
      </c>
      <c r="B224">
        <f>IF(ISBLANK(GlobBerMedDisc!$Q$9),"",GlobBerMedDisc!$Q$9)</f>
        <v>0</v>
      </c>
      <c r="C224" s="322">
        <v>0</v>
      </c>
    </row>
    <row r="225" spans="1:3" x14ac:dyDescent="0.2">
      <c r="A225" s="320" t="s">
        <v>2730</v>
      </c>
      <c r="B225">
        <f>IF(ISBLANK(GlobBerMedDisc!$Q$10),"",GlobBerMedDisc!$Q$10)</f>
        <v>0</v>
      </c>
      <c r="C225" s="322">
        <v>0</v>
      </c>
    </row>
    <row r="226" spans="1:3" x14ac:dyDescent="0.2">
      <c r="A226" s="320" t="s">
        <v>2731</v>
      </c>
      <c r="B226">
        <f>IF(ISBLANK(GlobBerMedDisc!$Q$11),"",GlobBerMedDisc!$Q$11)</f>
        <v>0</v>
      </c>
      <c r="C226" s="322">
        <v>0</v>
      </c>
    </row>
    <row r="227" spans="1:3" x14ac:dyDescent="0.2">
      <c r="A227" s="320" t="s">
        <v>2732</v>
      </c>
      <c r="B227">
        <f>IF(ISBLANK(GlobBerMedDisc!$Q$12),"",GlobBerMedDisc!$Q$12)</f>
        <v>0</v>
      </c>
      <c r="C227" s="322">
        <v>0</v>
      </c>
    </row>
    <row r="228" spans="1:3" x14ac:dyDescent="0.2">
      <c r="A228" s="320" t="s">
        <v>2733</v>
      </c>
      <c r="B228">
        <f>IF(ISBLANK(GlobBerMedDisc!$Q$13),"",GlobBerMedDisc!$Q$13)</f>
        <v>0</v>
      </c>
      <c r="C228" s="322">
        <v>0</v>
      </c>
    </row>
    <row r="229" spans="1:3" x14ac:dyDescent="0.2">
      <c r="A229" s="320" t="s">
        <v>2734</v>
      </c>
      <c r="B229">
        <f>IF(ISBLANK(GlobBerMedDisc!$Q$14),"",GlobBerMedDisc!$Q$14)</f>
        <v>0</v>
      </c>
      <c r="C229" s="322">
        <v>0</v>
      </c>
    </row>
    <row r="230" spans="1:3" x14ac:dyDescent="0.2">
      <c r="A230" s="320" t="s">
        <v>2735</v>
      </c>
      <c r="B230">
        <f>IF(ISBLANK(GlobBerMedDisc!$Q$15),"",GlobBerMedDisc!$Q$15)</f>
        <v>0</v>
      </c>
      <c r="C230" s="322">
        <v>0</v>
      </c>
    </row>
    <row r="231" spans="1:3" x14ac:dyDescent="0.2">
      <c r="A231" s="320" t="s">
        <v>2736</v>
      </c>
      <c r="B231">
        <f>IF(ISBLANK(GlobBerMedDisc!$Q$16),"",GlobBerMedDisc!$Q$16)</f>
        <v>0</v>
      </c>
      <c r="C231" s="322">
        <v>0</v>
      </c>
    </row>
    <row r="232" spans="1:3" x14ac:dyDescent="0.2">
      <c r="A232" s="320" t="s">
        <v>2737</v>
      </c>
      <c r="B232">
        <f>IF(ISBLANK(GlobBerMedDisc!$Q$17),"",GlobBerMedDisc!$Q$17)</f>
        <v>0</v>
      </c>
      <c r="C232" s="322">
        <v>0</v>
      </c>
    </row>
    <row r="233" spans="1:3" x14ac:dyDescent="0.2">
      <c r="A233" s="320" t="s">
        <v>2738</v>
      </c>
      <c r="B233">
        <f>IF(ISBLANK(GlobBerMedDisc!$Q$18),"",GlobBerMedDisc!$Q$18)</f>
        <v>0</v>
      </c>
      <c r="C233" s="322">
        <v>0</v>
      </c>
    </row>
    <row r="234" spans="1:3" x14ac:dyDescent="0.2">
      <c r="A234" s="320" t="s">
        <v>2739</v>
      </c>
      <c r="B234">
        <f>IF(ISBLANK(GlobBerMedDisc!$Q$19),"",GlobBerMedDisc!$Q$19)</f>
        <v>0</v>
      </c>
      <c r="C234" s="322">
        <v>0</v>
      </c>
    </row>
    <row r="235" spans="1:3" x14ac:dyDescent="0.2">
      <c r="A235" s="320" t="s">
        <v>2740</v>
      </c>
      <c r="B235">
        <f>IF(ISBLANK(GlobBerMedDisc!$Q$20),"",GlobBerMedDisc!$Q$20)</f>
        <v>0</v>
      </c>
      <c r="C235" s="322">
        <v>0</v>
      </c>
    </row>
    <row r="236" spans="1:3" x14ac:dyDescent="0.2">
      <c r="A236" s="320" t="s">
        <v>2741</v>
      </c>
      <c r="B236">
        <f>IF(ISBLANK(GlobBerMedDisc!$Q$21),"",GlobBerMedDisc!$Q$21)</f>
        <v>0</v>
      </c>
      <c r="C236" s="322">
        <v>0</v>
      </c>
    </row>
    <row r="237" spans="1:3" x14ac:dyDescent="0.2">
      <c r="A237" s="320" t="s">
        <v>2742</v>
      </c>
      <c r="B237">
        <f>IF(ISBLANK(GlobBerMedDisc!$Q$22),"",GlobBerMedDisc!$Q$22)</f>
        <v>0</v>
      </c>
      <c r="C237" s="322">
        <v>0</v>
      </c>
    </row>
    <row r="238" spans="1:3" x14ac:dyDescent="0.2">
      <c r="A238" s="320" t="s">
        <v>2743</v>
      </c>
      <c r="B238">
        <f>IF(ISBLANK(GlobBerMedDisc!$Q$23),"",GlobBerMedDisc!$Q$23)</f>
        <v>0</v>
      </c>
      <c r="C238" s="322">
        <v>0</v>
      </c>
    </row>
    <row r="239" spans="1:3" x14ac:dyDescent="0.2">
      <c r="A239" s="320" t="s">
        <v>2744</v>
      </c>
      <c r="B239">
        <f>IF(ISBLANK(GlobBerMedDisc!$Q$24),"",GlobBerMedDisc!$Q$24)</f>
        <v>0</v>
      </c>
      <c r="C239" s="322">
        <v>0</v>
      </c>
    </row>
    <row r="240" spans="1:3" x14ac:dyDescent="0.2">
      <c r="A240" s="320" t="s">
        <v>2745</v>
      </c>
      <c r="B240">
        <f>IF(ISBLANK(GlobBerMedDisc!$Q$25),"",GlobBerMedDisc!$Q$25)</f>
        <v>0</v>
      </c>
      <c r="C240" s="322">
        <v>0</v>
      </c>
    </row>
    <row r="241" spans="1:3" x14ac:dyDescent="0.2">
      <c r="A241" s="320" t="s">
        <v>2746</v>
      </c>
      <c r="B241">
        <f>IF(ISBLANK(GlobBerMedDisc!$Q$26),"",GlobBerMedDisc!$Q$26)</f>
        <v>0</v>
      </c>
      <c r="C241" s="322">
        <v>0</v>
      </c>
    </row>
    <row r="242" spans="1:3" x14ac:dyDescent="0.2">
      <c r="A242" s="320" t="s">
        <v>2747</v>
      </c>
      <c r="B242">
        <f>IF(ISBLANK(GlobBerMedDisc!$Q$27),"",GlobBerMedDisc!$Q$27)</f>
        <v>0</v>
      </c>
      <c r="C242" s="322">
        <v>0</v>
      </c>
    </row>
    <row r="243" spans="1:3" x14ac:dyDescent="0.2">
      <c r="A243" s="320" t="s">
        <v>2748</v>
      </c>
      <c r="B243">
        <f>IF(ISBLANK(GlobBerMedDisc!$Q$28),"",GlobBerMedDisc!$Q$28)</f>
        <v>0</v>
      </c>
      <c r="C243" s="322">
        <v>0</v>
      </c>
    </row>
    <row r="244" spans="1:3" x14ac:dyDescent="0.2">
      <c r="A244" s="320" t="s">
        <v>2749</v>
      </c>
      <c r="B244">
        <f>IF(ISBLANK(GlobBerMedDisc!$Q$29),"",GlobBerMedDisc!$Q$29)</f>
        <v>0</v>
      </c>
      <c r="C244" s="322">
        <v>0</v>
      </c>
    </row>
    <row r="245" spans="1:3" x14ac:dyDescent="0.2">
      <c r="A245" s="320" t="s">
        <v>2750</v>
      </c>
      <c r="B245">
        <f>IF(ISBLANK(GlobBerMedDisc!$Q$30),"",GlobBerMedDisc!$Q$30)</f>
        <v>0</v>
      </c>
      <c r="C245" s="322">
        <v>0</v>
      </c>
    </row>
    <row r="246" spans="1:3" x14ac:dyDescent="0.2">
      <c r="A246" s="320" t="s">
        <v>2751</v>
      </c>
      <c r="B246">
        <f>IF(ISBLANK(GlobBerMedDisc!$Q$31),"",GlobBerMedDisc!$Q$31)</f>
        <v>0</v>
      </c>
      <c r="C246" s="322">
        <v>0</v>
      </c>
    </row>
    <row r="247" spans="1:3" s="320" customFormat="1" x14ac:dyDescent="0.2">
      <c r="A247" s="320" t="s">
        <v>2752</v>
      </c>
      <c r="B247" s="320">
        <f>IF(ISBLANK(GlobBerMedDisc!$O$2),"",GlobBerMedDisc!$O$2)</f>
        <v>1</v>
      </c>
      <c r="C247" s="19">
        <v>1</v>
      </c>
    </row>
    <row r="248" spans="1:3" s="320" customFormat="1" x14ac:dyDescent="0.2">
      <c r="A248" s="320" t="s">
        <v>2753</v>
      </c>
      <c r="B248" s="320">
        <f>IF(ISBLANK(GlobBerMedDisc!$O$3),"",GlobBerMedDisc!$O$3)</f>
        <v>1</v>
      </c>
      <c r="C248" s="19">
        <v>1</v>
      </c>
    </row>
    <row r="249" spans="1:3" s="320" customFormat="1" x14ac:dyDescent="0.2">
      <c r="A249" s="320" t="s">
        <v>2754</v>
      </c>
      <c r="B249" s="320">
        <f>IF(ISBLANK(GlobBerMedDisc!$O$4),"",GlobBerMedDisc!$O$4)</f>
        <v>1</v>
      </c>
      <c r="C249" s="19">
        <v>1</v>
      </c>
    </row>
    <row r="250" spans="1:3" s="320" customFormat="1" x14ac:dyDescent="0.2">
      <c r="A250" s="320" t="s">
        <v>2755</v>
      </c>
      <c r="B250" s="320">
        <f>IF(ISBLANK(GlobBerMedDisc!$O$5),"",GlobBerMedDisc!$O$5)</f>
        <v>1</v>
      </c>
      <c r="C250" s="19">
        <v>1</v>
      </c>
    </row>
    <row r="251" spans="1:3" s="320" customFormat="1" x14ac:dyDescent="0.2">
      <c r="A251" s="320" t="s">
        <v>2756</v>
      </c>
      <c r="B251" s="320">
        <f>IF(ISBLANK(GlobBerMedDisc!$O$6),"",GlobBerMedDisc!$O$6)</f>
        <v>1</v>
      </c>
      <c r="C251" s="19">
        <v>1</v>
      </c>
    </row>
    <row r="252" spans="1:3" s="320" customFormat="1" x14ac:dyDescent="0.2">
      <c r="A252" s="320" t="s">
        <v>2757</v>
      </c>
      <c r="B252" s="320">
        <f>IF(ISBLANK(GlobBerMedDisc!$O$7),"",GlobBerMedDisc!$O$7)</f>
        <v>1</v>
      </c>
      <c r="C252" s="19">
        <v>1</v>
      </c>
    </row>
    <row r="253" spans="1:3" s="320" customFormat="1" x14ac:dyDescent="0.2">
      <c r="A253" s="320" t="s">
        <v>2758</v>
      </c>
      <c r="B253" s="320">
        <f>IF(ISBLANK(GlobBerMedDisc!$O$8),"",GlobBerMedDisc!$O$8)</f>
        <v>1</v>
      </c>
      <c r="C253" s="19">
        <v>1</v>
      </c>
    </row>
    <row r="254" spans="1:3" s="320" customFormat="1" x14ac:dyDescent="0.2">
      <c r="A254" s="320" t="s">
        <v>2759</v>
      </c>
      <c r="B254" s="320">
        <f>IF(ISBLANK(GlobBerMedDisc!$O$9),"",GlobBerMedDisc!$O$9)</f>
        <v>1</v>
      </c>
      <c r="C254" s="19">
        <v>1</v>
      </c>
    </row>
    <row r="255" spans="1:3" s="320" customFormat="1" x14ac:dyDescent="0.2">
      <c r="A255" s="320" t="s">
        <v>2760</v>
      </c>
      <c r="B255" s="320">
        <f>IF(ISBLANK(GlobBerMedDisc!$O$10),"",GlobBerMedDisc!$O$10)</f>
        <v>1</v>
      </c>
      <c r="C255" s="19">
        <v>1</v>
      </c>
    </row>
    <row r="256" spans="1:3" s="320" customFormat="1" x14ac:dyDescent="0.2">
      <c r="A256" s="320" t="s">
        <v>2761</v>
      </c>
      <c r="B256" s="320">
        <f>IF(ISBLANK(GlobBerMedDisc!$O$11),"",GlobBerMedDisc!$O$11)</f>
        <v>1</v>
      </c>
      <c r="C256" s="19">
        <v>1</v>
      </c>
    </row>
    <row r="257" spans="1:3" s="320" customFormat="1" x14ac:dyDescent="0.2">
      <c r="A257" s="320" t="s">
        <v>2762</v>
      </c>
      <c r="B257" s="320">
        <f>IF(ISBLANK(GlobBerMedDisc!$O$12),"",GlobBerMedDisc!$O$12)</f>
        <v>1</v>
      </c>
      <c r="C257" s="19">
        <v>1</v>
      </c>
    </row>
    <row r="258" spans="1:3" s="320" customFormat="1" x14ac:dyDescent="0.2">
      <c r="A258" s="320" t="s">
        <v>2763</v>
      </c>
      <c r="B258" s="320">
        <f>IF(ISBLANK(GlobBerMedDisc!$O$13),"",GlobBerMedDisc!$O$13)</f>
        <v>1</v>
      </c>
      <c r="C258" s="19">
        <v>1</v>
      </c>
    </row>
    <row r="259" spans="1:3" s="320" customFormat="1" x14ac:dyDescent="0.2">
      <c r="A259" s="320" t="s">
        <v>2764</v>
      </c>
      <c r="B259" s="320">
        <f>IF(ISBLANK(GlobBerMedDisc!$O$14),"",GlobBerMedDisc!$O$14)</f>
        <v>1</v>
      </c>
      <c r="C259" s="19">
        <v>1</v>
      </c>
    </row>
    <row r="260" spans="1:3" s="320" customFormat="1" x14ac:dyDescent="0.2">
      <c r="A260" s="320" t="s">
        <v>2765</v>
      </c>
      <c r="B260" s="320">
        <f>IF(ISBLANK(GlobBerMedDisc!$O$15),"",GlobBerMedDisc!$O$15)</f>
        <v>1</v>
      </c>
      <c r="C260" s="19">
        <v>1</v>
      </c>
    </row>
    <row r="261" spans="1:3" s="320" customFormat="1" x14ac:dyDescent="0.2">
      <c r="A261" s="320" t="s">
        <v>2766</v>
      </c>
      <c r="B261" s="320">
        <f>IF(ISBLANK(GlobBerMedDisc!$O$16),"",GlobBerMedDisc!$O$16)</f>
        <v>1</v>
      </c>
      <c r="C261" s="19">
        <v>1</v>
      </c>
    </row>
    <row r="262" spans="1:3" s="320" customFormat="1" x14ac:dyDescent="0.2">
      <c r="A262" s="320" t="s">
        <v>2767</v>
      </c>
      <c r="B262" s="320">
        <f>IF(ISBLANK(GlobBerMedDisc!$O$17),"",GlobBerMedDisc!$O$17)</f>
        <v>1</v>
      </c>
      <c r="C262" s="19">
        <v>1</v>
      </c>
    </row>
    <row r="263" spans="1:3" s="320" customFormat="1" x14ac:dyDescent="0.2">
      <c r="A263" s="320" t="s">
        <v>2768</v>
      </c>
      <c r="B263" s="320">
        <f>IF(ISBLANK(GlobBerMedDisc!$O$18),"",GlobBerMedDisc!$O$18)</f>
        <v>1</v>
      </c>
      <c r="C263" s="19">
        <v>1</v>
      </c>
    </row>
    <row r="264" spans="1:3" s="320" customFormat="1" x14ac:dyDescent="0.2">
      <c r="A264" s="320" t="s">
        <v>2769</v>
      </c>
      <c r="B264" s="320">
        <f>IF(ISBLANK(GlobBerMedDisc!$O$19),"",GlobBerMedDisc!$O$19)</f>
        <v>1</v>
      </c>
      <c r="C264" s="19">
        <v>1</v>
      </c>
    </row>
    <row r="265" spans="1:3" s="320" customFormat="1" x14ac:dyDescent="0.2">
      <c r="A265" s="320" t="s">
        <v>2770</v>
      </c>
      <c r="B265" s="320">
        <f>IF(ISBLANK(GlobBerMedDisc!$O$20),"",GlobBerMedDisc!$O$20)</f>
        <v>1</v>
      </c>
      <c r="C265" s="19">
        <v>1</v>
      </c>
    </row>
    <row r="266" spans="1:3" s="320" customFormat="1" x14ac:dyDescent="0.2">
      <c r="A266" s="320" t="s">
        <v>2771</v>
      </c>
      <c r="B266" s="320">
        <f>IF(ISBLANK(GlobBerMedDisc!$O$21),"",GlobBerMedDisc!$O$21)</f>
        <v>1</v>
      </c>
      <c r="C266" s="19">
        <v>1</v>
      </c>
    </row>
    <row r="267" spans="1:3" s="320" customFormat="1" x14ac:dyDescent="0.2">
      <c r="A267" s="320" t="s">
        <v>2772</v>
      </c>
      <c r="B267" s="320">
        <f>IF(ISBLANK(GlobBerMedDisc!$O$22),"",GlobBerMedDisc!$O$22)</f>
        <v>1</v>
      </c>
      <c r="C267" s="19">
        <v>1</v>
      </c>
    </row>
    <row r="268" spans="1:3" s="320" customFormat="1" x14ac:dyDescent="0.2">
      <c r="A268" s="320" t="s">
        <v>2773</v>
      </c>
      <c r="B268" s="320">
        <f>IF(ISBLANK(GlobBerMedDisc!$O$23),"",GlobBerMedDisc!$O$23)</f>
        <v>1</v>
      </c>
      <c r="C268" s="19">
        <v>1</v>
      </c>
    </row>
    <row r="269" spans="1:3" s="320" customFormat="1" x14ac:dyDescent="0.2">
      <c r="A269" s="320" t="s">
        <v>2774</v>
      </c>
      <c r="B269" s="320">
        <f>IF(ISBLANK(GlobBerMedDisc!$O$24),"",GlobBerMedDisc!$O$24)</f>
        <v>1</v>
      </c>
      <c r="C269" s="19">
        <v>1</v>
      </c>
    </row>
    <row r="270" spans="1:3" s="320" customFormat="1" x14ac:dyDescent="0.2">
      <c r="A270" s="320" t="s">
        <v>2775</v>
      </c>
      <c r="B270" s="320">
        <f>IF(ISBLANK(GlobBerMedDisc!$O$25),"",GlobBerMedDisc!$O$25)</f>
        <v>1</v>
      </c>
      <c r="C270" s="19">
        <v>1</v>
      </c>
    </row>
    <row r="271" spans="1:3" s="320" customFormat="1" x14ac:dyDescent="0.2">
      <c r="A271" s="320" t="s">
        <v>2776</v>
      </c>
      <c r="B271" s="320">
        <f>IF(ISBLANK(GlobBerMedDisc!$O$26),"",GlobBerMedDisc!$O$26)</f>
        <v>1</v>
      </c>
      <c r="C271" s="19">
        <v>1</v>
      </c>
    </row>
    <row r="272" spans="1:3" s="320" customFormat="1" x14ac:dyDescent="0.2">
      <c r="A272" s="320" t="s">
        <v>2777</v>
      </c>
      <c r="B272" s="320">
        <f>IF(ISBLANK(GlobBerMedDisc!$O$27),"",GlobBerMedDisc!$O$27)</f>
        <v>1</v>
      </c>
      <c r="C272" s="19">
        <v>1</v>
      </c>
    </row>
    <row r="273" spans="1:3" s="320" customFormat="1" x14ac:dyDescent="0.2">
      <c r="A273" s="320" t="s">
        <v>2778</v>
      </c>
      <c r="B273" s="320">
        <f>IF(ISBLANK(GlobBerMedDisc!$O$28),"",GlobBerMedDisc!$O$28)</f>
        <v>1</v>
      </c>
      <c r="C273" s="19">
        <v>1</v>
      </c>
    </row>
    <row r="274" spans="1:3" s="320" customFormat="1" x14ac:dyDescent="0.2">
      <c r="A274" s="320" t="s">
        <v>2779</v>
      </c>
      <c r="B274" s="320">
        <f>IF(ISBLANK(GlobBerMedDisc!$O$29),"",GlobBerMedDisc!$O$29)</f>
        <v>1</v>
      </c>
      <c r="C274" s="19">
        <v>1</v>
      </c>
    </row>
    <row r="275" spans="1:3" s="320" customFormat="1" x14ac:dyDescent="0.2">
      <c r="A275" s="320" t="s">
        <v>2780</v>
      </c>
      <c r="B275" s="320">
        <f>IF(ISBLANK(GlobBerMedDisc!$O$30),"",GlobBerMedDisc!$O$30)</f>
        <v>1</v>
      </c>
      <c r="C275" s="19">
        <v>1</v>
      </c>
    </row>
    <row r="276" spans="1:3" s="320" customFormat="1" x14ac:dyDescent="0.2">
      <c r="A276" s="320" t="s">
        <v>2781</v>
      </c>
      <c r="B276" s="320">
        <f>IF(ISBLANK(GlobBerMedDisc!$O$31),"",GlobBerMedDisc!$O$31)</f>
        <v>1</v>
      </c>
      <c r="C276" s="19">
        <v>1</v>
      </c>
    </row>
    <row r="277" spans="1:3" x14ac:dyDescent="0.2">
      <c r="A277" s="320" t="s">
        <v>2782</v>
      </c>
      <c r="B277">
        <f>IF(ISBLANK(GlobBerMedDisc!$N$2),"",GlobBerMedDisc!$N$2)</f>
        <v>0</v>
      </c>
      <c r="C277" s="322">
        <v>0</v>
      </c>
    </row>
    <row r="278" spans="1:3" x14ac:dyDescent="0.2">
      <c r="A278" s="320" t="s">
        <v>2783</v>
      </c>
      <c r="B278">
        <f>IF(ISBLANK(GlobBerMedDisc!$N$3),"",GlobBerMedDisc!$N$3)</f>
        <v>0</v>
      </c>
      <c r="C278" s="322">
        <v>0</v>
      </c>
    </row>
    <row r="279" spans="1:3" x14ac:dyDescent="0.2">
      <c r="A279" s="320" t="s">
        <v>2784</v>
      </c>
      <c r="B279">
        <f>IF(ISBLANK(GlobBerMedDisc!$N$4),"",GlobBerMedDisc!$N$4)</f>
        <v>0</v>
      </c>
      <c r="C279" s="322">
        <v>0</v>
      </c>
    </row>
    <row r="280" spans="1:3" x14ac:dyDescent="0.2">
      <c r="A280" s="320" t="s">
        <v>2785</v>
      </c>
      <c r="B280">
        <f>IF(ISBLANK(GlobBerMedDisc!$N$5),"",GlobBerMedDisc!$N$5)</f>
        <v>0</v>
      </c>
      <c r="C280" s="322">
        <v>0</v>
      </c>
    </row>
    <row r="281" spans="1:3" x14ac:dyDescent="0.2">
      <c r="A281" s="320" t="s">
        <v>2786</v>
      </c>
      <c r="B281" s="320">
        <f>IF(ISBLANK(GlobBerMedDisc!$N$6),"",GlobBerMedDisc!$N$6)</f>
        <v>0</v>
      </c>
      <c r="C281" s="322">
        <v>0</v>
      </c>
    </row>
    <row r="282" spans="1:3" x14ac:dyDescent="0.2">
      <c r="A282" s="320" t="s">
        <v>2787</v>
      </c>
      <c r="B282" s="320">
        <f>IF(ISBLANK(GlobBerMedDisc!$N$7),"",GlobBerMedDisc!$N$7)</f>
        <v>0</v>
      </c>
      <c r="C282" s="322">
        <v>0</v>
      </c>
    </row>
    <row r="283" spans="1:3" x14ac:dyDescent="0.2">
      <c r="A283" s="320" t="s">
        <v>2788</v>
      </c>
      <c r="B283" s="320">
        <f>IF(ISBLANK(GlobBerMedDisc!$N$8),"",GlobBerMedDisc!$N$8)</f>
        <v>0</v>
      </c>
      <c r="C283" s="322">
        <v>0</v>
      </c>
    </row>
    <row r="284" spans="1:3" x14ac:dyDescent="0.2">
      <c r="A284" s="320" t="s">
        <v>2789</v>
      </c>
      <c r="B284" s="320">
        <f>IF(ISBLANK(GlobBerMedDisc!$N$9),"",GlobBerMedDisc!$N$9)</f>
        <v>0</v>
      </c>
      <c r="C284" s="322">
        <v>0</v>
      </c>
    </row>
    <row r="285" spans="1:3" x14ac:dyDescent="0.2">
      <c r="A285" s="320" t="s">
        <v>2790</v>
      </c>
      <c r="B285" s="320">
        <f>IF(ISBLANK(GlobBerMedDisc!$N$10),"",GlobBerMedDisc!$N$10)</f>
        <v>0</v>
      </c>
      <c r="C285" s="322">
        <v>0</v>
      </c>
    </row>
    <row r="286" spans="1:3" x14ac:dyDescent="0.2">
      <c r="A286" s="320" t="s">
        <v>2791</v>
      </c>
      <c r="B286" s="320">
        <f>IF(ISBLANK(GlobBerMedDisc!$N$11),"",GlobBerMedDisc!$N$11)</f>
        <v>0</v>
      </c>
      <c r="C286" s="322">
        <v>0</v>
      </c>
    </row>
    <row r="287" spans="1:3" x14ac:dyDescent="0.2">
      <c r="A287" s="320" t="s">
        <v>2792</v>
      </c>
      <c r="B287" s="320">
        <f>IF(ISBLANK(GlobBerMedDisc!$N$12),"",GlobBerMedDisc!$N$12)</f>
        <v>0</v>
      </c>
      <c r="C287" s="322">
        <v>0</v>
      </c>
    </row>
    <row r="288" spans="1:3" x14ac:dyDescent="0.2">
      <c r="A288" s="320" t="s">
        <v>2793</v>
      </c>
      <c r="B288" s="320">
        <f>IF(ISBLANK(GlobBerMedDisc!$N$13),"",GlobBerMedDisc!$N$13)</f>
        <v>0</v>
      </c>
      <c r="C288" s="322">
        <v>0</v>
      </c>
    </row>
    <row r="289" spans="1:3" x14ac:dyDescent="0.2">
      <c r="A289" s="320" t="s">
        <v>2794</v>
      </c>
      <c r="B289" s="320">
        <f>IF(ISBLANK(GlobBerMedDisc!$N$14),"",GlobBerMedDisc!$N$14)</f>
        <v>0</v>
      </c>
      <c r="C289" s="322">
        <v>0</v>
      </c>
    </row>
    <row r="290" spans="1:3" x14ac:dyDescent="0.2">
      <c r="A290" s="320" t="s">
        <v>2795</v>
      </c>
      <c r="B290" s="320">
        <f>IF(ISBLANK(GlobBerMedDisc!$N$15),"",GlobBerMedDisc!$N$15)</f>
        <v>0</v>
      </c>
      <c r="C290" s="322">
        <v>0</v>
      </c>
    </row>
    <row r="291" spans="1:3" x14ac:dyDescent="0.2">
      <c r="A291" s="320" t="s">
        <v>2796</v>
      </c>
      <c r="B291">
        <f>IF(ISBLANK(GlobBerMedDisc!$N$16),"",GlobBerMedDisc!$N$16)</f>
        <v>0</v>
      </c>
      <c r="C291" s="322">
        <v>0</v>
      </c>
    </row>
    <row r="292" spans="1:3" x14ac:dyDescent="0.2">
      <c r="A292" s="320" t="s">
        <v>2797</v>
      </c>
      <c r="B292">
        <f>IF(ISBLANK(GlobBerMedDisc!$N$17),"",GlobBerMedDisc!$N$17)</f>
        <v>0</v>
      </c>
      <c r="C292" s="322">
        <v>0</v>
      </c>
    </row>
    <row r="293" spans="1:3" x14ac:dyDescent="0.2">
      <c r="A293" s="320" t="s">
        <v>2798</v>
      </c>
      <c r="B293">
        <f>IF(ISBLANK(GlobBerMedDisc!$N$18),"",GlobBerMedDisc!$N$18)</f>
        <v>0</v>
      </c>
      <c r="C293" s="322">
        <v>0</v>
      </c>
    </row>
    <row r="294" spans="1:3" x14ac:dyDescent="0.2">
      <c r="A294" s="320" t="s">
        <v>2799</v>
      </c>
      <c r="B294">
        <f>IF(ISBLANK(GlobBerMedDisc!$N$19),"",GlobBerMedDisc!$N$19)</f>
        <v>0</v>
      </c>
      <c r="C294" s="322">
        <v>0</v>
      </c>
    </row>
    <row r="295" spans="1:3" x14ac:dyDescent="0.2">
      <c r="A295" s="320" t="s">
        <v>2800</v>
      </c>
      <c r="B295">
        <f>IF(ISBLANK(GlobBerMedDisc!$N$20),"",GlobBerMedDisc!$N$20)</f>
        <v>0</v>
      </c>
      <c r="C295" s="322">
        <v>0</v>
      </c>
    </row>
    <row r="296" spans="1:3" s="320" customFormat="1" x14ac:dyDescent="0.2">
      <c r="A296" s="320" t="s">
        <v>2801</v>
      </c>
      <c r="B296">
        <f>IF(ISBLANK(GlobBerMedDisc!$N$21),"",GlobBerMedDisc!$N$21)</f>
        <v>0</v>
      </c>
      <c r="C296" s="322">
        <v>0</v>
      </c>
    </row>
    <row r="297" spans="1:3" s="320" customFormat="1" x14ac:dyDescent="0.2">
      <c r="A297" s="320" t="s">
        <v>2802</v>
      </c>
      <c r="B297">
        <f>IF(ISBLANK(GlobBerMedDisc!$N$22),"",GlobBerMedDisc!$N$22)</f>
        <v>0</v>
      </c>
      <c r="C297" s="322">
        <v>0</v>
      </c>
    </row>
    <row r="298" spans="1:3" s="320" customFormat="1" x14ac:dyDescent="0.2">
      <c r="A298" s="320" t="s">
        <v>2803</v>
      </c>
      <c r="B298">
        <f>IF(ISBLANK(GlobBerMedDisc!$N$23),"",GlobBerMedDisc!$N$23)</f>
        <v>0</v>
      </c>
      <c r="C298" s="322">
        <v>0</v>
      </c>
    </row>
    <row r="299" spans="1:3" s="320" customFormat="1" x14ac:dyDescent="0.2">
      <c r="A299" s="320" t="s">
        <v>2804</v>
      </c>
      <c r="B299">
        <f>IF(ISBLANK(GlobBerMedDisc!$N$24),"",GlobBerMedDisc!$N$24)</f>
        <v>0</v>
      </c>
      <c r="C299" s="322">
        <v>0</v>
      </c>
    </row>
    <row r="300" spans="1:3" s="320" customFormat="1" x14ac:dyDescent="0.2">
      <c r="A300" s="320" t="s">
        <v>2805</v>
      </c>
      <c r="B300">
        <f>IF(ISBLANK(GlobBerMedDisc!$N$25),"",GlobBerMedDisc!$N$25)</f>
        <v>0</v>
      </c>
      <c r="C300" s="322">
        <v>0</v>
      </c>
    </row>
    <row r="301" spans="1:3" s="320" customFormat="1" x14ac:dyDescent="0.2">
      <c r="A301" s="320" t="s">
        <v>2806</v>
      </c>
      <c r="B301">
        <f>IF(ISBLANK(GlobBerMedDisc!$N$26),"",GlobBerMedDisc!$N$26)</f>
        <v>0</v>
      </c>
      <c r="C301" s="322">
        <v>0</v>
      </c>
    </row>
    <row r="302" spans="1:3" s="320" customFormat="1" x14ac:dyDescent="0.2">
      <c r="A302" s="320" t="s">
        <v>2807</v>
      </c>
      <c r="B302">
        <f>IF(ISBLANK(GlobBerMedDisc!$N$27),"",GlobBerMedDisc!$N$27)</f>
        <v>0</v>
      </c>
      <c r="C302" s="322">
        <v>0</v>
      </c>
    </row>
    <row r="303" spans="1:3" s="320" customFormat="1" x14ac:dyDescent="0.2">
      <c r="A303" s="320" t="s">
        <v>2808</v>
      </c>
      <c r="B303">
        <f>IF(ISBLANK(GlobBerMedDisc!$N$28),"",GlobBerMedDisc!$N$28)</f>
        <v>0</v>
      </c>
      <c r="C303" s="322">
        <v>0</v>
      </c>
    </row>
    <row r="304" spans="1:3" s="320" customFormat="1" x14ac:dyDescent="0.2">
      <c r="A304" s="320" t="s">
        <v>2809</v>
      </c>
      <c r="B304">
        <f>IF(ISBLANK(GlobBerMedDisc!$N$29),"",GlobBerMedDisc!$N$29)</f>
        <v>0</v>
      </c>
      <c r="C304" s="322">
        <v>0</v>
      </c>
    </row>
    <row r="305" spans="1:3" s="320" customFormat="1" x14ac:dyDescent="0.2">
      <c r="A305" s="320" t="s">
        <v>2810</v>
      </c>
      <c r="B305">
        <f>IF(ISBLANK(GlobBerMedDisc!$N$30),"",GlobBerMedDisc!$N$30)</f>
        <v>0</v>
      </c>
      <c r="C305" s="322">
        <v>0</v>
      </c>
    </row>
    <row r="306" spans="1:3" x14ac:dyDescent="0.2">
      <c r="A306" s="320" t="s">
        <v>2811</v>
      </c>
      <c r="B306">
        <f>IF(ISBLANK(GlobBerMedDisc!$N$31),"",GlobBerMedDisc!$N$31)</f>
        <v>0</v>
      </c>
      <c r="C306" s="322">
        <v>0</v>
      </c>
    </row>
    <row r="307" spans="1:3" x14ac:dyDescent="0.2">
      <c r="A307" s="320" t="s">
        <v>2812</v>
      </c>
      <c r="B307" t="str">
        <f>IF(ISBLANK(GlobBerMedDisc!$AB$2),"",GlobBerMedDisc!$AB$2)</f>
        <v/>
      </c>
      <c r="C307" s="134"/>
    </row>
    <row r="308" spans="1:3" x14ac:dyDescent="0.2">
      <c r="A308" s="320" t="s">
        <v>2813</v>
      </c>
      <c r="B308" t="str">
        <f>IF(ISBLANK(GlobBerMedDisc!$AB$3),"",GlobBerMedDisc!$AB$3)</f>
        <v/>
      </c>
      <c r="C308" s="134"/>
    </row>
    <row r="309" spans="1:3" x14ac:dyDescent="0.2">
      <c r="A309" s="320" t="s">
        <v>2814</v>
      </c>
      <c r="B309" t="str">
        <f>IF(ISBLANK(GlobBerMedDisc!$AB$4),"",GlobBerMedDisc!$AB$4)</f>
        <v/>
      </c>
      <c r="C309" s="134"/>
    </row>
    <row r="310" spans="1:3" x14ac:dyDescent="0.2">
      <c r="A310" s="320" t="s">
        <v>2815</v>
      </c>
      <c r="B310" t="str">
        <f>IF(ISBLANK(GlobBerMedDisc!$AB$5),"",GlobBerMedDisc!$AB$5)</f>
        <v/>
      </c>
      <c r="C310" s="134"/>
    </row>
    <row r="311" spans="1:3" x14ac:dyDescent="0.2">
      <c r="A311" s="320" t="s">
        <v>2816</v>
      </c>
      <c r="B311" t="str">
        <f>IF(ISBLANK(GlobBerMedDisc!$AB$6),"",GlobBerMedDisc!$AB$6)</f>
        <v/>
      </c>
      <c r="C311" s="134"/>
    </row>
    <row r="312" spans="1:3" x14ac:dyDescent="0.2">
      <c r="A312" s="320" t="s">
        <v>2817</v>
      </c>
      <c r="B312" t="str">
        <f>IF(ISBLANK(GlobBerMedDisc!$AB$7),"",GlobBerMedDisc!$AB$7)</f>
        <v/>
      </c>
      <c r="C312" s="134"/>
    </row>
    <row r="313" spans="1:3" x14ac:dyDescent="0.2">
      <c r="A313" s="320" t="s">
        <v>2818</v>
      </c>
      <c r="B313" t="str">
        <f>IF(ISBLANK(GlobBerMedDisc!$AB$8),"",GlobBerMedDisc!$AB$8)</f>
        <v/>
      </c>
      <c r="C313" s="134"/>
    </row>
    <row r="314" spans="1:3" x14ac:dyDescent="0.2">
      <c r="A314" s="320" t="s">
        <v>2819</v>
      </c>
      <c r="B314" t="str">
        <f>IF(ISBLANK(GlobBerMedDisc!$AB$9),"",GlobBerMedDisc!$AB$9)</f>
        <v/>
      </c>
      <c r="C314" s="134"/>
    </row>
    <row r="315" spans="1:3" x14ac:dyDescent="0.2">
      <c r="A315" s="320" t="s">
        <v>2820</v>
      </c>
      <c r="B315" t="str">
        <f>IF(ISBLANK(GlobBerMedDisc!$AB$10),"",GlobBerMedDisc!$AB$10)</f>
        <v/>
      </c>
      <c r="C315" s="134"/>
    </row>
    <row r="316" spans="1:3" x14ac:dyDescent="0.2">
      <c r="A316" s="320" t="s">
        <v>2821</v>
      </c>
      <c r="B316" t="str">
        <f>IF(ISBLANK(GlobBerMedDisc!$AB$11),"",GlobBerMedDisc!$AB$11)</f>
        <v/>
      </c>
      <c r="C316" s="134"/>
    </row>
    <row r="317" spans="1:3" x14ac:dyDescent="0.2">
      <c r="A317" s="320" t="s">
        <v>2822</v>
      </c>
      <c r="B317" t="str">
        <f>IF(ISBLANK(GlobBerMedDisc!$AB$12),"",GlobBerMedDisc!$AB$12)</f>
        <v/>
      </c>
      <c r="C317" s="134"/>
    </row>
    <row r="318" spans="1:3" x14ac:dyDescent="0.2">
      <c r="A318" s="320" t="s">
        <v>2823</v>
      </c>
      <c r="B318" t="str">
        <f>IF(ISBLANK(GlobBerMedDisc!$AB$13),"",GlobBerMedDisc!$AB$13)</f>
        <v/>
      </c>
      <c r="C318" s="134"/>
    </row>
    <row r="319" spans="1:3" x14ac:dyDescent="0.2">
      <c r="A319" s="320" t="s">
        <v>2824</v>
      </c>
      <c r="B319" t="str">
        <f>IF(ISBLANK(GlobBerMedDisc!$AB$14),"",GlobBerMedDisc!$AB$14)</f>
        <v/>
      </c>
      <c r="C319" s="134"/>
    </row>
    <row r="320" spans="1:3" x14ac:dyDescent="0.2">
      <c r="A320" s="320" t="s">
        <v>2825</v>
      </c>
      <c r="B320" t="str">
        <f>IF(ISBLANK(GlobBerMedDisc!$AB$15),"",GlobBerMedDisc!$AB$15)</f>
        <v/>
      </c>
      <c r="C320" s="134"/>
    </row>
    <row r="321" spans="1:8" x14ac:dyDescent="0.2">
      <c r="A321" s="320" t="s">
        <v>2826</v>
      </c>
      <c r="B321" t="str">
        <f>IF(ISBLANK(GlobBerMedDisc!$AB$16),"",GlobBerMedDisc!$AB$16)</f>
        <v/>
      </c>
      <c r="C321" s="134"/>
    </row>
    <row r="322" spans="1:8" x14ac:dyDescent="0.2">
      <c r="A322" s="320" t="s">
        <v>2827</v>
      </c>
      <c r="B322" t="str">
        <f>IF(ISBLANK(GlobBerMedDisc!$AB$17),"",GlobBerMedDisc!$AB$17)</f>
        <v/>
      </c>
      <c r="C322" s="134"/>
    </row>
    <row r="323" spans="1:8" x14ac:dyDescent="0.2">
      <c r="A323" s="320" t="s">
        <v>2828</v>
      </c>
      <c r="B323" t="str">
        <f>IF(ISBLANK(GlobBerMedDisc!$AB$18),"",GlobBerMedDisc!$AB$18)</f>
        <v/>
      </c>
      <c r="C323" s="134"/>
      <c r="E323" s="320"/>
      <c r="F323" s="320"/>
      <c r="G323" s="320"/>
      <c r="H323" s="320"/>
    </row>
    <row r="324" spans="1:8" x14ac:dyDescent="0.2">
      <c r="A324" s="320" t="s">
        <v>2829</v>
      </c>
      <c r="B324" t="str">
        <f>IF(ISBLANK(GlobBerMedDisc!$AB$19),"",GlobBerMedDisc!$AB$19)</f>
        <v/>
      </c>
      <c r="C324" s="134"/>
      <c r="E324" s="320"/>
      <c r="F324" s="320"/>
      <c r="G324" s="320"/>
      <c r="H324" s="320"/>
    </row>
    <row r="325" spans="1:8" x14ac:dyDescent="0.2">
      <c r="A325" s="320" t="s">
        <v>2830</v>
      </c>
      <c r="B325" t="str">
        <f>IF(ISBLANK(GlobBerMedDisc!$AB$20),"",GlobBerMedDisc!$AB$20)</f>
        <v/>
      </c>
      <c r="C325" s="134"/>
      <c r="E325" s="320"/>
      <c r="F325" s="320"/>
      <c r="G325" s="320"/>
      <c r="H325" s="320"/>
    </row>
    <row r="326" spans="1:8" x14ac:dyDescent="0.2">
      <c r="A326" s="320" t="s">
        <v>2831</v>
      </c>
      <c r="B326" s="320" t="str">
        <f>IF(ISBLANK(GlobBerMedDisc!$AB$21),"",GlobBerMedDisc!$AB$21)</f>
        <v/>
      </c>
      <c r="C326" s="134"/>
      <c r="E326" s="320"/>
      <c r="F326" s="320"/>
      <c r="G326" s="320"/>
      <c r="H326" s="320"/>
    </row>
    <row r="327" spans="1:8" x14ac:dyDescent="0.2">
      <c r="A327" s="320" t="s">
        <v>2832</v>
      </c>
      <c r="B327" s="320" t="str">
        <f>IF(ISBLANK(GlobBerMedDisc!$AB$22),"",GlobBerMedDisc!$AB$22)</f>
        <v/>
      </c>
      <c r="C327" s="134"/>
      <c r="E327" s="320"/>
      <c r="F327" s="320"/>
      <c r="G327" s="320"/>
      <c r="H327" s="320"/>
    </row>
    <row r="328" spans="1:8" x14ac:dyDescent="0.2">
      <c r="A328" s="320" t="s">
        <v>2833</v>
      </c>
      <c r="B328" s="320" t="str">
        <f>IF(ISBLANK(GlobBerMedDisc!$AB$23),"",GlobBerMedDisc!$AB$23)</f>
        <v/>
      </c>
      <c r="C328" s="134"/>
      <c r="E328" s="320"/>
      <c r="F328" s="320"/>
      <c r="G328" s="320"/>
      <c r="H328" s="320"/>
    </row>
    <row r="329" spans="1:8" x14ac:dyDescent="0.2">
      <c r="A329" s="320" t="s">
        <v>2834</v>
      </c>
      <c r="B329" s="320" t="str">
        <f>IF(ISBLANK(GlobBerMedDisc!$AB$24),"",GlobBerMedDisc!$AB$24)</f>
        <v/>
      </c>
      <c r="C329" s="134"/>
      <c r="E329" s="320"/>
      <c r="F329" s="320"/>
      <c r="G329" s="320"/>
      <c r="H329" s="320"/>
    </row>
    <row r="330" spans="1:8" x14ac:dyDescent="0.2">
      <c r="A330" s="320" t="s">
        <v>2835</v>
      </c>
      <c r="B330" s="320" t="str">
        <f>IF(ISBLANK(GlobBerMedDisc!$AB$25),"",GlobBerMedDisc!$AB$25)</f>
        <v/>
      </c>
      <c r="C330" s="134"/>
      <c r="E330" s="320"/>
      <c r="F330" s="320"/>
      <c r="G330" s="320"/>
      <c r="H330" s="320"/>
    </row>
    <row r="331" spans="1:8" x14ac:dyDescent="0.2">
      <c r="A331" s="320" t="s">
        <v>2836</v>
      </c>
      <c r="B331" s="320" t="str">
        <f>IF(ISBLANK(GlobBerMedDisc!$AB$26),"",GlobBerMedDisc!$AB$26)</f>
        <v/>
      </c>
      <c r="C331" s="134"/>
      <c r="E331" s="320"/>
      <c r="F331" s="320"/>
      <c r="G331" s="320"/>
      <c r="H331" s="320"/>
    </row>
    <row r="332" spans="1:8" x14ac:dyDescent="0.2">
      <c r="A332" s="320" t="s">
        <v>2837</v>
      </c>
      <c r="B332" s="320" t="str">
        <f>IF(ISBLANK(GlobBerMedDisc!$AB$27),"",GlobBerMedDisc!$AB$27)</f>
        <v/>
      </c>
      <c r="C332" s="134"/>
      <c r="E332" s="320"/>
      <c r="F332" s="320"/>
      <c r="G332" s="320"/>
      <c r="H332" s="320"/>
    </row>
    <row r="333" spans="1:8" x14ac:dyDescent="0.2">
      <c r="A333" s="320" t="s">
        <v>2838</v>
      </c>
      <c r="B333" s="320" t="str">
        <f>IF(ISBLANK(GlobBerMedDisc!$AB$28),"",GlobBerMedDisc!$AB$28)</f>
        <v/>
      </c>
      <c r="C333" s="134"/>
      <c r="E333" s="320"/>
      <c r="F333" s="320"/>
      <c r="G333" s="320"/>
      <c r="H333" s="320"/>
    </row>
    <row r="334" spans="1:8" x14ac:dyDescent="0.2">
      <c r="A334" s="320" t="s">
        <v>2839</v>
      </c>
      <c r="B334" s="320" t="str">
        <f>IF(ISBLANK(GlobBerMedDisc!$AB$29),"",GlobBerMedDisc!$AB$29)</f>
        <v/>
      </c>
      <c r="C334" s="134"/>
    </row>
    <row r="335" spans="1:8" x14ac:dyDescent="0.2">
      <c r="A335" s="320" t="s">
        <v>2840</v>
      </c>
      <c r="B335" s="320" t="str">
        <f>IF(ISBLANK(GlobBerMedDisc!$AB$30),"",GlobBerMedDisc!$AB$30)</f>
        <v/>
      </c>
      <c r="C335" s="134"/>
    </row>
    <row r="336" spans="1:8" x14ac:dyDescent="0.2">
      <c r="A336" s="320" t="s">
        <v>2841</v>
      </c>
      <c r="B336" t="str">
        <f>IF(ISBLANK(GlobBerMedDisc!$AB$31),"",GlobBerMedDisc!$AB$31)</f>
        <v/>
      </c>
      <c r="C336" s="134"/>
    </row>
    <row r="337" spans="1:3" s="320" customFormat="1" x14ac:dyDescent="0.2">
      <c r="A337" s="320" t="s">
        <v>4976</v>
      </c>
      <c r="B337" s="320" t="b">
        <f>IF(ISBLANK(GlobBerMedDisc!$AF$2),"",GlobBerMedDisc!$AF$2)</f>
        <v>0</v>
      </c>
      <c r="C337" s="320" t="b">
        <v>0</v>
      </c>
    </row>
    <row r="338" spans="1:3" s="320" customFormat="1" x14ac:dyDescent="0.2">
      <c r="A338" s="320" t="s">
        <v>4977</v>
      </c>
      <c r="B338" s="320" t="b">
        <f>IF(ISBLANK(GlobBerMedDisc!$AF$3),"",GlobBerMedDisc!$AF$3)</f>
        <v>0</v>
      </c>
      <c r="C338" s="320" t="b">
        <v>0</v>
      </c>
    </row>
    <row r="339" spans="1:3" s="320" customFormat="1" x14ac:dyDescent="0.2">
      <c r="A339" s="320" t="s">
        <v>4978</v>
      </c>
      <c r="B339" s="320" t="b">
        <f>IF(ISBLANK(GlobBerMedDisc!$AF$4),"",GlobBerMedDisc!$AF$4)</f>
        <v>0</v>
      </c>
      <c r="C339" s="320" t="b">
        <v>0</v>
      </c>
    </row>
    <row r="340" spans="1:3" s="320" customFormat="1" x14ac:dyDescent="0.2">
      <c r="A340" s="320" t="s">
        <v>4979</v>
      </c>
      <c r="B340" s="320" t="b">
        <f>IF(ISBLANK(GlobBerMedDisc!$AF$5),"",GlobBerMedDisc!$AF$5)</f>
        <v>0</v>
      </c>
      <c r="C340" s="320" t="b">
        <v>0</v>
      </c>
    </row>
    <row r="341" spans="1:3" s="320" customFormat="1" x14ac:dyDescent="0.2">
      <c r="A341" s="320" t="s">
        <v>4980</v>
      </c>
      <c r="B341" s="320" t="b">
        <f>IF(ISBLANK(GlobBerMedDisc!$AF$6),"",GlobBerMedDisc!$AF$6)</f>
        <v>0</v>
      </c>
      <c r="C341" s="320" t="b">
        <v>0</v>
      </c>
    </row>
    <row r="342" spans="1:3" s="320" customFormat="1" x14ac:dyDescent="0.2">
      <c r="A342" s="320" t="s">
        <v>4981</v>
      </c>
      <c r="B342" s="320" t="b">
        <f>IF(ISBLANK(GlobBerMedDisc!$AF$7),"",GlobBerMedDisc!$AF$7)</f>
        <v>0</v>
      </c>
      <c r="C342" s="320" t="b">
        <v>0</v>
      </c>
    </row>
    <row r="343" spans="1:3" s="320" customFormat="1" x14ac:dyDescent="0.2">
      <c r="A343" s="320" t="s">
        <v>4982</v>
      </c>
      <c r="B343" s="320" t="b">
        <f>IF(ISBLANK(GlobBerMedDisc!$AF$8),"",GlobBerMedDisc!$AF$8)</f>
        <v>0</v>
      </c>
      <c r="C343" s="320" t="b">
        <v>0</v>
      </c>
    </row>
    <row r="344" spans="1:3" s="320" customFormat="1" x14ac:dyDescent="0.2">
      <c r="A344" s="320" t="s">
        <v>4983</v>
      </c>
      <c r="B344" s="320" t="b">
        <f>IF(ISBLANK(GlobBerMedDisc!$AF$9),"",GlobBerMedDisc!$AF$9)</f>
        <v>0</v>
      </c>
      <c r="C344" s="320" t="b">
        <v>0</v>
      </c>
    </row>
    <row r="345" spans="1:3" s="320" customFormat="1" x14ac:dyDescent="0.2">
      <c r="A345" s="320" t="s">
        <v>4984</v>
      </c>
      <c r="B345" s="320" t="b">
        <f>IF(ISBLANK(GlobBerMedDisc!$AF$10),"",GlobBerMedDisc!$AF$10)</f>
        <v>0</v>
      </c>
      <c r="C345" s="320" t="b">
        <v>0</v>
      </c>
    </row>
    <row r="346" spans="1:3" s="320" customFormat="1" x14ac:dyDescent="0.2">
      <c r="A346" s="320" t="s">
        <v>4985</v>
      </c>
      <c r="B346" s="320" t="b">
        <f>IF(ISBLANK(GlobBerMedDisc!$AF$11),"",GlobBerMedDisc!$AF$11)</f>
        <v>0</v>
      </c>
      <c r="C346" s="320" t="b">
        <v>0</v>
      </c>
    </row>
    <row r="347" spans="1:3" s="320" customFormat="1" x14ac:dyDescent="0.2">
      <c r="A347" s="320" t="s">
        <v>4986</v>
      </c>
      <c r="B347" s="320" t="b">
        <f>IF(ISBLANK(GlobBerMedDisc!$AF$12),"",GlobBerMedDisc!$AF$12)</f>
        <v>0</v>
      </c>
      <c r="C347" s="320" t="b">
        <v>0</v>
      </c>
    </row>
    <row r="348" spans="1:3" s="320" customFormat="1" x14ac:dyDescent="0.2">
      <c r="A348" s="320" t="s">
        <v>4987</v>
      </c>
      <c r="B348" s="320" t="b">
        <f>IF(ISBLANK(GlobBerMedDisc!$AF$13),"",GlobBerMedDisc!$AF$13)</f>
        <v>0</v>
      </c>
      <c r="C348" s="320" t="b">
        <v>0</v>
      </c>
    </row>
    <row r="349" spans="1:3" s="320" customFormat="1" x14ac:dyDescent="0.2">
      <c r="A349" s="320" t="s">
        <v>4988</v>
      </c>
      <c r="B349" s="320" t="b">
        <f>IF(ISBLANK(GlobBerMedDisc!$AF$14),"",GlobBerMedDisc!$AF$14)</f>
        <v>0</v>
      </c>
      <c r="C349" s="320" t="b">
        <v>0</v>
      </c>
    </row>
    <row r="350" spans="1:3" s="320" customFormat="1" x14ac:dyDescent="0.2">
      <c r="A350" s="320" t="s">
        <v>4989</v>
      </c>
      <c r="B350" s="320" t="b">
        <f>IF(ISBLANK(GlobBerMedDisc!$AF$15),"",GlobBerMedDisc!$AF$15)</f>
        <v>0</v>
      </c>
      <c r="C350" s="320" t="b">
        <v>0</v>
      </c>
    </row>
    <row r="351" spans="1:3" s="320" customFormat="1" x14ac:dyDescent="0.2">
      <c r="A351" s="320" t="s">
        <v>4990</v>
      </c>
      <c r="B351" s="320" t="b">
        <f>IF(ISBLANK(GlobBerMedDisc!$AF$16),"",GlobBerMedDisc!$AF$16)</f>
        <v>0</v>
      </c>
      <c r="C351" s="320" t="b">
        <v>0</v>
      </c>
    </row>
    <row r="352" spans="1:3" s="320" customFormat="1" x14ac:dyDescent="0.2">
      <c r="A352" s="320" t="s">
        <v>4991</v>
      </c>
      <c r="B352" s="320" t="b">
        <f>IF(ISBLANK(GlobBerMedDisc!$AF$17),"",GlobBerMedDisc!$AF$17)</f>
        <v>0</v>
      </c>
      <c r="C352" s="320" t="b">
        <v>0</v>
      </c>
    </row>
    <row r="353" spans="1:3" s="320" customFormat="1" x14ac:dyDescent="0.2">
      <c r="A353" s="320" t="s">
        <v>4992</v>
      </c>
      <c r="B353" s="320" t="b">
        <f>IF(ISBLANK(GlobBerMedDisc!$AF$18),"",GlobBerMedDisc!$AF$18)</f>
        <v>0</v>
      </c>
      <c r="C353" s="320" t="b">
        <v>0</v>
      </c>
    </row>
    <row r="354" spans="1:3" s="320" customFormat="1" x14ac:dyDescent="0.2">
      <c r="A354" s="320" t="s">
        <v>4993</v>
      </c>
      <c r="B354" s="320" t="b">
        <f>IF(ISBLANK(GlobBerMedDisc!$AF$19),"",GlobBerMedDisc!$AF$19)</f>
        <v>0</v>
      </c>
      <c r="C354" s="320" t="b">
        <v>0</v>
      </c>
    </row>
    <row r="355" spans="1:3" s="320" customFormat="1" x14ac:dyDescent="0.2">
      <c r="A355" s="320" t="s">
        <v>4994</v>
      </c>
      <c r="B355" s="320" t="b">
        <f>IF(ISBLANK(GlobBerMedDisc!$AF$20),"",GlobBerMedDisc!$AF$20)</f>
        <v>0</v>
      </c>
      <c r="C355" s="320" t="b">
        <v>0</v>
      </c>
    </row>
    <row r="356" spans="1:3" s="320" customFormat="1" x14ac:dyDescent="0.2">
      <c r="A356" s="320" t="s">
        <v>4995</v>
      </c>
      <c r="B356" s="320" t="b">
        <f>IF(ISBLANK(GlobBerMedDisc!$AF$21),"",GlobBerMedDisc!$AF$21)</f>
        <v>0</v>
      </c>
      <c r="C356" s="320" t="b">
        <v>0</v>
      </c>
    </row>
    <row r="357" spans="1:3" s="320" customFormat="1" x14ac:dyDescent="0.2">
      <c r="A357" s="320" t="s">
        <v>4996</v>
      </c>
      <c r="B357" s="320" t="b">
        <f>IF(ISBLANK(GlobBerMedDisc!$AF$22),"",GlobBerMedDisc!$AF$22)</f>
        <v>0</v>
      </c>
      <c r="C357" s="320" t="b">
        <v>0</v>
      </c>
    </row>
    <row r="358" spans="1:3" s="320" customFormat="1" x14ac:dyDescent="0.2">
      <c r="A358" s="320" t="s">
        <v>4997</v>
      </c>
      <c r="B358" s="320" t="b">
        <f>IF(ISBLANK(GlobBerMedDisc!$AF$23),"",GlobBerMedDisc!$AF$23)</f>
        <v>0</v>
      </c>
      <c r="C358" s="320" t="b">
        <v>0</v>
      </c>
    </row>
    <row r="359" spans="1:3" s="320" customFormat="1" x14ac:dyDescent="0.2">
      <c r="A359" s="320" t="s">
        <v>4998</v>
      </c>
      <c r="B359" s="320" t="b">
        <f>IF(ISBLANK(GlobBerMedDisc!$AF$24),"",GlobBerMedDisc!$AF$24)</f>
        <v>0</v>
      </c>
      <c r="C359" s="320" t="b">
        <v>0</v>
      </c>
    </row>
    <row r="360" spans="1:3" s="320" customFormat="1" x14ac:dyDescent="0.2">
      <c r="A360" s="320" t="s">
        <v>4999</v>
      </c>
      <c r="B360" s="320" t="b">
        <f>IF(ISBLANK(GlobBerMedDisc!$AF$25),"",GlobBerMedDisc!$AF$25)</f>
        <v>0</v>
      </c>
      <c r="C360" s="320" t="b">
        <v>0</v>
      </c>
    </row>
    <row r="361" spans="1:3" s="320" customFormat="1" x14ac:dyDescent="0.2">
      <c r="A361" s="320" t="s">
        <v>5000</v>
      </c>
      <c r="B361" s="320" t="b">
        <f>IF(ISBLANK(GlobBerMedDisc!$AF$26),"",GlobBerMedDisc!$AF$26)</f>
        <v>0</v>
      </c>
      <c r="C361" s="320" t="b">
        <v>0</v>
      </c>
    </row>
    <row r="362" spans="1:3" s="320" customFormat="1" x14ac:dyDescent="0.2">
      <c r="A362" s="320" t="s">
        <v>5001</v>
      </c>
      <c r="B362" s="320" t="b">
        <f>IF(ISBLANK(GlobBerMedDisc!$AF$27),"",GlobBerMedDisc!$AF$27)</f>
        <v>0</v>
      </c>
      <c r="C362" s="320" t="b">
        <v>0</v>
      </c>
    </row>
    <row r="363" spans="1:3" s="320" customFormat="1" x14ac:dyDescent="0.2">
      <c r="A363" s="320" t="s">
        <v>5002</v>
      </c>
      <c r="B363" s="320" t="b">
        <f>IF(ISBLANK(GlobBerMedDisc!$AF$28),"",GlobBerMedDisc!$AF$28)</f>
        <v>0</v>
      </c>
      <c r="C363" s="320" t="b">
        <v>0</v>
      </c>
    </row>
    <row r="364" spans="1:3" s="320" customFormat="1" x14ac:dyDescent="0.2">
      <c r="A364" s="320" t="s">
        <v>5003</v>
      </c>
      <c r="B364" s="320" t="b">
        <f>IF(ISBLANK(GlobBerMedDisc!$AF$29),"",GlobBerMedDisc!$AF$29)</f>
        <v>0</v>
      </c>
      <c r="C364" s="320" t="b">
        <v>0</v>
      </c>
    </row>
    <row r="365" spans="1:3" s="320" customFormat="1" x14ac:dyDescent="0.2">
      <c r="A365" s="320" t="s">
        <v>5004</v>
      </c>
      <c r="B365" s="320" t="b">
        <f>IF(ISBLANK(GlobBerMedDisc!$AF$30),"",GlobBerMedDisc!$AF$30)</f>
        <v>0</v>
      </c>
      <c r="C365" s="320" t="b">
        <v>0</v>
      </c>
    </row>
    <row r="366" spans="1:3" s="320" customFormat="1" x14ac:dyDescent="0.2">
      <c r="A366" s="320" t="s">
        <v>5005</v>
      </c>
      <c r="B366" s="320" t="b">
        <f>IF(ISBLANK(GlobBerMedDisc!$AF$31),"",GlobBerMedDisc!$AF$31)</f>
        <v>0</v>
      </c>
      <c r="C366" s="320" t="b">
        <v>0</v>
      </c>
    </row>
    <row r="367" spans="1:3" s="320" customFormat="1" x14ac:dyDescent="0.2">
      <c r="A367" s="320" t="s">
        <v>5006</v>
      </c>
      <c r="B367" s="320" t="str">
        <f>IF(ISBLANK(GlobBerMedDisc!$AG$2),"",GlobBerMedDisc!$AG$2)</f>
        <v/>
      </c>
      <c r="C367" s="134"/>
    </row>
    <row r="368" spans="1:3" s="320" customFormat="1" x14ac:dyDescent="0.2">
      <c r="A368" s="320" t="s">
        <v>5007</v>
      </c>
      <c r="B368" s="320" t="str">
        <f>IF(ISBLANK(GlobBerMedDisc!$AG$3),"",GlobBerMedDisc!$AG$3)</f>
        <v/>
      </c>
      <c r="C368" s="134"/>
    </row>
    <row r="369" spans="1:3" s="320" customFormat="1" x14ac:dyDescent="0.2">
      <c r="A369" s="320" t="s">
        <v>5008</v>
      </c>
      <c r="B369" s="320" t="str">
        <f>IF(ISBLANK(GlobBerMedDisc!$AG$4),"",GlobBerMedDisc!$AG$4)</f>
        <v/>
      </c>
      <c r="C369" s="134"/>
    </row>
    <row r="370" spans="1:3" s="320" customFormat="1" x14ac:dyDescent="0.2">
      <c r="A370" s="320" t="s">
        <v>5009</v>
      </c>
      <c r="B370" s="320" t="str">
        <f>IF(ISBLANK(GlobBerMedDisc!$AG$5),"",GlobBerMedDisc!$AG$5)</f>
        <v/>
      </c>
      <c r="C370" s="134"/>
    </row>
    <row r="371" spans="1:3" s="320" customFormat="1" x14ac:dyDescent="0.2">
      <c r="A371" s="320" t="s">
        <v>5010</v>
      </c>
      <c r="B371" s="320" t="str">
        <f>IF(ISBLANK(GlobBerMedDisc!$AG$6),"",GlobBerMedDisc!$AG$6)</f>
        <v/>
      </c>
      <c r="C371" s="134"/>
    </row>
    <row r="372" spans="1:3" s="320" customFormat="1" x14ac:dyDescent="0.2">
      <c r="A372" s="320" t="s">
        <v>5011</v>
      </c>
      <c r="B372" s="320" t="str">
        <f>IF(ISBLANK(GlobBerMedDisc!$AG$7),"",GlobBerMedDisc!$AG$7)</f>
        <v/>
      </c>
      <c r="C372" s="134"/>
    </row>
    <row r="373" spans="1:3" s="320" customFormat="1" x14ac:dyDescent="0.2">
      <c r="A373" s="320" t="s">
        <v>5012</v>
      </c>
      <c r="B373" s="320" t="str">
        <f>IF(ISBLANK(GlobBerMedDisc!$AG$8),"",GlobBerMedDisc!$AG$8)</f>
        <v/>
      </c>
      <c r="C373" s="134"/>
    </row>
    <row r="374" spans="1:3" s="320" customFormat="1" x14ac:dyDescent="0.2">
      <c r="A374" s="320" t="s">
        <v>5013</v>
      </c>
      <c r="B374" s="320" t="str">
        <f>IF(ISBLANK(GlobBerMedDisc!$AG$9),"",GlobBerMedDisc!$AG$9)</f>
        <v/>
      </c>
      <c r="C374" s="134"/>
    </row>
    <row r="375" spans="1:3" s="320" customFormat="1" x14ac:dyDescent="0.2">
      <c r="A375" s="320" t="s">
        <v>5014</v>
      </c>
      <c r="B375" s="320" t="str">
        <f>IF(ISBLANK(GlobBerMedDisc!$AG$10),"",GlobBerMedDisc!$AG$10)</f>
        <v/>
      </c>
      <c r="C375" s="134"/>
    </row>
    <row r="376" spans="1:3" s="320" customFormat="1" x14ac:dyDescent="0.2">
      <c r="A376" s="320" t="s">
        <v>5015</v>
      </c>
      <c r="B376" s="320" t="str">
        <f>IF(ISBLANK(GlobBerMedDisc!$AG$11),"",GlobBerMedDisc!$AG$11)</f>
        <v/>
      </c>
      <c r="C376" s="134"/>
    </row>
    <row r="377" spans="1:3" s="320" customFormat="1" x14ac:dyDescent="0.2">
      <c r="A377" s="320" t="s">
        <v>5016</v>
      </c>
      <c r="B377" s="320" t="str">
        <f>IF(ISBLANK(GlobBerMedDisc!$AG$12),"",GlobBerMedDisc!$AG$12)</f>
        <v/>
      </c>
      <c r="C377" s="134"/>
    </row>
    <row r="378" spans="1:3" s="320" customFormat="1" x14ac:dyDescent="0.2">
      <c r="A378" s="320" t="s">
        <v>5017</v>
      </c>
      <c r="B378" s="320" t="str">
        <f>IF(ISBLANK(GlobBerMedDisc!$AG$13),"",GlobBerMedDisc!$AG$13)</f>
        <v/>
      </c>
      <c r="C378" s="134"/>
    </row>
    <row r="379" spans="1:3" s="320" customFormat="1" x14ac:dyDescent="0.2">
      <c r="A379" s="320" t="s">
        <v>5018</v>
      </c>
      <c r="B379" s="320" t="str">
        <f>IF(ISBLANK(GlobBerMedDisc!$AG$14),"",GlobBerMedDisc!$AG$14)</f>
        <v/>
      </c>
      <c r="C379" s="134"/>
    </row>
    <row r="380" spans="1:3" s="320" customFormat="1" x14ac:dyDescent="0.2">
      <c r="A380" s="320" t="s">
        <v>5019</v>
      </c>
      <c r="B380" s="320" t="str">
        <f>IF(ISBLANK(GlobBerMedDisc!$AG$15),"",GlobBerMedDisc!$AG$15)</f>
        <v/>
      </c>
      <c r="C380" s="134"/>
    </row>
    <row r="381" spans="1:3" s="320" customFormat="1" x14ac:dyDescent="0.2">
      <c r="A381" s="320" t="s">
        <v>5020</v>
      </c>
      <c r="B381" s="320" t="str">
        <f>IF(ISBLANK(GlobBerMedDisc!$AG$16),"",GlobBerMedDisc!$AG$16)</f>
        <v/>
      </c>
      <c r="C381" s="134"/>
    </row>
    <row r="382" spans="1:3" s="320" customFormat="1" x14ac:dyDescent="0.2">
      <c r="A382" s="320" t="s">
        <v>5021</v>
      </c>
      <c r="B382" s="320" t="str">
        <f>IF(ISBLANK(GlobBerMedDisc!$AG$17),"",GlobBerMedDisc!$AG$17)</f>
        <v/>
      </c>
      <c r="C382" s="134"/>
    </row>
    <row r="383" spans="1:3" s="320" customFormat="1" x14ac:dyDescent="0.2">
      <c r="A383" s="320" t="s">
        <v>5022</v>
      </c>
      <c r="B383" s="320" t="str">
        <f>IF(ISBLANK(GlobBerMedDisc!$AG$18),"",GlobBerMedDisc!$AG$18)</f>
        <v/>
      </c>
      <c r="C383" s="134"/>
    </row>
    <row r="384" spans="1:3" s="320" customFormat="1" x14ac:dyDescent="0.2">
      <c r="A384" s="320" t="s">
        <v>5023</v>
      </c>
      <c r="B384" s="320" t="str">
        <f>IF(ISBLANK(GlobBerMedDisc!$AG$19),"",GlobBerMedDisc!$AG$19)</f>
        <v/>
      </c>
      <c r="C384" s="134"/>
    </row>
    <row r="385" spans="1:3" s="320" customFormat="1" x14ac:dyDescent="0.2">
      <c r="A385" s="320" t="s">
        <v>5024</v>
      </c>
      <c r="B385" s="320" t="str">
        <f>IF(ISBLANK(GlobBerMedDisc!$AG$20),"",GlobBerMedDisc!$AG$20)</f>
        <v/>
      </c>
      <c r="C385" s="134"/>
    </row>
    <row r="386" spans="1:3" s="320" customFormat="1" x14ac:dyDescent="0.2">
      <c r="A386" s="320" t="s">
        <v>5025</v>
      </c>
      <c r="B386" s="320" t="str">
        <f>IF(ISBLANK(GlobBerMedDisc!$AG$21),"",GlobBerMedDisc!$AG$21)</f>
        <v/>
      </c>
      <c r="C386" s="134"/>
    </row>
    <row r="387" spans="1:3" s="320" customFormat="1" x14ac:dyDescent="0.2">
      <c r="A387" s="320" t="s">
        <v>5026</v>
      </c>
      <c r="B387" s="320" t="str">
        <f>IF(ISBLANK(GlobBerMedDisc!$AG$22),"",GlobBerMedDisc!$AG$22)</f>
        <v/>
      </c>
      <c r="C387" s="134"/>
    </row>
    <row r="388" spans="1:3" s="320" customFormat="1" x14ac:dyDescent="0.2">
      <c r="A388" s="320" t="s">
        <v>5027</v>
      </c>
      <c r="B388" s="320" t="str">
        <f>IF(ISBLANK(GlobBerMedDisc!$AG$23),"",GlobBerMedDisc!$AG$23)</f>
        <v/>
      </c>
      <c r="C388" s="134"/>
    </row>
    <row r="389" spans="1:3" s="320" customFormat="1" x14ac:dyDescent="0.2">
      <c r="A389" s="320" t="s">
        <v>5028</v>
      </c>
      <c r="B389" s="320" t="str">
        <f>IF(ISBLANK(GlobBerMedDisc!$AG$24),"",GlobBerMedDisc!$AG$24)</f>
        <v/>
      </c>
      <c r="C389" s="134"/>
    </row>
    <row r="390" spans="1:3" s="320" customFormat="1" x14ac:dyDescent="0.2">
      <c r="A390" s="320" t="s">
        <v>5029</v>
      </c>
      <c r="B390" s="320" t="str">
        <f>IF(ISBLANK(GlobBerMedDisc!$AG$25),"",GlobBerMedDisc!$AG$25)</f>
        <v/>
      </c>
      <c r="C390" s="134"/>
    </row>
    <row r="391" spans="1:3" s="320" customFormat="1" x14ac:dyDescent="0.2">
      <c r="A391" s="320" t="s">
        <v>5030</v>
      </c>
      <c r="B391" s="320" t="str">
        <f>IF(ISBLANK(GlobBerMedDisc!$AG$26),"",GlobBerMedDisc!$AG$26)</f>
        <v/>
      </c>
      <c r="C391" s="134"/>
    </row>
    <row r="392" spans="1:3" s="320" customFormat="1" x14ac:dyDescent="0.2">
      <c r="A392" s="320" t="s">
        <v>5031</v>
      </c>
      <c r="B392" s="320" t="str">
        <f>IF(ISBLANK(GlobBerMedDisc!$AG$27),"",GlobBerMedDisc!$AG$27)</f>
        <v/>
      </c>
      <c r="C392" s="134"/>
    </row>
    <row r="393" spans="1:3" s="320" customFormat="1" x14ac:dyDescent="0.2">
      <c r="A393" s="320" t="s">
        <v>5032</v>
      </c>
      <c r="B393" s="320" t="str">
        <f>IF(ISBLANK(GlobBerMedDisc!$AG$28),"",GlobBerMedDisc!$AG$28)</f>
        <v/>
      </c>
      <c r="C393" s="134"/>
    </row>
    <row r="394" spans="1:3" s="320" customFormat="1" x14ac:dyDescent="0.2">
      <c r="A394" s="320" t="s">
        <v>5033</v>
      </c>
      <c r="B394" s="320" t="str">
        <f>IF(ISBLANK(GlobBerMedDisc!$AG$29),"",GlobBerMedDisc!$AG$29)</f>
        <v/>
      </c>
      <c r="C394" s="134"/>
    </row>
    <row r="395" spans="1:3" s="320" customFormat="1" x14ac:dyDescent="0.2">
      <c r="A395" s="320" t="s">
        <v>5034</v>
      </c>
      <c r="B395" s="320" t="str">
        <f>IF(ISBLANK(GlobBerMedDisc!$AG$30),"",GlobBerMedDisc!$AG$30)</f>
        <v/>
      </c>
      <c r="C395" s="134"/>
    </row>
    <row r="396" spans="1:3" s="320" customFormat="1" x14ac:dyDescent="0.2">
      <c r="A396" s="320" t="s">
        <v>5035</v>
      </c>
      <c r="B396" s="320" t="str">
        <f>IF(ISBLANK(GlobBerMedDisc!$AG$31),"",GlobBerMedDisc!$AG$31)</f>
        <v/>
      </c>
      <c r="C396" s="134"/>
    </row>
    <row r="397" spans="1:3" x14ac:dyDescent="0.2">
      <c r="A397" s="320" t="s">
        <v>2842</v>
      </c>
      <c r="B397" s="322">
        <f>IF(ISBLANK(GlobBerMedDisc!$E$2),"",GlobBerMedDisc!$E$2)</f>
        <v>0</v>
      </c>
      <c r="C397" s="322">
        <v>0</v>
      </c>
    </row>
    <row r="398" spans="1:3" x14ac:dyDescent="0.2">
      <c r="A398" s="320" t="s">
        <v>2843</v>
      </c>
      <c r="B398" s="322">
        <f>IF(ISBLANK(GlobBerMedDisc!$E$3),"",GlobBerMedDisc!$E$3)</f>
        <v>0</v>
      </c>
      <c r="C398" s="322">
        <v>0</v>
      </c>
    </row>
    <row r="399" spans="1:3" x14ac:dyDescent="0.2">
      <c r="A399" s="320" t="s">
        <v>2844</v>
      </c>
      <c r="B399" s="322">
        <f>IF(ISBLANK(GlobBerMedDisc!$E$4),"",GlobBerMedDisc!$E$4)</f>
        <v>0</v>
      </c>
      <c r="C399" s="322">
        <v>0</v>
      </c>
    </row>
    <row r="400" spans="1:3" x14ac:dyDescent="0.2">
      <c r="A400" s="320" t="s">
        <v>2845</v>
      </c>
      <c r="B400" s="322">
        <f>IF(ISBLANK(GlobBerMedDisc!$E$5),"",GlobBerMedDisc!$E$5)</f>
        <v>0</v>
      </c>
      <c r="C400" s="322">
        <v>0</v>
      </c>
    </row>
    <row r="401" spans="1:6" x14ac:dyDescent="0.2">
      <c r="A401" s="320" t="s">
        <v>2846</v>
      </c>
      <c r="B401" s="322">
        <f>IF(ISBLANK(GlobBerMedDisc!$E$6),"",GlobBerMedDisc!$E$6)</f>
        <v>0</v>
      </c>
      <c r="C401" s="322">
        <v>0</v>
      </c>
    </row>
    <row r="402" spans="1:6" x14ac:dyDescent="0.2">
      <c r="A402" s="320" t="s">
        <v>2847</v>
      </c>
      <c r="B402" s="322">
        <f>IF(ISBLANK(GlobBerMedDisc!$E$7),"",GlobBerMedDisc!$E$7)</f>
        <v>0</v>
      </c>
      <c r="C402" s="322">
        <v>0</v>
      </c>
    </row>
    <row r="403" spans="1:6" x14ac:dyDescent="0.2">
      <c r="A403" s="320" t="s">
        <v>2848</v>
      </c>
      <c r="B403" s="322">
        <f>IF(ISBLANK(GlobBerMedDisc!$E$8),"",GlobBerMedDisc!$E$8)</f>
        <v>0</v>
      </c>
      <c r="C403" s="322">
        <v>0</v>
      </c>
    </row>
    <row r="404" spans="1:6" x14ac:dyDescent="0.2">
      <c r="A404" s="320" t="s">
        <v>2849</v>
      </c>
      <c r="B404" s="322">
        <f>IF(ISBLANK(GlobBerMedDisc!$E$9),"",GlobBerMedDisc!$E$9)</f>
        <v>0</v>
      </c>
      <c r="C404" s="322">
        <v>0</v>
      </c>
    </row>
    <row r="405" spans="1:6" x14ac:dyDescent="0.2">
      <c r="A405" s="320" t="s">
        <v>2850</v>
      </c>
      <c r="B405" s="322">
        <f>IF(ISBLANK(GlobBerMedDisc!$E$10),"",GlobBerMedDisc!$E$10)</f>
        <v>0</v>
      </c>
      <c r="C405" s="322">
        <v>0</v>
      </c>
    </row>
    <row r="406" spans="1:6" x14ac:dyDescent="0.2">
      <c r="A406" s="320" t="s">
        <v>2851</v>
      </c>
      <c r="B406" s="322">
        <f>IF(ISBLANK(GlobBerMedDisc!$E$11),"",GlobBerMedDisc!$E$11)</f>
        <v>0</v>
      </c>
      <c r="C406" s="322">
        <v>0</v>
      </c>
    </row>
    <row r="407" spans="1:6" x14ac:dyDescent="0.2">
      <c r="A407" s="320" t="s">
        <v>2852</v>
      </c>
      <c r="B407" s="322">
        <f>IF(ISBLANK(GlobBerMedDisc!$E$12),"",GlobBerMedDisc!$E$12)</f>
        <v>0</v>
      </c>
      <c r="C407" s="322">
        <v>0</v>
      </c>
    </row>
    <row r="408" spans="1:6" x14ac:dyDescent="0.2">
      <c r="A408" s="320" t="s">
        <v>2853</v>
      </c>
      <c r="B408" s="322">
        <f>IF(ISBLANK(GlobBerMedDisc!$E$13),"",GlobBerMedDisc!$E$13)</f>
        <v>0</v>
      </c>
      <c r="C408" s="322">
        <v>0</v>
      </c>
    </row>
    <row r="409" spans="1:6" x14ac:dyDescent="0.2">
      <c r="A409" s="320" t="s">
        <v>2854</v>
      </c>
      <c r="B409" s="322">
        <f>IF(ISBLANK(GlobBerMedDisc!$E$14),"",GlobBerMedDisc!$E$14)</f>
        <v>0</v>
      </c>
      <c r="C409" s="322">
        <v>0</v>
      </c>
    </row>
    <row r="410" spans="1:6" x14ac:dyDescent="0.2">
      <c r="A410" s="320" t="s">
        <v>2855</v>
      </c>
      <c r="B410" s="322">
        <f>IF(ISBLANK(GlobBerMedDisc!$E$15),"",GlobBerMedDisc!$E$15)</f>
        <v>0</v>
      </c>
      <c r="C410" s="322">
        <v>0</v>
      </c>
    </row>
    <row r="411" spans="1:6" x14ac:dyDescent="0.2">
      <c r="A411" s="320" t="s">
        <v>2856</v>
      </c>
      <c r="B411" s="322">
        <f>IF(ISBLANK(GlobBerMedDisc!$E$16),"",GlobBerMedDisc!$E$16)</f>
        <v>0</v>
      </c>
      <c r="C411" s="322">
        <v>0</v>
      </c>
    </row>
    <row r="412" spans="1:6" x14ac:dyDescent="0.2">
      <c r="A412" s="320" t="s">
        <v>2857</v>
      </c>
      <c r="B412" s="322">
        <f>IF(ISBLANK(GlobBerMedDisc!$E$17),"",GlobBerMedDisc!$E$17)</f>
        <v>0</v>
      </c>
      <c r="C412" s="322">
        <v>0</v>
      </c>
    </row>
    <row r="413" spans="1:6" x14ac:dyDescent="0.2">
      <c r="A413" s="320" t="s">
        <v>2858</v>
      </c>
      <c r="B413" s="322">
        <f>IF(ISBLANK(GlobBerMedDisc!$E$18),"",GlobBerMedDisc!$E$18)</f>
        <v>0</v>
      </c>
      <c r="C413" s="322">
        <v>0</v>
      </c>
    </row>
    <row r="414" spans="1:6" x14ac:dyDescent="0.2">
      <c r="A414" s="320" t="s">
        <v>2859</v>
      </c>
      <c r="B414" s="322">
        <f>IF(ISBLANK(GlobBerMedDisc!$E$19),"",GlobBerMedDisc!$E$19)</f>
        <v>0</v>
      </c>
      <c r="C414" s="322">
        <v>0</v>
      </c>
    </row>
    <row r="415" spans="1:6" x14ac:dyDescent="0.2">
      <c r="A415" s="320" t="s">
        <v>2860</v>
      </c>
      <c r="B415" s="322">
        <f>IF(ISBLANK(GlobBerMedDisc!$E$20),"",GlobBerMedDisc!$E$20)</f>
        <v>0</v>
      </c>
      <c r="C415" s="322">
        <v>0</v>
      </c>
    </row>
    <row r="416" spans="1:6" x14ac:dyDescent="0.2">
      <c r="A416" s="320" t="s">
        <v>2861</v>
      </c>
      <c r="B416" s="322">
        <f>IF(ISBLANK(GlobBerMedDisc!$E$21),"",GlobBerMedDisc!$E$21)</f>
        <v>0</v>
      </c>
      <c r="C416" s="322">
        <v>0</v>
      </c>
      <c r="F416" s="320"/>
    </row>
    <row r="417" spans="1:3" x14ac:dyDescent="0.2">
      <c r="A417" s="320" t="s">
        <v>2862</v>
      </c>
      <c r="B417" s="322">
        <f>IF(ISBLANK(GlobBerMedDisc!$E$22),"",GlobBerMedDisc!$E$22)</f>
        <v>0</v>
      </c>
      <c r="C417" s="322">
        <v>0</v>
      </c>
    </row>
    <row r="418" spans="1:3" x14ac:dyDescent="0.2">
      <c r="A418" s="320" t="s">
        <v>2863</v>
      </c>
      <c r="B418" s="322">
        <f>IF(ISBLANK(GlobBerMedDisc!$E$23),"",GlobBerMedDisc!$E$23)</f>
        <v>0</v>
      </c>
      <c r="C418" s="322">
        <v>0</v>
      </c>
    </row>
    <row r="419" spans="1:3" x14ac:dyDescent="0.2">
      <c r="A419" s="320" t="s">
        <v>2864</v>
      </c>
      <c r="B419" s="322">
        <f>IF(ISBLANK(GlobBerMedDisc!$E$24),"",GlobBerMedDisc!$E$24)</f>
        <v>0</v>
      </c>
      <c r="C419" s="322">
        <v>0</v>
      </c>
    </row>
    <row r="420" spans="1:3" x14ac:dyDescent="0.2">
      <c r="A420" s="320" t="s">
        <v>2865</v>
      </c>
      <c r="B420" s="322">
        <f>IF(ISBLANK(GlobBerMedDisc!$E$25),"",GlobBerMedDisc!$E$25)</f>
        <v>0</v>
      </c>
      <c r="C420" s="322">
        <v>0</v>
      </c>
    </row>
    <row r="421" spans="1:3" x14ac:dyDescent="0.2">
      <c r="A421" s="320" t="s">
        <v>2866</v>
      </c>
      <c r="B421" s="322">
        <f>IF(ISBLANK(GlobBerMedDisc!$E$26),"",GlobBerMedDisc!$E$26)</f>
        <v>0</v>
      </c>
      <c r="C421" s="322">
        <v>0</v>
      </c>
    </row>
    <row r="422" spans="1:3" x14ac:dyDescent="0.2">
      <c r="A422" s="320" t="s">
        <v>2867</v>
      </c>
      <c r="B422" s="322">
        <f>IF(ISBLANK(GlobBerMedDisc!$E$27),"",GlobBerMedDisc!$E$27)</f>
        <v>0</v>
      </c>
      <c r="C422" s="322">
        <v>0</v>
      </c>
    </row>
    <row r="423" spans="1:3" x14ac:dyDescent="0.2">
      <c r="A423" s="320" t="s">
        <v>2868</v>
      </c>
      <c r="B423" s="322">
        <f>IF(ISBLANK(GlobBerMedDisc!$E$28),"",GlobBerMedDisc!$E$28)</f>
        <v>0</v>
      </c>
      <c r="C423" s="322">
        <v>0</v>
      </c>
    </row>
    <row r="424" spans="1:3" x14ac:dyDescent="0.2">
      <c r="A424" s="320" t="s">
        <v>2869</v>
      </c>
      <c r="B424" s="322">
        <f>IF(ISBLANK(GlobBerMedDisc!$E$29),"",GlobBerMedDisc!$E$29)</f>
        <v>0</v>
      </c>
      <c r="C424" s="322">
        <v>0</v>
      </c>
    </row>
    <row r="425" spans="1:3" x14ac:dyDescent="0.2">
      <c r="A425" s="320" t="s">
        <v>2870</v>
      </c>
      <c r="B425" s="322">
        <f>IF(ISBLANK(GlobBerMedDisc!$E$30),"",GlobBerMedDisc!$E$30)</f>
        <v>0</v>
      </c>
      <c r="C425" s="322">
        <v>0</v>
      </c>
    </row>
    <row r="426" spans="1:3" x14ac:dyDescent="0.2">
      <c r="A426" s="320" t="s">
        <v>2871</v>
      </c>
      <c r="B426" s="322">
        <f>IF(ISBLANK(GlobBerMedDisc!$E$31),"",GlobBerMedDisc!$E$31)</f>
        <v>0</v>
      </c>
      <c r="C426" s="322">
        <v>0</v>
      </c>
    </row>
    <row r="427" spans="1:3" x14ac:dyDescent="0.2">
      <c r="A427" s="320" t="s">
        <v>2872</v>
      </c>
      <c r="B427">
        <f>IF(ISBLANK(GlobBerMedDisc!$AI$2),"",GlobBerMedDisc!$AI$2)</f>
        <v>0</v>
      </c>
      <c r="C427" s="322">
        <v>0</v>
      </c>
    </row>
    <row r="428" spans="1:3" x14ac:dyDescent="0.2">
      <c r="A428" s="320" t="s">
        <v>2873</v>
      </c>
      <c r="B428">
        <f>IF(ISBLANK(GlobBerMedDisc!$AI$3),"",GlobBerMedDisc!$AI$3)</f>
        <v>0</v>
      </c>
      <c r="C428" s="322">
        <v>0</v>
      </c>
    </row>
    <row r="429" spans="1:3" x14ac:dyDescent="0.2">
      <c r="A429" s="320" t="s">
        <v>2874</v>
      </c>
      <c r="B429">
        <f>IF(ISBLANK(GlobBerMedDisc!$AI$4),"",GlobBerMedDisc!$AI$4)</f>
        <v>0</v>
      </c>
      <c r="C429" s="322">
        <v>0</v>
      </c>
    </row>
    <row r="430" spans="1:3" x14ac:dyDescent="0.2">
      <c r="A430" s="320" t="s">
        <v>2875</v>
      </c>
      <c r="B430">
        <f>IF(ISBLANK(GlobBerMedDisc!$AI$5),"",GlobBerMedDisc!$AI$5)</f>
        <v>0</v>
      </c>
      <c r="C430" s="322">
        <v>0</v>
      </c>
    </row>
    <row r="431" spans="1:3" x14ac:dyDescent="0.2">
      <c r="A431" s="320" t="s">
        <v>2876</v>
      </c>
      <c r="B431">
        <f>IF(ISBLANK(GlobBerMedDisc!$AI$6),"",GlobBerMedDisc!$AI$6)</f>
        <v>0</v>
      </c>
      <c r="C431" s="322">
        <v>0</v>
      </c>
    </row>
    <row r="432" spans="1:3" x14ac:dyDescent="0.2">
      <c r="A432" s="320" t="s">
        <v>2877</v>
      </c>
      <c r="B432">
        <f>IF(ISBLANK(GlobBerMedDisc!$AI$7),"",GlobBerMedDisc!$AI$7)</f>
        <v>0</v>
      </c>
      <c r="C432" s="322">
        <v>0</v>
      </c>
    </row>
    <row r="433" spans="1:3" x14ac:dyDescent="0.2">
      <c r="A433" s="320" t="s">
        <v>2878</v>
      </c>
      <c r="B433">
        <f>IF(ISBLANK(GlobBerMedDisc!$AI$8),"",GlobBerMedDisc!$AI$8)</f>
        <v>0</v>
      </c>
      <c r="C433" s="322">
        <v>0</v>
      </c>
    </row>
    <row r="434" spans="1:3" x14ac:dyDescent="0.2">
      <c r="A434" s="320" t="s">
        <v>2879</v>
      </c>
      <c r="B434">
        <f>IF(ISBLANK(GlobBerMedDisc!$AI$9),"",GlobBerMedDisc!$AI$9)</f>
        <v>0</v>
      </c>
      <c r="C434" s="322">
        <v>0</v>
      </c>
    </row>
    <row r="435" spans="1:3" x14ac:dyDescent="0.2">
      <c r="A435" s="320" t="s">
        <v>2880</v>
      </c>
      <c r="B435">
        <f>IF(ISBLANK(GlobBerMedDisc!$AI$10),"",GlobBerMedDisc!$AI$10)</f>
        <v>0</v>
      </c>
      <c r="C435" s="322">
        <v>0</v>
      </c>
    </row>
    <row r="436" spans="1:3" x14ac:dyDescent="0.2">
      <c r="A436" s="320" t="s">
        <v>2881</v>
      </c>
      <c r="B436">
        <f>IF(ISBLANK(GlobBerMedDisc!$AI$11),"",GlobBerMedDisc!$AI$11)</f>
        <v>0</v>
      </c>
      <c r="C436" s="322">
        <v>0</v>
      </c>
    </row>
    <row r="437" spans="1:3" x14ac:dyDescent="0.2">
      <c r="A437" s="320" t="s">
        <v>2882</v>
      </c>
      <c r="B437">
        <f>IF(ISBLANK(GlobBerMedDisc!$AI$12),"",GlobBerMedDisc!$AI$12)</f>
        <v>0</v>
      </c>
      <c r="C437" s="322">
        <v>0</v>
      </c>
    </row>
    <row r="438" spans="1:3" x14ac:dyDescent="0.2">
      <c r="A438" s="320" t="s">
        <v>2883</v>
      </c>
      <c r="B438">
        <f>IF(ISBLANK(GlobBerMedDisc!$AI$13),"",GlobBerMedDisc!$AI$13)</f>
        <v>0</v>
      </c>
      <c r="C438" s="322">
        <v>0</v>
      </c>
    </row>
    <row r="439" spans="1:3" x14ac:dyDescent="0.2">
      <c r="A439" s="320" t="s">
        <v>2884</v>
      </c>
      <c r="B439">
        <f>IF(ISBLANK(GlobBerMedDisc!$AI$14),"",GlobBerMedDisc!$AI$14)</f>
        <v>0</v>
      </c>
      <c r="C439" s="322">
        <v>0</v>
      </c>
    </row>
    <row r="440" spans="1:3" x14ac:dyDescent="0.2">
      <c r="A440" s="320" t="s">
        <v>2885</v>
      </c>
      <c r="B440">
        <f>IF(ISBLANK(GlobBerMedDisc!$AI$15),"",GlobBerMedDisc!$AI$15)</f>
        <v>0</v>
      </c>
      <c r="C440" s="322">
        <v>0</v>
      </c>
    </row>
    <row r="441" spans="1:3" x14ac:dyDescent="0.2">
      <c r="A441" s="320" t="s">
        <v>2886</v>
      </c>
      <c r="B441">
        <f>IF(ISBLANK(GlobBerMedDisc!$AI$16),"",GlobBerMedDisc!$AI$16)</f>
        <v>0</v>
      </c>
      <c r="C441" s="322">
        <v>0</v>
      </c>
    </row>
    <row r="442" spans="1:3" x14ac:dyDescent="0.2">
      <c r="A442" s="320" t="s">
        <v>2887</v>
      </c>
      <c r="B442">
        <f>IF(ISBLANK(GlobBerMedDisc!$AI$17),"",GlobBerMedDisc!$AI$17)</f>
        <v>0</v>
      </c>
      <c r="C442" s="322">
        <v>0</v>
      </c>
    </row>
    <row r="443" spans="1:3" x14ac:dyDescent="0.2">
      <c r="A443" s="320" t="s">
        <v>2888</v>
      </c>
      <c r="B443">
        <f>IF(ISBLANK(GlobBerMedDisc!$AI$18),"",GlobBerMedDisc!$AI$18)</f>
        <v>0</v>
      </c>
      <c r="C443" s="322">
        <v>0</v>
      </c>
    </row>
    <row r="444" spans="1:3" x14ac:dyDescent="0.2">
      <c r="A444" s="320" t="s">
        <v>2889</v>
      </c>
      <c r="B444">
        <f>IF(ISBLANK(GlobBerMedDisc!$AI$19),"",GlobBerMedDisc!$AI$19)</f>
        <v>0</v>
      </c>
      <c r="C444" s="322">
        <v>0</v>
      </c>
    </row>
    <row r="445" spans="1:3" x14ac:dyDescent="0.2">
      <c r="A445" s="320" t="s">
        <v>2890</v>
      </c>
      <c r="B445">
        <f>IF(ISBLANK(GlobBerMedDisc!$AI$20),"",GlobBerMedDisc!$AI$20)</f>
        <v>0</v>
      </c>
      <c r="C445" s="322">
        <v>0</v>
      </c>
    </row>
    <row r="446" spans="1:3" x14ac:dyDescent="0.2">
      <c r="A446" s="320" t="s">
        <v>2891</v>
      </c>
      <c r="B446">
        <f>IF(ISBLANK(GlobBerMedDisc!$AI$21),"",GlobBerMedDisc!$AI$21)</f>
        <v>0</v>
      </c>
      <c r="C446" s="322">
        <v>0</v>
      </c>
    </row>
    <row r="447" spans="1:3" x14ac:dyDescent="0.2">
      <c r="A447" s="320" t="s">
        <v>2892</v>
      </c>
      <c r="B447">
        <f>IF(ISBLANK(GlobBerMedDisc!$AI$22),"",GlobBerMedDisc!$AI$22)</f>
        <v>0</v>
      </c>
      <c r="C447" s="322">
        <v>0</v>
      </c>
    </row>
    <row r="448" spans="1:3" x14ac:dyDescent="0.2">
      <c r="A448" s="320" t="s">
        <v>2893</v>
      </c>
      <c r="B448">
        <f>IF(ISBLANK(GlobBerMedDisc!$AI$23),"",GlobBerMedDisc!$AI$23)</f>
        <v>0</v>
      </c>
      <c r="C448" s="322">
        <v>0</v>
      </c>
    </row>
    <row r="449" spans="1:6" x14ac:dyDescent="0.2">
      <c r="A449" s="320" t="s">
        <v>2894</v>
      </c>
      <c r="B449">
        <f>IF(ISBLANK(GlobBerMedDisc!$AI$24),"",GlobBerMedDisc!$AI$24)</f>
        <v>0</v>
      </c>
      <c r="C449" s="322">
        <v>0</v>
      </c>
    </row>
    <row r="450" spans="1:6" x14ac:dyDescent="0.2">
      <c r="A450" s="320" t="s">
        <v>2895</v>
      </c>
      <c r="B450">
        <f>IF(ISBLANK(GlobBerMedDisc!$AI$25),"",GlobBerMedDisc!$AI$25)</f>
        <v>0</v>
      </c>
      <c r="C450" s="322">
        <v>0</v>
      </c>
    </row>
    <row r="451" spans="1:6" x14ac:dyDescent="0.2">
      <c r="A451" s="320" t="s">
        <v>2896</v>
      </c>
      <c r="B451">
        <f>IF(ISBLANK(GlobBerMedDisc!$AI$26),"",GlobBerMedDisc!$AI$26)</f>
        <v>0</v>
      </c>
      <c r="C451" s="322">
        <v>0</v>
      </c>
    </row>
    <row r="452" spans="1:6" x14ac:dyDescent="0.2">
      <c r="A452" s="320" t="s">
        <v>2897</v>
      </c>
      <c r="B452">
        <f>IF(ISBLANK(GlobBerMedDisc!$AI$27),"",GlobBerMedDisc!$AI$27)</f>
        <v>0</v>
      </c>
      <c r="C452" s="322">
        <v>0</v>
      </c>
    </row>
    <row r="453" spans="1:6" x14ac:dyDescent="0.2">
      <c r="A453" s="320" t="s">
        <v>2898</v>
      </c>
      <c r="B453">
        <f>IF(ISBLANK(GlobBerMedDisc!$AI$28),"",GlobBerMedDisc!$AI$28)</f>
        <v>0</v>
      </c>
      <c r="C453" s="322">
        <v>0</v>
      </c>
    </row>
    <row r="454" spans="1:6" x14ac:dyDescent="0.2">
      <c r="A454" s="320" t="s">
        <v>2899</v>
      </c>
      <c r="B454">
        <f>IF(ISBLANK(GlobBerMedDisc!$AI$29),"",GlobBerMedDisc!$AI$29)</f>
        <v>0</v>
      </c>
      <c r="C454" s="322">
        <v>0</v>
      </c>
    </row>
    <row r="455" spans="1:6" x14ac:dyDescent="0.2">
      <c r="A455" s="320" t="s">
        <v>2900</v>
      </c>
      <c r="B455">
        <f>IF(ISBLANK(GlobBerMedDisc!$AI$30),"",GlobBerMedDisc!$AI$30)</f>
        <v>0</v>
      </c>
      <c r="C455" s="322">
        <v>0</v>
      </c>
    </row>
    <row r="456" spans="1:6" x14ac:dyDescent="0.2">
      <c r="A456" s="320" t="s">
        <v>2901</v>
      </c>
      <c r="B456">
        <f>IF(ISBLANK(GlobBerMedDisc!$AI$31),"",GlobBerMedDisc!$AI$31)</f>
        <v>0</v>
      </c>
      <c r="C456" s="322">
        <v>0</v>
      </c>
    </row>
    <row r="457" spans="1:6" x14ac:dyDescent="0.2">
      <c r="A457" s="320" t="s">
        <v>2902</v>
      </c>
      <c r="B457" t="str">
        <f>IF(ISBLANK(GlobBerMedDisc!$AJ$2),"",GlobBerMedDisc!$AJ$2)</f>
        <v/>
      </c>
      <c r="C457" s="134"/>
    </row>
    <row r="458" spans="1:6" x14ac:dyDescent="0.2">
      <c r="A458" s="320" t="s">
        <v>2903</v>
      </c>
      <c r="B458" t="str">
        <f>IF(ISBLANK(GlobBerMedDisc!$AJ$3),"",GlobBerMedDisc!$AJ$3)</f>
        <v/>
      </c>
      <c r="C458" s="134"/>
    </row>
    <row r="459" spans="1:6" x14ac:dyDescent="0.2">
      <c r="A459" s="320" t="s">
        <v>2904</v>
      </c>
      <c r="B459" t="str">
        <f>IF(ISBLANK(GlobBerMedDisc!$AJ$4),"",GlobBerMedDisc!$AJ$4)</f>
        <v/>
      </c>
      <c r="C459" s="134"/>
    </row>
    <row r="460" spans="1:6" x14ac:dyDescent="0.2">
      <c r="A460" s="320" t="s">
        <v>2905</v>
      </c>
      <c r="B460" t="str">
        <f>IF(ISBLANK(GlobBerMedDisc!$AJ$5),"",GlobBerMedDisc!$AJ$5)</f>
        <v/>
      </c>
      <c r="C460" s="134"/>
    </row>
    <row r="461" spans="1:6" x14ac:dyDescent="0.2">
      <c r="A461" s="320" t="s">
        <v>2906</v>
      </c>
      <c r="B461" t="str">
        <f>IF(ISBLANK(GlobBerMedDisc!$AJ$6),"",GlobBerMedDisc!$AJ$6)</f>
        <v/>
      </c>
      <c r="C461" s="134"/>
    </row>
    <row r="462" spans="1:6" x14ac:dyDescent="0.2">
      <c r="A462" s="320" t="s">
        <v>2907</v>
      </c>
      <c r="B462" t="str">
        <f>IF(ISBLANK(GlobBerMedDisc!$AJ$7),"",GlobBerMedDisc!$AJ$7)</f>
        <v/>
      </c>
      <c r="C462" s="134"/>
      <c r="F462" s="320"/>
    </row>
    <row r="463" spans="1:6" x14ac:dyDescent="0.2">
      <c r="A463" s="320" t="s">
        <v>2908</v>
      </c>
      <c r="B463" t="str">
        <f>IF(ISBLANK(GlobBerMedDisc!$AJ$8),"",GlobBerMedDisc!$AJ$8)</f>
        <v/>
      </c>
      <c r="C463" s="134"/>
    </row>
    <row r="464" spans="1:6" x14ac:dyDescent="0.2">
      <c r="A464" s="320" t="s">
        <v>2909</v>
      </c>
      <c r="B464" t="str">
        <f>IF(ISBLANK(GlobBerMedDisc!$AJ$9),"",GlobBerMedDisc!$AJ$9)</f>
        <v/>
      </c>
      <c r="C464" s="134"/>
    </row>
    <row r="465" spans="1:6" x14ac:dyDescent="0.2">
      <c r="A465" s="320" t="s">
        <v>2910</v>
      </c>
      <c r="B465" t="str">
        <f>IF(ISBLANK(GlobBerMedDisc!$AJ$10),"",GlobBerMedDisc!$AJ$10)</f>
        <v/>
      </c>
      <c r="C465" s="134"/>
    </row>
    <row r="466" spans="1:6" x14ac:dyDescent="0.2">
      <c r="A466" s="320" t="s">
        <v>2911</v>
      </c>
      <c r="B466" t="str">
        <f>IF(ISBLANK(GlobBerMedDisc!$AJ$11),"",GlobBerMedDisc!$AJ$11)</f>
        <v/>
      </c>
      <c r="C466" s="134"/>
    </row>
    <row r="467" spans="1:6" x14ac:dyDescent="0.2">
      <c r="A467" s="320" t="s">
        <v>2912</v>
      </c>
      <c r="B467" t="str">
        <f>IF(ISBLANK(GlobBerMedDisc!$AJ$12),"",GlobBerMedDisc!$AJ$12)</f>
        <v/>
      </c>
      <c r="C467" s="134"/>
      <c r="F467" s="320"/>
    </row>
    <row r="468" spans="1:6" x14ac:dyDescent="0.2">
      <c r="A468" s="320" t="s">
        <v>2913</v>
      </c>
      <c r="B468" t="str">
        <f>IF(ISBLANK(GlobBerMedDisc!$AJ$13),"",GlobBerMedDisc!$AJ$13)</f>
        <v/>
      </c>
      <c r="C468" s="134"/>
    </row>
    <row r="469" spans="1:6" x14ac:dyDescent="0.2">
      <c r="A469" s="320" t="s">
        <v>2914</v>
      </c>
      <c r="B469" t="str">
        <f>IF(ISBLANK(GlobBerMedDisc!$AJ$14),"",GlobBerMedDisc!$AJ$14)</f>
        <v/>
      </c>
      <c r="C469" s="134"/>
    </row>
    <row r="470" spans="1:6" x14ac:dyDescent="0.2">
      <c r="A470" s="320" t="s">
        <v>2915</v>
      </c>
      <c r="B470" t="str">
        <f>IF(ISBLANK(GlobBerMedDisc!$AJ$15),"",GlobBerMedDisc!$AJ$15)</f>
        <v/>
      </c>
      <c r="C470" s="134"/>
    </row>
    <row r="471" spans="1:6" x14ac:dyDescent="0.2">
      <c r="A471" s="320" t="s">
        <v>2916</v>
      </c>
      <c r="B471" t="str">
        <f>IF(ISBLANK(GlobBerMedDisc!$AJ$16),"",GlobBerMedDisc!$AJ$16)</f>
        <v/>
      </c>
      <c r="C471" s="134"/>
    </row>
    <row r="472" spans="1:6" x14ac:dyDescent="0.2">
      <c r="A472" s="320" t="s">
        <v>2917</v>
      </c>
      <c r="B472" t="str">
        <f>IF(ISBLANK(GlobBerMedDisc!$AJ$17),"",GlobBerMedDisc!$AJ$17)</f>
        <v/>
      </c>
      <c r="C472" s="134"/>
    </row>
    <row r="473" spans="1:6" x14ac:dyDescent="0.2">
      <c r="A473" s="320" t="s">
        <v>2918</v>
      </c>
      <c r="B473" t="str">
        <f>IF(ISBLANK(GlobBerMedDisc!$AJ$18),"",GlobBerMedDisc!$AJ$18)</f>
        <v/>
      </c>
      <c r="C473" s="134"/>
    </row>
    <row r="474" spans="1:6" x14ac:dyDescent="0.2">
      <c r="A474" s="320" t="s">
        <v>2919</v>
      </c>
      <c r="B474" t="str">
        <f>IF(ISBLANK(GlobBerMedDisc!$AJ$19),"",GlobBerMedDisc!$AJ$19)</f>
        <v/>
      </c>
      <c r="C474" s="134"/>
    </row>
    <row r="475" spans="1:6" x14ac:dyDescent="0.2">
      <c r="A475" s="320" t="s">
        <v>2920</v>
      </c>
      <c r="B475" t="str">
        <f>IF(ISBLANK(GlobBerMedDisc!$AJ$20),"",GlobBerMedDisc!$AJ$20)</f>
        <v/>
      </c>
      <c r="C475" s="134"/>
    </row>
    <row r="476" spans="1:6" x14ac:dyDescent="0.2">
      <c r="A476" s="320" t="s">
        <v>2921</v>
      </c>
      <c r="B476" t="str">
        <f>IF(ISBLANK(GlobBerMedDisc!$AJ$21),"",GlobBerMedDisc!$AJ$21)</f>
        <v/>
      </c>
      <c r="C476" s="134"/>
    </row>
    <row r="477" spans="1:6" x14ac:dyDescent="0.2">
      <c r="A477" s="320" t="s">
        <v>2922</v>
      </c>
      <c r="B477" t="str">
        <f>IF(ISBLANK(GlobBerMedDisc!$AJ$22),"",GlobBerMedDisc!$AJ$22)</f>
        <v/>
      </c>
      <c r="C477" s="134"/>
    </row>
    <row r="478" spans="1:6" x14ac:dyDescent="0.2">
      <c r="A478" s="320" t="s">
        <v>2923</v>
      </c>
      <c r="B478" t="str">
        <f>IF(ISBLANK(GlobBerMedDisc!$AJ$23),"",GlobBerMedDisc!$AJ$23)</f>
        <v/>
      </c>
      <c r="C478" s="134"/>
    </row>
    <row r="479" spans="1:6" x14ac:dyDescent="0.2">
      <c r="A479" s="320" t="s">
        <v>2924</v>
      </c>
      <c r="B479" t="str">
        <f>IF(ISBLANK(GlobBerMedDisc!$AJ$24),"",GlobBerMedDisc!$AJ$24)</f>
        <v/>
      </c>
      <c r="C479" s="134"/>
    </row>
    <row r="480" spans="1:6" x14ac:dyDescent="0.2">
      <c r="A480" s="320" t="s">
        <v>2925</v>
      </c>
      <c r="B480" t="str">
        <f>IF(ISBLANK(GlobBerMedDisc!$AJ$25),"",GlobBerMedDisc!$AJ$25)</f>
        <v/>
      </c>
      <c r="C480" s="134"/>
    </row>
    <row r="481" spans="1:6" x14ac:dyDescent="0.2">
      <c r="A481" s="320" t="s">
        <v>2926</v>
      </c>
      <c r="B481" t="str">
        <f>IF(ISBLANK(GlobBerMedDisc!$AJ$26),"",GlobBerMedDisc!$AJ$26)</f>
        <v/>
      </c>
      <c r="C481" s="134"/>
    </row>
    <row r="482" spans="1:6" x14ac:dyDescent="0.2">
      <c r="A482" s="320" t="s">
        <v>2927</v>
      </c>
      <c r="B482" t="str">
        <f>IF(ISBLANK(GlobBerMedDisc!$AJ$27),"",GlobBerMedDisc!$AJ$27)</f>
        <v/>
      </c>
      <c r="C482" s="134"/>
    </row>
    <row r="483" spans="1:6" s="320" customFormat="1" x14ac:dyDescent="0.2">
      <c r="A483" s="320" t="s">
        <v>2928</v>
      </c>
      <c r="B483" t="str">
        <f>IF(ISBLANK(GlobBerMedDisc!$AJ$28),"",GlobBerMedDisc!$AJ$28)</f>
        <v/>
      </c>
      <c r="C483" s="134"/>
    </row>
    <row r="484" spans="1:6" x14ac:dyDescent="0.2">
      <c r="A484" s="320" t="s">
        <v>2929</v>
      </c>
      <c r="B484" t="str">
        <f>IF(ISBLANK(GlobBerMedDisc!$AJ$29),"",GlobBerMedDisc!$AJ$29)</f>
        <v/>
      </c>
      <c r="C484" s="134"/>
    </row>
    <row r="485" spans="1:6" x14ac:dyDescent="0.2">
      <c r="A485" s="320" t="s">
        <v>2930</v>
      </c>
      <c r="B485" t="str">
        <f>IF(ISBLANK(GlobBerMedDisc!$AJ$30),"",GlobBerMedDisc!$AJ$30)</f>
        <v/>
      </c>
      <c r="C485" s="134"/>
    </row>
    <row r="486" spans="1:6" x14ac:dyDescent="0.2">
      <c r="A486" s="320" t="s">
        <v>2931</v>
      </c>
      <c r="B486" t="str">
        <f>IF(ISBLANK(GlobBerMedDisc!$AJ$31),"",GlobBerMedDisc!$AJ$31)</f>
        <v/>
      </c>
      <c r="C486" s="134"/>
    </row>
    <row r="487" spans="1:6" x14ac:dyDescent="0.2">
      <c r="A487" s="320" t="s">
        <v>2932</v>
      </c>
      <c r="B487">
        <f>IF(ISBLANK(GlobBerMedDisc!$I$2),"",GlobBerMedDisc!$I$2)</f>
        <v>1</v>
      </c>
      <c r="C487">
        <v>1</v>
      </c>
    </row>
    <row r="488" spans="1:6" x14ac:dyDescent="0.2">
      <c r="A488" s="320" t="s">
        <v>2933</v>
      </c>
      <c r="B488">
        <f>IF(ISBLANK(GlobBerMedDisc!$I$3),"",GlobBerMedDisc!$I$3)</f>
        <v>1</v>
      </c>
      <c r="C488">
        <v>1</v>
      </c>
    </row>
    <row r="489" spans="1:6" x14ac:dyDescent="0.2">
      <c r="A489" s="320" t="s">
        <v>2934</v>
      </c>
      <c r="B489">
        <f>IF(ISBLANK(GlobBerMedDisc!$I$4),"",GlobBerMedDisc!$I$4)</f>
        <v>1</v>
      </c>
      <c r="C489">
        <v>1</v>
      </c>
    </row>
    <row r="490" spans="1:6" x14ac:dyDescent="0.2">
      <c r="A490" s="320" t="s">
        <v>2935</v>
      </c>
      <c r="B490">
        <f>IF(ISBLANK(GlobBerMedDisc!$I$5),"",GlobBerMedDisc!$I$5)</f>
        <v>1</v>
      </c>
      <c r="C490">
        <v>1</v>
      </c>
    </row>
    <row r="491" spans="1:6" x14ac:dyDescent="0.2">
      <c r="A491" s="320" t="s">
        <v>2936</v>
      </c>
      <c r="B491">
        <f>IF(ISBLANK(GlobBerMedDisc!$I$6),"",GlobBerMedDisc!$I$6)</f>
        <v>1</v>
      </c>
      <c r="C491">
        <v>1</v>
      </c>
    </row>
    <row r="492" spans="1:6" x14ac:dyDescent="0.2">
      <c r="A492" s="320" t="s">
        <v>2937</v>
      </c>
      <c r="B492">
        <f>IF(ISBLANK(GlobBerMedDisc!$I$7),"",GlobBerMedDisc!$I$7)</f>
        <v>1</v>
      </c>
      <c r="C492">
        <v>1</v>
      </c>
    </row>
    <row r="493" spans="1:6" x14ac:dyDescent="0.2">
      <c r="A493" s="320" t="s">
        <v>2938</v>
      </c>
      <c r="B493">
        <f>IF(ISBLANK(GlobBerMedDisc!$I$8),"",GlobBerMedDisc!$I$8)</f>
        <v>1</v>
      </c>
      <c r="C493">
        <v>1</v>
      </c>
    </row>
    <row r="494" spans="1:6" x14ac:dyDescent="0.2">
      <c r="A494" s="320" t="s">
        <v>2939</v>
      </c>
      <c r="B494">
        <f>IF(ISBLANK(GlobBerMedDisc!$I$9),"",GlobBerMedDisc!$I$9)</f>
        <v>1</v>
      </c>
      <c r="C494">
        <v>1</v>
      </c>
    </row>
    <row r="495" spans="1:6" x14ac:dyDescent="0.2">
      <c r="A495" s="320" t="s">
        <v>2940</v>
      </c>
      <c r="B495">
        <f>IF(ISBLANK(GlobBerMedDisc!$I$10),"",GlobBerMedDisc!$I$10)</f>
        <v>1</v>
      </c>
      <c r="C495">
        <v>1</v>
      </c>
      <c r="F495" s="320"/>
    </row>
    <row r="496" spans="1:6" x14ac:dyDescent="0.2">
      <c r="A496" s="320" t="s">
        <v>2941</v>
      </c>
      <c r="B496">
        <f>IF(ISBLANK(GlobBerMedDisc!$I$11),"",GlobBerMedDisc!$I$11)</f>
        <v>1</v>
      </c>
      <c r="C496">
        <v>1</v>
      </c>
    </row>
    <row r="497" spans="1:3" x14ac:dyDescent="0.2">
      <c r="A497" s="320" t="s">
        <v>2942</v>
      </c>
      <c r="B497">
        <f>IF(ISBLANK(GlobBerMedDisc!$I$12),"",GlobBerMedDisc!$I$12)</f>
        <v>1</v>
      </c>
      <c r="C497">
        <v>1</v>
      </c>
    </row>
    <row r="498" spans="1:3" x14ac:dyDescent="0.2">
      <c r="A498" s="320" t="s">
        <v>2943</v>
      </c>
      <c r="B498">
        <f>IF(ISBLANK(GlobBerMedDisc!$I$13),"",GlobBerMedDisc!$I$13)</f>
        <v>1</v>
      </c>
      <c r="C498">
        <v>1</v>
      </c>
    </row>
    <row r="499" spans="1:3" x14ac:dyDescent="0.2">
      <c r="A499" s="320" t="s">
        <v>2944</v>
      </c>
      <c r="B499">
        <f>IF(ISBLANK(GlobBerMedDisc!$I$14),"",GlobBerMedDisc!$I$14)</f>
        <v>1</v>
      </c>
      <c r="C499">
        <v>1</v>
      </c>
    </row>
    <row r="500" spans="1:3" x14ac:dyDescent="0.2">
      <c r="A500" s="320" t="s">
        <v>2945</v>
      </c>
      <c r="B500">
        <f>IF(ISBLANK(GlobBerMedDisc!$I$15),"",GlobBerMedDisc!$I$15)</f>
        <v>1</v>
      </c>
      <c r="C500">
        <v>1</v>
      </c>
    </row>
    <row r="501" spans="1:3" x14ac:dyDescent="0.2">
      <c r="A501" s="320" t="s">
        <v>2946</v>
      </c>
      <c r="B501">
        <f>IF(ISBLANK(GlobBerMedDisc!$I$16),"",GlobBerMedDisc!$I$16)</f>
        <v>1</v>
      </c>
      <c r="C501">
        <v>1</v>
      </c>
    </row>
    <row r="502" spans="1:3" x14ac:dyDescent="0.2">
      <c r="A502" s="320" t="s">
        <v>2947</v>
      </c>
      <c r="B502">
        <f>IF(ISBLANK(GlobBerMedDisc!$I$17),"",GlobBerMedDisc!$I$17)</f>
        <v>1</v>
      </c>
      <c r="C502">
        <v>1</v>
      </c>
    </row>
    <row r="503" spans="1:3" x14ac:dyDescent="0.2">
      <c r="A503" s="320" t="s">
        <v>2948</v>
      </c>
      <c r="B503">
        <f>IF(ISBLANK(GlobBerMedDisc!$I$18),"",GlobBerMedDisc!$I$18)</f>
        <v>1</v>
      </c>
      <c r="C503">
        <v>1</v>
      </c>
    </row>
    <row r="504" spans="1:3" x14ac:dyDescent="0.2">
      <c r="A504" s="320" t="s">
        <v>2949</v>
      </c>
      <c r="B504">
        <f>IF(ISBLANK(GlobBerMedDisc!$I$19),"",GlobBerMedDisc!$I$19)</f>
        <v>1</v>
      </c>
      <c r="C504">
        <v>1</v>
      </c>
    </row>
    <row r="505" spans="1:3" x14ac:dyDescent="0.2">
      <c r="A505" s="320" t="s">
        <v>2950</v>
      </c>
      <c r="B505">
        <f>IF(ISBLANK(GlobBerMedDisc!$I$20),"",GlobBerMedDisc!$I$20)</f>
        <v>1</v>
      </c>
      <c r="C505">
        <v>1</v>
      </c>
    </row>
    <row r="506" spans="1:3" x14ac:dyDescent="0.2">
      <c r="A506" s="320" t="s">
        <v>2951</v>
      </c>
      <c r="B506">
        <f>IF(ISBLANK(GlobBerMedDisc!$I$21),"",GlobBerMedDisc!$I$21)</f>
        <v>1</v>
      </c>
      <c r="C506">
        <v>1</v>
      </c>
    </row>
    <row r="507" spans="1:3" x14ac:dyDescent="0.2">
      <c r="A507" s="320" t="s">
        <v>2952</v>
      </c>
      <c r="B507">
        <f>IF(ISBLANK(GlobBerMedDisc!$I$22),"",GlobBerMedDisc!$I$22)</f>
        <v>1</v>
      </c>
      <c r="C507">
        <v>1</v>
      </c>
    </row>
    <row r="508" spans="1:3" x14ac:dyDescent="0.2">
      <c r="A508" s="320" t="s">
        <v>2953</v>
      </c>
      <c r="B508">
        <f>IF(ISBLANK(GlobBerMedDisc!$I$23),"",GlobBerMedDisc!$I$23)</f>
        <v>1</v>
      </c>
      <c r="C508">
        <v>1</v>
      </c>
    </row>
    <row r="509" spans="1:3" x14ac:dyDescent="0.2">
      <c r="A509" s="320" t="s">
        <v>2954</v>
      </c>
      <c r="B509">
        <f>IF(ISBLANK(GlobBerMedDisc!$I$24),"",GlobBerMedDisc!$I$24)</f>
        <v>1</v>
      </c>
      <c r="C509">
        <v>1</v>
      </c>
    </row>
    <row r="510" spans="1:3" x14ac:dyDescent="0.2">
      <c r="A510" s="320" t="s">
        <v>2955</v>
      </c>
      <c r="B510">
        <f>IF(ISBLANK(GlobBerMedDisc!$I$25),"",GlobBerMedDisc!$I$25)</f>
        <v>1</v>
      </c>
      <c r="C510">
        <v>1</v>
      </c>
    </row>
    <row r="511" spans="1:3" x14ac:dyDescent="0.2">
      <c r="A511" s="320" t="s">
        <v>2956</v>
      </c>
      <c r="B511">
        <f>IF(ISBLANK(GlobBerMedDisc!$I$26),"",GlobBerMedDisc!$I$26)</f>
        <v>1</v>
      </c>
      <c r="C511">
        <v>1</v>
      </c>
    </row>
    <row r="512" spans="1:3" x14ac:dyDescent="0.2">
      <c r="A512" s="320" t="s">
        <v>2957</v>
      </c>
      <c r="B512">
        <f>IF(ISBLANK(GlobBerMedDisc!$I$27),"",GlobBerMedDisc!$I$27)</f>
        <v>1</v>
      </c>
      <c r="C512">
        <v>1</v>
      </c>
    </row>
    <row r="513" spans="1:3" x14ac:dyDescent="0.2">
      <c r="A513" s="320" t="s">
        <v>2958</v>
      </c>
      <c r="B513">
        <f>IF(ISBLANK(GlobBerMedDisc!$I$28),"",GlobBerMedDisc!$I$28)</f>
        <v>1</v>
      </c>
      <c r="C513">
        <v>1</v>
      </c>
    </row>
    <row r="514" spans="1:3" x14ac:dyDescent="0.2">
      <c r="A514" s="320" t="s">
        <v>2959</v>
      </c>
      <c r="B514">
        <f>IF(ISBLANK(GlobBerMedDisc!$I$29),"",GlobBerMedDisc!$I$29)</f>
        <v>1</v>
      </c>
      <c r="C514">
        <v>1</v>
      </c>
    </row>
    <row r="515" spans="1:3" x14ac:dyDescent="0.2">
      <c r="A515" s="320" t="s">
        <v>2960</v>
      </c>
      <c r="B515">
        <f>IF(ISBLANK(GlobBerMedDisc!$I$30),"",GlobBerMedDisc!$I$30)</f>
        <v>1</v>
      </c>
      <c r="C515">
        <v>1</v>
      </c>
    </row>
    <row r="516" spans="1:3" x14ac:dyDescent="0.2">
      <c r="A516" s="320" t="s">
        <v>2961</v>
      </c>
      <c r="B516">
        <f>IF(ISBLANK(GlobBerMedDisc!$I$31),"",GlobBerMedDisc!$I$31)</f>
        <v>1</v>
      </c>
      <c r="C516">
        <v>1</v>
      </c>
    </row>
    <row r="517" spans="1:3" x14ac:dyDescent="0.2">
      <c r="A517" s="320" t="s">
        <v>2962</v>
      </c>
      <c r="B517" t="str">
        <f>IF(ISBLANK(GlobBerMedDisc!$L$2),"",GlobBerMedDisc!$L$2)</f>
        <v/>
      </c>
      <c r="C517" s="134"/>
    </row>
    <row r="518" spans="1:3" x14ac:dyDescent="0.2">
      <c r="A518" s="320" t="s">
        <v>2963</v>
      </c>
      <c r="B518" t="str">
        <f>IF(ISBLANK(GlobBerMedDisc!$L$3),"",GlobBerMedDisc!$L$3)</f>
        <v/>
      </c>
      <c r="C518" s="134"/>
    </row>
    <row r="519" spans="1:3" x14ac:dyDescent="0.2">
      <c r="A519" s="320" t="s">
        <v>2964</v>
      </c>
      <c r="B519" t="str">
        <f>IF(ISBLANK(GlobBerMedDisc!$L$4),"",GlobBerMedDisc!$L$4)</f>
        <v/>
      </c>
      <c r="C519" s="134"/>
    </row>
    <row r="520" spans="1:3" x14ac:dyDescent="0.2">
      <c r="A520" s="320" t="s">
        <v>2965</v>
      </c>
      <c r="B520" t="str">
        <f>IF(ISBLANK(GlobBerMedDisc!$L$5),"",GlobBerMedDisc!$L$5)</f>
        <v/>
      </c>
      <c r="C520" s="134"/>
    </row>
    <row r="521" spans="1:3" x14ac:dyDescent="0.2">
      <c r="A521" s="320" t="s">
        <v>2966</v>
      </c>
      <c r="B521" t="str">
        <f>IF(ISBLANK(GlobBerMedDisc!$L$6),"",GlobBerMedDisc!$L$6)</f>
        <v/>
      </c>
      <c r="C521" s="134"/>
    </row>
    <row r="522" spans="1:3" x14ac:dyDescent="0.2">
      <c r="A522" s="320" t="s">
        <v>2967</v>
      </c>
      <c r="B522" t="str">
        <f>IF(ISBLANK(GlobBerMedDisc!$L$7),"",GlobBerMedDisc!$L$7)</f>
        <v/>
      </c>
      <c r="C522" s="134"/>
    </row>
    <row r="523" spans="1:3" x14ac:dyDescent="0.2">
      <c r="A523" s="320" t="s">
        <v>2968</v>
      </c>
      <c r="B523" t="str">
        <f>IF(ISBLANK(GlobBerMedDisc!$L$8),"",GlobBerMedDisc!$L$8)</f>
        <v/>
      </c>
      <c r="C523" s="134"/>
    </row>
    <row r="524" spans="1:3" x14ac:dyDescent="0.2">
      <c r="A524" s="320" t="s">
        <v>2969</v>
      </c>
      <c r="B524" t="str">
        <f>IF(ISBLANK(GlobBerMedDisc!$L$9),"",GlobBerMedDisc!$L$9)</f>
        <v/>
      </c>
      <c r="C524" s="134"/>
    </row>
    <row r="525" spans="1:3" x14ac:dyDescent="0.2">
      <c r="A525" s="320" t="s">
        <v>2970</v>
      </c>
      <c r="B525" t="str">
        <f>IF(ISBLANK(GlobBerMedDisc!$L$10),"",GlobBerMedDisc!$L$10)</f>
        <v/>
      </c>
      <c r="C525" s="134"/>
    </row>
    <row r="526" spans="1:3" x14ac:dyDescent="0.2">
      <c r="A526" s="320" t="s">
        <v>2971</v>
      </c>
      <c r="B526" t="str">
        <f>IF(ISBLANK(GlobBerMedDisc!$L$11),"",GlobBerMedDisc!$L$11)</f>
        <v/>
      </c>
      <c r="C526" s="134"/>
    </row>
    <row r="527" spans="1:3" x14ac:dyDescent="0.2">
      <c r="A527" s="320" t="s">
        <v>2972</v>
      </c>
      <c r="B527" t="str">
        <f>IF(ISBLANK(GlobBerMedDisc!$L$12),"",GlobBerMedDisc!$L$12)</f>
        <v/>
      </c>
      <c r="C527" s="134"/>
    </row>
    <row r="528" spans="1:3" x14ac:dyDescent="0.2">
      <c r="A528" s="320" t="s">
        <v>2973</v>
      </c>
      <c r="B528" t="str">
        <f>IF(ISBLANK(GlobBerMedDisc!$L$13),"",GlobBerMedDisc!$L$13)</f>
        <v/>
      </c>
      <c r="C528" s="134"/>
    </row>
    <row r="529" spans="1:3" x14ac:dyDescent="0.2">
      <c r="A529" s="320" t="s">
        <v>2974</v>
      </c>
      <c r="B529" t="str">
        <f>IF(ISBLANK(GlobBerMedDisc!$L$14),"",GlobBerMedDisc!$L$14)</f>
        <v/>
      </c>
      <c r="C529" s="134"/>
    </row>
    <row r="530" spans="1:3" x14ac:dyDescent="0.2">
      <c r="A530" s="320" t="s">
        <v>2975</v>
      </c>
      <c r="B530" t="str">
        <f>IF(ISBLANK(GlobBerMedDisc!$L$15),"",GlobBerMedDisc!$L$15)</f>
        <v/>
      </c>
      <c r="C530" s="134"/>
    </row>
    <row r="531" spans="1:3" x14ac:dyDescent="0.2">
      <c r="A531" s="320" t="s">
        <v>2976</v>
      </c>
      <c r="B531" t="str">
        <f>IF(ISBLANK(GlobBerMedDisc!$L$16),"",GlobBerMedDisc!$L$16)</f>
        <v/>
      </c>
      <c r="C531" s="134"/>
    </row>
    <row r="532" spans="1:3" x14ac:dyDescent="0.2">
      <c r="A532" s="320" t="s">
        <v>2977</v>
      </c>
      <c r="B532" t="str">
        <f>IF(ISBLANK(GlobBerMedDisc!$L$17),"",GlobBerMedDisc!$L$17)</f>
        <v/>
      </c>
      <c r="C532" s="134"/>
    </row>
    <row r="533" spans="1:3" x14ac:dyDescent="0.2">
      <c r="A533" s="320" t="s">
        <v>2978</v>
      </c>
      <c r="B533" t="str">
        <f>IF(ISBLANK(GlobBerMedDisc!$L$18),"",GlobBerMedDisc!$L$18)</f>
        <v/>
      </c>
      <c r="C533" s="134"/>
    </row>
    <row r="534" spans="1:3" x14ac:dyDescent="0.2">
      <c r="A534" s="320" t="s">
        <v>2979</v>
      </c>
      <c r="B534" t="str">
        <f>IF(ISBLANK(GlobBerMedDisc!$L$19),"",GlobBerMedDisc!$L$19)</f>
        <v/>
      </c>
      <c r="C534" s="134"/>
    </row>
    <row r="535" spans="1:3" x14ac:dyDescent="0.2">
      <c r="A535" s="320" t="s">
        <v>2980</v>
      </c>
      <c r="B535" t="str">
        <f>IF(ISBLANK(GlobBerMedDisc!$L$20),"",GlobBerMedDisc!$L$20)</f>
        <v/>
      </c>
      <c r="C535" s="134"/>
    </row>
    <row r="536" spans="1:3" x14ac:dyDescent="0.2">
      <c r="A536" s="320" t="s">
        <v>2981</v>
      </c>
      <c r="B536" t="str">
        <f>IF(ISBLANK(GlobBerMedDisc!$L$21),"",GlobBerMedDisc!$L$21)</f>
        <v/>
      </c>
      <c r="C536" s="134"/>
    </row>
    <row r="537" spans="1:3" x14ac:dyDescent="0.2">
      <c r="A537" s="320" t="s">
        <v>2982</v>
      </c>
      <c r="B537" t="str">
        <f>IF(ISBLANK(GlobBerMedDisc!$L$22),"",GlobBerMedDisc!$L$22)</f>
        <v/>
      </c>
      <c r="C537" s="134"/>
    </row>
    <row r="538" spans="1:3" x14ac:dyDescent="0.2">
      <c r="A538" s="320" t="s">
        <v>2983</v>
      </c>
      <c r="B538" t="str">
        <f>IF(ISBLANK(GlobBerMedDisc!$L$23),"",GlobBerMedDisc!$L$23)</f>
        <v/>
      </c>
      <c r="C538" s="134"/>
    </row>
    <row r="539" spans="1:3" x14ac:dyDescent="0.2">
      <c r="A539" s="320" t="s">
        <v>2984</v>
      </c>
      <c r="B539" t="str">
        <f>IF(ISBLANK(GlobBerMedDisc!$L$24),"",GlobBerMedDisc!$L$24)</f>
        <v/>
      </c>
      <c r="C539" s="134"/>
    </row>
    <row r="540" spans="1:3" x14ac:dyDescent="0.2">
      <c r="A540" s="320" t="s">
        <v>2985</v>
      </c>
      <c r="B540" t="str">
        <f>IF(ISBLANK(GlobBerMedDisc!$L$25),"",GlobBerMedDisc!$L$25)</f>
        <v/>
      </c>
      <c r="C540" s="134"/>
    </row>
    <row r="541" spans="1:3" x14ac:dyDescent="0.2">
      <c r="A541" s="320" t="s">
        <v>2986</v>
      </c>
      <c r="B541" t="str">
        <f>IF(ISBLANK(GlobBerMedDisc!$L$26),"",GlobBerMedDisc!$L$26)</f>
        <v/>
      </c>
      <c r="C541" s="134"/>
    </row>
    <row r="542" spans="1:3" x14ac:dyDescent="0.2">
      <c r="A542" s="320" t="s">
        <v>2987</v>
      </c>
      <c r="B542" t="str">
        <f>IF(ISBLANK(GlobBerMedDisc!$L$27),"",GlobBerMedDisc!$L$27)</f>
        <v/>
      </c>
      <c r="C542" s="134"/>
    </row>
    <row r="543" spans="1:3" x14ac:dyDescent="0.2">
      <c r="A543" s="320" t="s">
        <v>2988</v>
      </c>
      <c r="B543" t="str">
        <f>IF(ISBLANK(GlobBerMedDisc!$L$28),"",GlobBerMedDisc!$L$28)</f>
        <v/>
      </c>
      <c r="C543" s="134"/>
    </row>
    <row r="544" spans="1:3" x14ac:dyDescent="0.2">
      <c r="A544" s="320" t="s">
        <v>2989</v>
      </c>
      <c r="B544" t="str">
        <f>IF(ISBLANK(GlobBerMedDisc!$L$29),"",GlobBerMedDisc!$L$29)</f>
        <v/>
      </c>
      <c r="C544" s="134"/>
    </row>
    <row r="545" spans="1:3" x14ac:dyDescent="0.2">
      <c r="A545" s="320" t="s">
        <v>2990</v>
      </c>
      <c r="B545" t="str">
        <f>IF(ISBLANK(GlobBerMedDisc!$L$30),"",GlobBerMedDisc!$L$30)</f>
        <v/>
      </c>
      <c r="C545" s="134"/>
    </row>
    <row r="546" spans="1:3" x14ac:dyDescent="0.2">
      <c r="A546" s="320" t="s">
        <v>2991</v>
      </c>
      <c r="B546" t="str">
        <f>IF(ISBLANK(GlobBerMedDisc!$L$31),"",GlobBerMedDisc!$L$31)</f>
        <v/>
      </c>
      <c r="C546" s="134"/>
    </row>
    <row r="547" spans="1:3" s="320" customFormat="1" x14ac:dyDescent="0.2">
      <c r="A547" s="320" t="s">
        <v>5074</v>
      </c>
      <c r="B547" s="320" t="str">
        <f>IF(ISBLANK(GlobBerMedDisc!$C$2),"",GlobBerMedDisc!$C$2)</f>
        <v/>
      </c>
      <c r="C547" s="134"/>
    </row>
    <row r="548" spans="1:3" s="320" customFormat="1" x14ac:dyDescent="0.2">
      <c r="A548" s="320" t="s">
        <v>5075</v>
      </c>
      <c r="B548" s="320" t="str">
        <f>IF(ISBLANK(GlobBerMedDisc!$C$3),"",GlobBerMedDisc!$C$3)</f>
        <v/>
      </c>
      <c r="C548" s="134"/>
    </row>
    <row r="549" spans="1:3" s="320" customFormat="1" x14ac:dyDescent="0.2">
      <c r="A549" s="320" t="s">
        <v>5076</v>
      </c>
      <c r="B549" s="320" t="str">
        <f>IF(ISBLANK(GlobBerMedDisc!$C$4),"",GlobBerMedDisc!$C$4)</f>
        <v/>
      </c>
      <c r="C549" s="134"/>
    </row>
    <row r="550" spans="1:3" s="320" customFormat="1" x14ac:dyDescent="0.2">
      <c r="A550" s="320" t="s">
        <v>5077</v>
      </c>
      <c r="B550" s="320" t="str">
        <f>IF(ISBLANK(GlobBerMedDisc!$C$5),"",GlobBerMedDisc!$C$5)</f>
        <v/>
      </c>
      <c r="C550" s="134"/>
    </row>
    <row r="551" spans="1:3" s="320" customFormat="1" x14ac:dyDescent="0.2">
      <c r="A551" s="320" t="s">
        <v>5078</v>
      </c>
      <c r="B551" s="320" t="str">
        <f>IF(ISBLANK(GlobBerMedDisc!$C$6),"",GlobBerMedDisc!$C$6)</f>
        <v/>
      </c>
      <c r="C551" s="134"/>
    </row>
    <row r="552" spans="1:3" s="320" customFormat="1" x14ac:dyDescent="0.2">
      <c r="A552" s="320" t="s">
        <v>5079</v>
      </c>
      <c r="B552" s="320" t="str">
        <f>IF(ISBLANK(GlobBerMedDisc!$C$7),"",GlobBerMedDisc!$C$7)</f>
        <v/>
      </c>
      <c r="C552" s="134"/>
    </row>
    <row r="553" spans="1:3" s="320" customFormat="1" x14ac:dyDescent="0.2">
      <c r="A553" s="320" t="s">
        <v>5080</v>
      </c>
      <c r="B553" s="320" t="str">
        <f>IF(ISBLANK(GlobBerMedDisc!$C$8),"",GlobBerMedDisc!$C$8)</f>
        <v/>
      </c>
      <c r="C553" s="134"/>
    </row>
    <row r="554" spans="1:3" s="320" customFormat="1" x14ac:dyDescent="0.2">
      <c r="A554" s="320" t="s">
        <v>5081</v>
      </c>
      <c r="B554" s="320" t="str">
        <f>IF(ISBLANK(GlobBerMedDisc!$C$9),"",GlobBerMedDisc!$C$9)</f>
        <v/>
      </c>
      <c r="C554" s="134"/>
    </row>
    <row r="555" spans="1:3" s="320" customFormat="1" x14ac:dyDescent="0.2">
      <c r="A555" s="320" t="s">
        <v>5082</v>
      </c>
      <c r="B555" s="320" t="str">
        <f>IF(ISBLANK(GlobBerMedDisc!$C$10),"",GlobBerMedDisc!$C$10)</f>
        <v/>
      </c>
      <c r="C555" s="134"/>
    </row>
    <row r="556" spans="1:3" s="320" customFormat="1" x14ac:dyDescent="0.2">
      <c r="A556" s="320" t="s">
        <v>5083</v>
      </c>
      <c r="B556" s="320" t="str">
        <f>IF(ISBLANK(GlobBerMedDisc!$C$11),"",GlobBerMedDisc!$C$11)</f>
        <v/>
      </c>
      <c r="C556" s="134"/>
    </row>
    <row r="557" spans="1:3" s="320" customFormat="1" x14ac:dyDescent="0.2">
      <c r="A557" s="320" t="s">
        <v>5084</v>
      </c>
      <c r="B557" s="320" t="str">
        <f>IF(ISBLANK(GlobBerMedDisc!$C$12),"",GlobBerMedDisc!$C$12)</f>
        <v/>
      </c>
      <c r="C557" s="134"/>
    </row>
    <row r="558" spans="1:3" s="320" customFormat="1" x14ac:dyDescent="0.2">
      <c r="A558" s="320" t="s">
        <v>5085</v>
      </c>
      <c r="B558" s="320" t="str">
        <f>IF(ISBLANK(GlobBerMedDisc!$C$13),"",GlobBerMedDisc!$C$13)</f>
        <v/>
      </c>
      <c r="C558" s="134"/>
    </row>
    <row r="559" spans="1:3" s="320" customFormat="1" x14ac:dyDescent="0.2">
      <c r="A559" s="320" t="s">
        <v>5086</v>
      </c>
      <c r="B559" s="320" t="str">
        <f>IF(ISBLANK(GlobBerMedDisc!$C$14),"",GlobBerMedDisc!$C$14)</f>
        <v/>
      </c>
      <c r="C559" s="134"/>
    </row>
    <row r="560" spans="1:3" s="320" customFormat="1" x14ac:dyDescent="0.2">
      <c r="A560" s="320" t="s">
        <v>5087</v>
      </c>
      <c r="B560" s="320" t="str">
        <f>IF(ISBLANK(GlobBerMedDisc!$C$15),"",GlobBerMedDisc!$C$15)</f>
        <v/>
      </c>
      <c r="C560" s="134"/>
    </row>
    <row r="561" spans="1:3" s="320" customFormat="1" x14ac:dyDescent="0.2">
      <c r="A561" s="320" t="s">
        <v>5088</v>
      </c>
      <c r="B561" s="320" t="str">
        <f>IF(ISBLANK(GlobBerMedDisc!$C$16),"",GlobBerMedDisc!$C$16)</f>
        <v/>
      </c>
      <c r="C561" s="134"/>
    </row>
    <row r="562" spans="1:3" s="320" customFormat="1" x14ac:dyDescent="0.2">
      <c r="A562" s="320" t="s">
        <v>5089</v>
      </c>
      <c r="B562" s="320" t="str">
        <f>IF(ISBLANK(GlobBerMedDisc!$C$17),"",GlobBerMedDisc!$C$17)</f>
        <v/>
      </c>
      <c r="C562" s="134"/>
    </row>
    <row r="563" spans="1:3" s="320" customFormat="1" x14ac:dyDescent="0.2">
      <c r="A563" s="320" t="s">
        <v>5090</v>
      </c>
      <c r="B563" s="320" t="str">
        <f>IF(ISBLANK(GlobBerMedDisc!$C$18),"",GlobBerMedDisc!$C$18)</f>
        <v/>
      </c>
      <c r="C563" s="134"/>
    </row>
    <row r="564" spans="1:3" s="320" customFormat="1" x14ac:dyDescent="0.2">
      <c r="A564" s="320" t="s">
        <v>5091</v>
      </c>
      <c r="B564" s="320" t="str">
        <f>IF(ISBLANK(GlobBerMedDisc!$C$19),"",GlobBerMedDisc!$C$19)</f>
        <v/>
      </c>
      <c r="C564" s="134"/>
    </row>
    <row r="565" spans="1:3" s="320" customFormat="1" x14ac:dyDescent="0.2">
      <c r="A565" s="320" t="s">
        <v>5092</v>
      </c>
      <c r="B565" s="320" t="str">
        <f>IF(ISBLANK(GlobBerMedDisc!$C$20),"",GlobBerMedDisc!$C$20)</f>
        <v/>
      </c>
      <c r="C565" s="134"/>
    </row>
    <row r="566" spans="1:3" s="320" customFormat="1" x14ac:dyDescent="0.2">
      <c r="A566" s="320" t="s">
        <v>5093</v>
      </c>
      <c r="B566" s="320" t="str">
        <f>IF(ISBLANK(GlobBerMedDisc!$C$21),"",GlobBerMedDisc!$C$21)</f>
        <v/>
      </c>
      <c r="C566" s="134"/>
    </row>
    <row r="567" spans="1:3" s="320" customFormat="1" x14ac:dyDescent="0.2">
      <c r="A567" s="320" t="s">
        <v>5094</v>
      </c>
      <c r="B567" s="320" t="str">
        <f>IF(ISBLANK(GlobBerMedDisc!$C$22),"",GlobBerMedDisc!$C$22)</f>
        <v/>
      </c>
      <c r="C567" s="134"/>
    </row>
    <row r="568" spans="1:3" s="320" customFormat="1" x14ac:dyDescent="0.2">
      <c r="A568" s="320" t="s">
        <v>5095</v>
      </c>
      <c r="B568" s="320" t="str">
        <f>IF(ISBLANK(GlobBerMedDisc!$C$23),"",GlobBerMedDisc!$C$23)</f>
        <v/>
      </c>
      <c r="C568" s="134"/>
    </row>
    <row r="569" spans="1:3" s="320" customFormat="1" x14ac:dyDescent="0.2">
      <c r="A569" s="320" t="s">
        <v>5096</v>
      </c>
      <c r="B569" s="320" t="str">
        <f>IF(ISBLANK(GlobBerMedDisc!$C$24),"",GlobBerMedDisc!$C$24)</f>
        <v/>
      </c>
      <c r="C569" s="134"/>
    </row>
    <row r="570" spans="1:3" s="320" customFormat="1" x14ac:dyDescent="0.2">
      <c r="A570" s="320" t="s">
        <v>5097</v>
      </c>
      <c r="B570" s="320" t="str">
        <f>IF(ISBLANK(GlobBerMedDisc!$C$25),"",GlobBerMedDisc!$C$25)</f>
        <v/>
      </c>
      <c r="C570" s="134"/>
    </row>
    <row r="571" spans="1:3" s="320" customFormat="1" x14ac:dyDescent="0.2">
      <c r="A571" s="320" t="s">
        <v>5098</v>
      </c>
      <c r="B571" s="320" t="str">
        <f>IF(ISBLANK(GlobBerMedDisc!$C$26),"",GlobBerMedDisc!$C$26)</f>
        <v/>
      </c>
      <c r="C571" s="134"/>
    </row>
    <row r="572" spans="1:3" s="320" customFormat="1" x14ac:dyDescent="0.2">
      <c r="A572" s="320" t="s">
        <v>5099</v>
      </c>
      <c r="B572" s="320" t="str">
        <f>IF(ISBLANK(GlobBerMedDisc!$C$27),"",GlobBerMedDisc!$C$27)</f>
        <v/>
      </c>
      <c r="C572" s="134"/>
    </row>
    <row r="573" spans="1:3" s="320" customFormat="1" x14ac:dyDescent="0.2">
      <c r="A573" s="320" t="s">
        <v>5100</v>
      </c>
      <c r="B573" s="320" t="str">
        <f>IF(ISBLANK(GlobBerMedDisc!$C$28),"",GlobBerMedDisc!$C$28)</f>
        <v/>
      </c>
      <c r="C573" s="134"/>
    </row>
    <row r="574" spans="1:3" s="320" customFormat="1" x14ac:dyDescent="0.2">
      <c r="A574" s="320" t="s">
        <v>5101</v>
      </c>
      <c r="B574" s="320" t="str">
        <f>IF(ISBLANK(GlobBerMedDisc!$C$29),"",GlobBerMedDisc!$C$29)</f>
        <v/>
      </c>
      <c r="C574" s="134"/>
    </row>
    <row r="575" spans="1:3" s="320" customFormat="1" x14ac:dyDescent="0.2">
      <c r="A575" s="320" t="s">
        <v>5102</v>
      </c>
      <c r="B575" s="320" t="str">
        <f>IF(ISBLANK(GlobBerMedDisc!$C$30),"",GlobBerMedDisc!$C$30)</f>
        <v/>
      </c>
      <c r="C575" s="134"/>
    </row>
    <row r="576" spans="1:3" s="320" customFormat="1" x14ac:dyDescent="0.2">
      <c r="A576" s="320" t="s">
        <v>5103</v>
      </c>
      <c r="B576" s="320" t="str">
        <f>IF(ISBLANK(GlobBerMedDisc!$C$31),"",GlobBerMedDisc!$C$31)</f>
        <v/>
      </c>
      <c r="C576" s="134"/>
    </row>
    <row r="577" spans="1:6" x14ac:dyDescent="0.2">
      <c r="A577" s="320" t="s">
        <v>3021</v>
      </c>
      <c r="B577">
        <f>IF(ISBLANK(NeoBer1700!$B$18),"",NeoBer1700!$B$18)</f>
        <v>0</v>
      </c>
      <c r="C577">
        <v>0</v>
      </c>
    </row>
    <row r="578" spans="1:6" x14ac:dyDescent="0.2">
      <c r="A578" s="320" t="s">
        <v>3023</v>
      </c>
      <c r="B578" t="str">
        <f>IF(ISBLANK(NeoBer1700!$F$1),"",NeoBer1700!$F$1)</f>
        <v/>
      </c>
      <c r="C578" s="134"/>
    </row>
    <row r="579" spans="1:6" x14ac:dyDescent="0.2">
      <c r="A579" s="320" t="s">
        <v>3025</v>
      </c>
      <c r="B579">
        <f>IF(ISBLANK(NeoBer1700!$D$39),"",NeoBer1700!$D$39)</f>
        <v>5000</v>
      </c>
      <c r="C579">
        <v>5000</v>
      </c>
    </row>
    <row r="580" spans="1:6" x14ac:dyDescent="0.2">
      <c r="A580" s="320" t="s">
        <v>3026</v>
      </c>
      <c r="B580">
        <f>IF(ISBLANK(NeoBer1700!$D$36),"",NeoBer1700!$D$36)</f>
        <v>1</v>
      </c>
      <c r="C580">
        <v>1</v>
      </c>
    </row>
    <row r="581" spans="1:6" x14ac:dyDescent="0.2">
      <c r="A581" s="320" t="s">
        <v>3028</v>
      </c>
      <c r="B581">
        <f>IF(ISBLANK(NeoBer1700!$B$15),"",NeoBer1700!$B$15)</f>
        <v>0</v>
      </c>
      <c r="C581">
        <v>0</v>
      </c>
    </row>
    <row r="582" spans="1:6" x14ac:dyDescent="0.2">
      <c r="A582" s="320" t="s">
        <v>3031</v>
      </c>
      <c r="B582">
        <f>IF(ISBLANK(NeoBer1700!$D$10),"",NeoBer1700!$D$10)</f>
        <v>0</v>
      </c>
      <c r="C582">
        <v>0</v>
      </c>
    </row>
    <row r="583" spans="1:6" x14ac:dyDescent="0.2">
      <c r="A583" s="320" t="s">
        <v>3032</v>
      </c>
      <c r="B583">
        <f>IF(ISBLANK(NeoBer1700!$D$12),"",NeoBer1700!$D$12)</f>
        <v>0</v>
      </c>
      <c r="C583">
        <v>0</v>
      </c>
    </row>
    <row r="584" spans="1:6" x14ac:dyDescent="0.2">
      <c r="A584" s="320" t="s">
        <v>3034</v>
      </c>
      <c r="B584">
        <f>IF(ISBLANK(NeoBer1700!$D$45),"",NeoBer1700!$D$45)</f>
        <v>0</v>
      </c>
      <c r="C584">
        <v>0</v>
      </c>
    </row>
    <row r="585" spans="1:6" x14ac:dyDescent="0.2">
      <c r="A585" s="320" t="s">
        <v>3037</v>
      </c>
      <c r="B585">
        <f>IF(ISBLANK(NeoBer1700!$D$11),"",NeoBer1700!$D$11)</f>
        <v>0</v>
      </c>
      <c r="C585">
        <v>0</v>
      </c>
    </row>
    <row r="586" spans="1:6" x14ac:dyDescent="0.2">
      <c r="A586" s="320" t="s">
        <v>3038</v>
      </c>
      <c r="B586">
        <f>IF(ISBLANK(NeoBer1700!$D$13),"",NeoBer1700!$D$13)</f>
        <v>0</v>
      </c>
      <c r="C586">
        <v>0</v>
      </c>
    </row>
    <row r="587" spans="1:6" x14ac:dyDescent="0.2">
      <c r="A587" s="320" t="s">
        <v>3040</v>
      </c>
      <c r="B587">
        <f>IF(ISBLANK(NeoBer1700!$D$16),"",NeoBer1700!$D$16)</f>
        <v>5000</v>
      </c>
      <c r="C587">
        <v>5000</v>
      </c>
    </row>
    <row r="588" spans="1:6" x14ac:dyDescent="0.2">
      <c r="A588" s="320" t="s">
        <v>3042</v>
      </c>
      <c r="B588">
        <f>IF(ISBLANK(NeoBer1700!$D$35),"",NeoBer1700!$D$35)</f>
        <v>5000</v>
      </c>
      <c r="C588">
        <v>5000</v>
      </c>
    </row>
    <row r="589" spans="1:6" x14ac:dyDescent="0.2">
      <c r="A589" s="320" t="s">
        <v>3155</v>
      </c>
      <c r="B589">
        <f>IF(ISBLANK(NeoBer1700!$F$35),"",NeoBer1700!$F$35)</f>
        <v>0</v>
      </c>
      <c r="C589">
        <v>0</v>
      </c>
      <c r="F589" s="320"/>
    </row>
    <row r="590" spans="1:6" x14ac:dyDescent="0.2">
      <c r="A590" s="320" t="s">
        <v>3044</v>
      </c>
      <c r="B590">
        <f>IF(ISBLANK(NeoBer1700!$D$38),"",NeoBer1700!$D$38)</f>
        <v>5000</v>
      </c>
      <c r="C590">
        <v>5000</v>
      </c>
    </row>
    <row r="591" spans="1:6" x14ac:dyDescent="0.2">
      <c r="A591" s="320" t="s">
        <v>3054</v>
      </c>
      <c r="B591" s="320">
        <f>IF(ISBLANK(NeoBer1700!$B$20),"",NeoBer1700!$B$20)</f>
        <v>1</v>
      </c>
      <c r="C591">
        <v>1</v>
      </c>
    </row>
    <row r="592" spans="1:6" x14ac:dyDescent="0.2">
      <c r="A592" s="320" t="s">
        <v>3055</v>
      </c>
      <c r="B592">
        <f>IF(ISBLANK(NeoBer1700!$B$21),"",NeoBer1700!$B$21)</f>
        <v>1</v>
      </c>
      <c r="C592">
        <v>1</v>
      </c>
    </row>
    <row r="593" spans="1:6" x14ac:dyDescent="0.2">
      <c r="A593" s="320" t="s">
        <v>3056</v>
      </c>
      <c r="B593">
        <f>IF(ISBLANK(NeoBer1700!$B$22),"",NeoBer1700!$B$22)</f>
        <v>1</v>
      </c>
      <c r="C593">
        <v>1</v>
      </c>
    </row>
    <row r="594" spans="1:6" x14ac:dyDescent="0.2">
      <c r="A594" s="320" t="s">
        <v>3057</v>
      </c>
      <c r="B594">
        <f>IF(ISBLANK(NeoBer1700!$B$23),"",NeoBer1700!$B$23)</f>
        <v>1</v>
      </c>
      <c r="C594">
        <v>1</v>
      </c>
    </row>
    <row r="595" spans="1:6" x14ac:dyDescent="0.2">
      <c r="A595" s="320" t="s">
        <v>3058</v>
      </c>
      <c r="B595">
        <f>IF(ISBLANK(NeoBer1700!$B$24),"",NeoBer1700!$B$24)</f>
        <v>1</v>
      </c>
      <c r="C595">
        <v>1</v>
      </c>
    </row>
    <row r="596" spans="1:6" x14ac:dyDescent="0.2">
      <c r="A596" s="320" t="s">
        <v>3059</v>
      </c>
      <c r="B596">
        <f>IF(ISBLANK(NeoBer1700!$B$25),"",NeoBer1700!$B$25)</f>
        <v>1</v>
      </c>
      <c r="C596">
        <v>1</v>
      </c>
    </row>
    <row r="597" spans="1:6" x14ac:dyDescent="0.2">
      <c r="A597" s="320" t="s">
        <v>3060</v>
      </c>
      <c r="B597">
        <f>IF(ISBLANK(NeoBer1700!$B$26),"",NeoBer1700!$B$26)</f>
        <v>1</v>
      </c>
      <c r="C597">
        <v>1</v>
      </c>
    </row>
    <row r="598" spans="1:6" x14ac:dyDescent="0.2">
      <c r="A598" s="320" t="s">
        <v>3061</v>
      </c>
      <c r="B598">
        <f>IF(ISBLANK(NeoBer1700!$B$27),"",NeoBer1700!$B$27)</f>
        <v>1</v>
      </c>
      <c r="C598">
        <v>1</v>
      </c>
    </row>
    <row r="599" spans="1:6" x14ac:dyDescent="0.2">
      <c r="A599" s="320" t="s">
        <v>3062</v>
      </c>
      <c r="B599">
        <f>IF(ISBLANK(NeoBer1700!$B$28),"",NeoBer1700!$B$28)</f>
        <v>1</v>
      </c>
      <c r="C599">
        <v>1</v>
      </c>
    </row>
    <row r="600" spans="1:6" x14ac:dyDescent="0.2">
      <c r="A600" s="320" t="s">
        <v>3072</v>
      </c>
      <c r="B600">
        <f>IF(ISBLANK(NeoBer1700!$C$20),"",NeoBer1700!$C$20)</f>
        <v>0</v>
      </c>
      <c r="C600">
        <v>0</v>
      </c>
    </row>
    <row r="601" spans="1:6" x14ac:dyDescent="0.2">
      <c r="A601" s="320" t="s">
        <v>3073</v>
      </c>
      <c r="B601">
        <f>IF(ISBLANK(NeoBer1700!$C$21),"",NeoBer1700!$C$21)</f>
        <v>0</v>
      </c>
      <c r="C601">
        <v>0</v>
      </c>
    </row>
    <row r="602" spans="1:6" x14ac:dyDescent="0.2">
      <c r="A602" s="320" t="s">
        <v>3074</v>
      </c>
      <c r="B602">
        <f>IF(ISBLANK(NeoBer1700!$C$22),"",NeoBer1700!$C$22)</f>
        <v>0</v>
      </c>
      <c r="C602">
        <v>0</v>
      </c>
      <c r="F602" s="320"/>
    </row>
    <row r="603" spans="1:6" x14ac:dyDescent="0.2">
      <c r="A603" s="320" t="s">
        <v>3075</v>
      </c>
      <c r="B603">
        <f>IF(ISBLANK(NeoBer1700!$C$23),"",NeoBer1700!$C$23)</f>
        <v>0</v>
      </c>
      <c r="C603">
        <v>0</v>
      </c>
    </row>
    <row r="604" spans="1:6" x14ac:dyDescent="0.2">
      <c r="A604" s="320" t="s">
        <v>3076</v>
      </c>
      <c r="B604">
        <f>IF(ISBLANK(NeoBer1700!$C$24),"",NeoBer1700!$C$24)</f>
        <v>0</v>
      </c>
      <c r="C604">
        <v>0</v>
      </c>
    </row>
    <row r="605" spans="1:6" x14ac:dyDescent="0.2">
      <c r="A605" s="320" t="s">
        <v>3077</v>
      </c>
      <c r="B605">
        <f>IF(ISBLANK(NeoBer1700!$C$25),"",NeoBer1700!$C$25)</f>
        <v>0</v>
      </c>
      <c r="C605">
        <v>0</v>
      </c>
    </row>
    <row r="606" spans="1:6" x14ac:dyDescent="0.2">
      <c r="A606" s="320" t="s">
        <v>3078</v>
      </c>
      <c r="B606">
        <f>IF(ISBLANK(NeoBer1700!$C$26),"",NeoBer1700!$C$26)</f>
        <v>0</v>
      </c>
      <c r="C606">
        <v>0</v>
      </c>
    </row>
    <row r="607" spans="1:6" x14ac:dyDescent="0.2">
      <c r="A607" s="320" t="s">
        <v>3079</v>
      </c>
      <c r="B607">
        <f>IF(ISBLANK(NeoBer1700!$C$27),"",NeoBer1700!$C$27)</f>
        <v>0</v>
      </c>
      <c r="C607">
        <v>0</v>
      </c>
    </row>
    <row r="608" spans="1:6" x14ac:dyDescent="0.2">
      <c r="A608" s="320" t="s">
        <v>3080</v>
      </c>
      <c r="B608">
        <f>IF(ISBLANK(NeoBer1700!$C$28),"",NeoBer1700!$C$28)</f>
        <v>0</v>
      </c>
      <c r="C608">
        <v>0</v>
      </c>
    </row>
    <row r="609" spans="1:6" x14ac:dyDescent="0.2">
      <c r="A609" s="320" t="s">
        <v>3083</v>
      </c>
      <c r="B609" t="str">
        <f>IF(ISBLANK(NeoBer1700!$B$32),"",NeoBer1700!$B$32)</f>
        <v/>
      </c>
      <c r="C609" s="134"/>
    </row>
    <row r="610" spans="1:6" x14ac:dyDescent="0.2">
      <c r="A610" s="320" t="s">
        <v>3084</v>
      </c>
      <c r="B610" t="str">
        <f>IF(ISBLANK(NeoBer1700!$B$33),"",NeoBer1700!$B$33)</f>
        <v/>
      </c>
      <c r="C610" s="134"/>
    </row>
    <row r="611" spans="1:6" x14ac:dyDescent="0.2">
      <c r="A611" s="320" t="s">
        <v>3086</v>
      </c>
      <c r="B611">
        <f>IF(ISBLANK(NeoBer1700!$D$40),"",NeoBer1700!$D$40)</f>
        <v>5000</v>
      </c>
      <c r="C611">
        <v>5000</v>
      </c>
    </row>
    <row r="612" spans="1:6" x14ac:dyDescent="0.2">
      <c r="A612" s="320" t="s">
        <v>3087</v>
      </c>
      <c r="B612">
        <f>IF(ISBLANK(NeoBer1700!$D$37),"",NeoBer1700!$D$37)</f>
        <v>5000</v>
      </c>
      <c r="C612">
        <v>5000</v>
      </c>
    </row>
    <row r="613" spans="1:6" x14ac:dyDescent="0.2">
      <c r="A613" s="320" t="s">
        <v>3089</v>
      </c>
      <c r="B613">
        <f>IF(ISBLANK(NeoBer1700!$D$43),"",NeoBer1700!$D$43)</f>
        <v>5000</v>
      </c>
      <c r="C613">
        <v>5000</v>
      </c>
      <c r="F613" s="320"/>
    </row>
    <row r="614" spans="1:6" x14ac:dyDescent="0.2">
      <c r="A614" s="320" t="s">
        <v>3099</v>
      </c>
      <c r="B614">
        <f>IF(ISBLANK(NeoBer1700!$D$20),"",NeoBer1700!$D$20)</f>
        <v>0</v>
      </c>
      <c r="C614">
        <v>0</v>
      </c>
      <c r="F614" s="320"/>
    </row>
    <row r="615" spans="1:6" x14ac:dyDescent="0.2">
      <c r="A615" s="320" t="s">
        <v>3100</v>
      </c>
      <c r="B615">
        <f>IF(ISBLANK(NeoBer1700!$D$21),"",NeoBer1700!$D$21)</f>
        <v>0</v>
      </c>
      <c r="C615">
        <v>0</v>
      </c>
      <c r="F615" s="320"/>
    </row>
    <row r="616" spans="1:6" x14ac:dyDescent="0.2">
      <c r="A616" s="320" t="s">
        <v>3101</v>
      </c>
      <c r="B616">
        <f>IF(ISBLANK(NeoBer1700!$D$22),"",NeoBer1700!$D$22)</f>
        <v>0</v>
      </c>
      <c r="C616">
        <v>0</v>
      </c>
      <c r="F616" s="320"/>
    </row>
    <row r="617" spans="1:6" x14ac:dyDescent="0.2">
      <c r="A617" s="320" t="s">
        <v>3102</v>
      </c>
      <c r="B617">
        <f>IF(ISBLANK(NeoBer1700!$D$23),"",NeoBer1700!$D$23)</f>
        <v>0</v>
      </c>
      <c r="C617">
        <v>0</v>
      </c>
      <c r="F617" s="320"/>
    </row>
    <row r="618" spans="1:6" x14ac:dyDescent="0.2">
      <c r="A618" s="320" t="s">
        <v>3103</v>
      </c>
      <c r="B618">
        <f>IF(ISBLANK(NeoBer1700!$D$24),"",NeoBer1700!$D$24)</f>
        <v>0</v>
      </c>
      <c r="C618">
        <v>0</v>
      </c>
      <c r="F618" s="320"/>
    </row>
    <row r="619" spans="1:6" x14ac:dyDescent="0.2">
      <c r="A619" s="320" t="s">
        <v>3104</v>
      </c>
      <c r="B619">
        <f>IF(ISBLANK(NeoBer1700!$D$25),"",NeoBer1700!$D$25)</f>
        <v>0</v>
      </c>
      <c r="C619">
        <v>0</v>
      </c>
      <c r="F619" s="320"/>
    </row>
    <row r="620" spans="1:6" x14ac:dyDescent="0.2">
      <c r="A620" s="320" t="s">
        <v>3105</v>
      </c>
      <c r="B620">
        <f>IF(ISBLANK(NeoBer1700!$D$26),"",NeoBer1700!$D$26)</f>
        <v>0</v>
      </c>
      <c r="C620">
        <v>0</v>
      </c>
      <c r="F620" s="320"/>
    </row>
    <row r="621" spans="1:6" x14ac:dyDescent="0.2">
      <c r="A621" s="320" t="s">
        <v>3106</v>
      </c>
      <c r="B621">
        <f>IF(ISBLANK(NeoBer1700!$D$27),"",NeoBer1700!$D$27)</f>
        <v>0</v>
      </c>
      <c r="C621">
        <v>0</v>
      </c>
      <c r="F621" s="320"/>
    </row>
    <row r="622" spans="1:6" x14ac:dyDescent="0.2">
      <c r="A622" s="320" t="s">
        <v>3107</v>
      </c>
      <c r="B622">
        <f>IF(ISBLANK(NeoBer1700!$D$28),"",NeoBer1700!$D$28)</f>
        <v>0</v>
      </c>
      <c r="C622">
        <v>0</v>
      </c>
    </row>
    <row r="623" spans="1:6" x14ac:dyDescent="0.2">
      <c r="A623" s="320" t="s">
        <v>3123</v>
      </c>
      <c r="B623">
        <f>IF(ISBLANK(NeoBer1700!$E$20),"",NeoBer1700!$E$20)</f>
        <v>1</v>
      </c>
      <c r="C623">
        <v>1</v>
      </c>
    </row>
    <row r="624" spans="1:6" x14ac:dyDescent="0.2">
      <c r="A624" s="320" t="s">
        <v>3124</v>
      </c>
      <c r="B624">
        <f>IF(ISBLANK(NeoBer1700!$E$21),"",NeoBer1700!$E$21)</f>
        <v>1</v>
      </c>
      <c r="C624">
        <v>1</v>
      </c>
    </row>
    <row r="625" spans="1:3" x14ac:dyDescent="0.2">
      <c r="A625" s="320" t="s">
        <v>3125</v>
      </c>
      <c r="B625">
        <f>IF(ISBLANK(NeoBer1700!$E$22),"",NeoBer1700!$E$22)</f>
        <v>1</v>
      </c>
      <c r="C625">
        <v>1</v>
      </c>
    </row>
    <row r="626" spans="1:3" x14ac:dyDescent="0.2">
      <c r="A626" s="320" t="s">
        <v>3126</v>
      </c>
      <c r="B626">
        <f>IF(ISBLANK(NeoBer1700!$E$23),"",NeoBer1700!$E$23)</f>
        <v>1</v>
      </c>
      <c r="C626">
        <v>1</v>
      </c>
    </row>
    <row r="627" spans="1:3" x14ac:dyDescent="0.2">
      <c r="A627" s="320" t="s">
        <v>3127</v>
      </c>
      <c r="B627">
        <f>IF(ISBLANK(NeoBer1700!$E$24),"",NeoBer1700!$E$24)</f>
        <v>1</v>
      </c>
      <c r="C627">
        <v>1</v>
      </c>
    </row>
    <row r="628" spans="1:3" x14ac:dyDescent="0.2">
      <c r="A628" s="320" t="s">
        <v>3128</v>
      </c>
      <c r="B628">
        <f>IF(ISBLANK(NeoBer1700!$E$25),"",NeoBer1700!$E$25)</f>
        <v>1</v>
      </c>
      <c r="C628">
        <v>1</v>
      </c>
    </row>
    <row r="629" spans="1:3" x14ac:dyDescent="0.2">
      <c r="A629" s="320" t="s">
        <v>3129</v>
      </c>
      <c r="B629">
        <f>IF(ISBLANK(NeoBer1700!$E$26),"",NeoBer1700!$E$26)</f>
        <v>1</v>
      </c>
      <c r="C629">
        <v>1</v>
      </c>
    </row>
    <row r="630" spans="1:3" x14ac:dyDescent="0.2">
      <c r="A630" s="320" t="s">
        <v>3130</v>
      </c>
      <c r="B630" s="19">
        <f>IF(ISBLANK(NeoBer1700!$E$27),"",NeoBer1700!$E$27)</f>
        <v>1</v>
      </c>
      <c r="C630">
        <v>1</v>
      </c>
    </row>
    <row r="631" spans="1:3" x14ac:dyDescent="0.2">
      <c r="A631" s="320" t="s">
        <v>3131</v>
      </c>
      <c r="B631">
        <f>IF(ISBLANK(NeoBer1700!$E$28),"",NeoBer1700!$E$28)</f>
        <v>1</v>
      </c>
      <c r="C631">
        <v>1</v>
      </c>
    </row>
    <row r="632" spans="1:3" x14ac:dyDescent="0.2">
      <c r="A632" s="320" t="s">
        <v>3120</v>
      </c>
      <c r="B632">
        <f>IF(ISBLANK(NeoBer1700!$E$29),"",NeoBer1700!$E$29)</f>
        <v>1</v>
      </c>
      <c r="C632">
        <v>1</v>
      </c>
    </row>
    <row r="633" spans="1:3" x14ac:dyDescent="0.2">
      <c r="A633" s="320" t="s">
        <v>3121</v>
      </c>
      <c r="B633">
        <f>IF(ISBLANK(NeoBer1700!$E$30),"",NeoBer1700!$E$30)</f>
        <v>1</v>
      </c>
      <c r="C633">
        <v>1</v>
      </c>
    </row>
    <row r="634" spans="1:3" x14ac:dyDescent="0.2">
      <c r="A634" s="320" t="s">
        <v>3122</v>
      </c>
      <c r="B634">
        <f>IF(ISBLANK(NeoBer1700!$E$31),"",NeoBer1700!$E$31)</f>
        <v>1</v>
      </c>
      <c r="C634">
        <v>1</v>
      </c>
    </row>
    <row r="635" spans="1:3" x14ac:dyDescent="0.2">
      <c r="A635" s="320" t="s">
        <v>3133</v>
      </c>
      <c r="B635" t="b">
        <f>IF(ISBLANK(NeoBer1700!$B$17),"",NeoBer1700!$B$17)</f>
        <v>0</v>
      </c>
      <c r="C635" t="b">
        <v>0</v>
      </c>
    </row>
    <row r="636" spans="1:3" x14ac:dyDescent="0.2">
      <c r="A636" s="320" t="s">
        <v>3143</v>
      </c>
      <c r="B636">
        <f>IF(ISBLANK(NeoBer1700!$J$52),"",NeoBer1700!$J$52)</f>
        <v>1</v>
      </c>
      <c r="C636">
        <v>1</v>
      </c>
    </row>
    <row r="637" spans="1:3" x14ac:dyDescent="0.2">
      <c r="A637" s="320" t="s">
        <v>3144</v>
      </c>
      <c r="B637">
        <f>IF(ISBLANK(NeoBer1700!$J$53),"",NeoBer1700!$J$53)</f>
        <v>1</v>
      </c>
      <c r="C637">
        <v>1</v>
      </c>
    </row>
    <row r="638" spans="1:3" x14ac:dyDescent="0.2">
      <c r="A638" s="320" t="s">
        <v>3145</v>
      </c>
      <c r="B638">
        <f>IF(ISBLANK(NeoBer1700!$J$54),"",NeoBer1700!$J$54)</f>
        <v>1</v>
      </c>
      <c r="C638">
        <v>1</v>
      </c>
    </row>
    <row r="639" spans="1:3" x14ac:dyDescent="0.2">
      <c r="A639" s="320" t="s">
        <v>3146</v>
      </c>
      <c r="B639">
        <f>IF(ISBLANK(NeoBer1700!$J$55),"",NeoBer1700!$J$55)</f>
        <v>1</v>
      </c>
      <c r="C639">
        <v>1</v>
      </c>
    </row>
    <row r="640" spans="1:3" x14ac:dyDescent="0.2">
      <c r="A640" s="320" t="s">
        <v>3147</v>
      </c>
      <c r="B640">
        <f>IF(ISBLANK(NeoBer1700!$J$56),"",NeoBer1700!$J$56)</f>
        <v>1</v>
      </c>
      <c r="C640">
        <v>1</v>
      </c>
    </row>
    <row r="641" spans="1:3" x14ac:dyDescent="0.2">
      <c r="A641" s="320" t="s">
        <v>3148</v>
      </c>
      <c r="B641">
        <f>IF(ISBLANK(NeoBer1700!$J$58),"",NeoBer1700!$J$58)</f>
        <v>1</v>
      </c>
      <c r="C641">
        <v>1</v>
      </c>
    </row>
    <row r="642" spans="1:3" x14ac:dyDescent="0.2">
      <c r="A642" s="320" t="s">
        <v>3149</v>
      </c>
      <c r="B642">
        <f>IF(ISBLANK(NeoBer1700!$J$59),"",NeoBer1700!$J$59)</f>
        <v>1</v>
      </c>
      <c r="C642">
        <v>1</v>
      </c>
    </row>
    <row r="643" spans="1:3" x14ac:dyDescent="0.2">
      <c r="A643" s="320" t="s">
        <v>3150</v>
      </c>
      <c r="B643">
        <f>IF(ISBLANK(NeoBer1700!$J$60),"",NeoBer1700!$J$60)</f>
        <v>1</v>
      </c>
      <c r="C643">
        <v>1</v>
      </c>
    </row>
    <row r="644" spans="1:3" x14ac:dyDescent="0.2">
      <c r="A644" s="320" t="s">
        <v>3151</v>
      </c>
      <c r="B644">
        <f>IF(ISBLANK(NeoBer1700!$J$61),"",NeoBer1700!$J$61)</f>
        <v>1</v>
      </c>
      <c r="C644">
        <v>1</v>
      </c>
    </row>
    <row r="645" spans="1:3" x14ac:dyDescent="0.2">
      <c r="A645" s="320" t="s">
        <v>3153</v>
      </c>
      <c r="B645">
        <f>IF(ISBLANK(NeoBer1700!$D$42),"",NeoBer1700!$D$42)</f>
        <v>5000</v>
      </c>
      <c r="C645">
        <v>5000</v>
      </c>
    </row>
    <row r="646" spans="1:3" x14ac:dyDescent="0.2">
      <c r="A646" s="320" t="s">
        <v>3157</v>
      </c>
      <c r="B646">
        <f>IF(ISBLANK(NeoBer1700!$D$41),"",NeoBer1700!$D$41)</f>
        <v>5000</v>
      </c>
      <c r="C646">
        <v>5000</v>
      </c>
    </row>
    <row r="647" spans="1:3" x14ac:dyDescent="0.2">
      <c r="A647" s="320" t="s">
        <v>3159</v>
      </c>
      <c r="B647">
        <f>IF(ISBLANK(NeoBer1700!$D$44),"",NeoBer1700!$D$44)</f>
        <v>5000</v>
      </c>
      <c r="C647">
        <v>5000</v>
      </c>
    </row>
    <row r="648" spans="1:3" x14ac:dyDescent="0.2">
      <c r="A648" s="320" t="s">
        <v>3175</v>
      </c>
      <c r="B648">
        <f>IF(ISBLANK(NeoBer1700!$F$20),"",NeoBer1700!$F$20)</f>
        <v>0</v>
      </c>
      <c r="C648">
        <v>0</v>
      </c>
    </row>
    <row r="649" spans="1:3" x14ac:dyDescent="0.2">
      <c r="A649" s="320" t="s">
        <v>3176</v>
      </c>
      <c r="B649">
        <f>IF(ISBLANK(NeoBer1700!$F$21),"",NeoBer1700!$F$21)</f>
        <v>0</v>
      </c>
      <c r="C649">
        <v>0</v>
      </c>
    </row>
    <row r="650" spans="1:3" x14ac:dyDescent="0.2">
      <c r="A650" s="320" t="s">
        <v>3177</v>
      </c>
      <c r="B650">
        <f>IF(ISBLANK(NeoBer1700!$F$22),"",NeoBer1700!$F$22)</f>
        <v>0</v>
      </c>
      <c r="C650">
        <v>0</v>
      </c>
    </row>
    <row r="651" spans="1:3" x14ac:dyDescent="0.2">
      <c r="A651" s="320" t="s">
        <v>3178</v>
      </c>
      <c r="B651">
        <f>IF(ISBLANK(NeoBer1700!$F$23),"",NeoBer1700!$F$23)</f>
        <v>0</v>
      </c>
      <c r="C651">
        <v>0</v>
      </c>
    </row>
    <row r="652" spans="1:3" x14ac:dyDescent="0.2">
      <c r="A652" s="320" t="s">
        <v>3179</v>
      </c>
      <c r="B652">
        <f>IF(ISBLANK(NeoBer1700!$F$24),"",NeoBer1700!$F$24)</f>
        <v>0</v>
      </c>
      <c r="C652">
        <v>0</v>
      </c>
    </row>
    <row r="653" spans="1:3" x14ac:dyDescent="0.2">
      <c r="A653" s="320" t="s">
        <v>3180</v>
      </c>
      <c r="B653">
        <f>IF(ISBLANK(NeoBer1700!$F$25),"",NeoBer1700!$F$25)</f>
        <v>0</v>
      </c>
      <c r="C653">
        <v>0</v>
      </c>
    </row>
    <row r="654" spans="1:3" x14ac:dyDescent="0.2">
      <c r="A654" s="320" t="s">
        <v>3181</v>
      </c>
      <c r="B654">
        <f>IF(ISBLANK(NeoBer1700!$F$26),"",NeoBer1700!$F$26)</f>
        <v>0</v>
      </c>
      <c r="C654">
        <v>0</v>
      </c>
    </row>
    <row r="655" spans="1:3" x14ac:dyDescent="0.2">
      <c r="A655" s="320" t="s">
        <v>3182</v>
      </c>
      <c r="B655">
        <f>IF(ISBLANK(NeoBer1700!$F$27),"",NeoBer1700!$F$27)</f>
        <v>0</v>
      </c>
      <c r="C655">
        <v>0</v>
      </c>
    </row>
    <row r="656" spans="1:3" x14ac:dyDescent="0.2">
      <c r="A656" s="320" t="s">
        <v>3183</v>
      </c>
      <c r="B656">
        <f>IF(ISBLANK(NeoBer1700!$F$28),"",NeoBer1700!$F$28)</f>
        <v>0</v>
      </c>
      <c r="C656">
        <v>0</v>
      </c>
    </row>
    <row r="657" spans="1:3" x14ac:dyDescent="0.2">
      <c r="A657" s="320" t="s">
        <v>3172</v>
      </c>
      <c r="B657">
        <f>IF(ISBLANK(NeoBer1700!$F$29),"",NeoBer1700!$F$29)</f>
        <v>0</v>
      </c>
      <c r="C657">
        <v>0</v>
      </c>
    </row>
    <row r="658" spans="1:3" x14ac:dyDescent="0.2">
      <c r="A658" s="320" t="s">
        <v>3173</v>
      </c>
      <c r="B658">
        <f>IF(ISBLANK(NeoBer1700!$F$30),"",NeoBer1700!$F$30)</f>
        <v>0</v>
      </c>
      <c r="C658">
        <v>0</v>
      </c>
    </row>
    <row r="659" spans="1:3" x14ac:dyDescent="0.2">
      <c r="A659" s="320" t="s">
        <v>3174</v>
      </c>
      <c r="B659">
        <f>IF(ISBLANK(NeoBer1700!$F$31),"",NeoBer1700!$F$31)</f>
        <v>0</v>
      </c>
      <c r="C659">
        <v>0</v>
      </c>
    </row>
    <row r="660" spans="1:3" x14ac:dyDescent="0.2">
      <c r="A660" s="320" t="s">
        <v>3194</v>
      </c>
      <c r="B660" t="str">
        <f>IF(ISBLANK(NeoBer1700!$A$63),"",NeoBer1700!$A$63)</f>
        <v/>
      </c>
      <c r="C660" s="134"/>
    </row>
    <row r="661" spans="1:3" x14ac:dyDescent="0.2">
      <c r="A661" s="320" t="s">
        <v>3204</v>
      </c>
      <c r="B661">
        <f>IF(ISBLANK(NeoBer1700!$B$52),"",NeoBer1700!$B$52)</f>
        <v>1</v>
      </c>
      <c r="C661">
        <v>1</v>
      </c>
    </row>
    <row r="662" spans="1:3" x14ac:dyDescent="0.2">
      <c r="A662" s="320" t="s">
        <v>3205</v>
      </c>
      <c r="B662">
        <f>IF(ISBLANK(NeoBer1700!$B$53),"",NeoBer1700!$B$53)</f>
        <v>1</v>
      </c>
      <c r="C662">
        <v>1</v>
      </c>
    </row>
    <row r="663" spans="1:3" x14ac:dyDescent="0.2">
      <c r="A663" s="320" t="s">
        <v>3206</v>
      </c>
      <c r="B663">
        <f>IF(ISBLANK(NeoBer1700!$B$54),"",NeoBer1700!$B$54)</f>
        <v>1</v>
      </c>
      <c r="C663">
        <v>1</v>
      </c>
    </row>
    <row r="664" spans="1:3" x14ac:dyDescent="0.2">
      <c r="A664" s="320" t="s">
        <v>3207</v>
      </c>
      <c r="B664">
        <f>IF(ISBLANK(NeoBer1700!$B$55),"",NeoBer1700!$B$55)</f>
        <v>1</v>
      </c>
      <c r="C664">
        <v>1</v>
      </c>
    </row>
    <row r="665" spans="1:3" x14ac:dyDescent="0.2">
      <c r="A665" s="320" t="s">
        <v>3208</v>
      </c>
      <c r="B665">
        <f>IF(ISBLANK(NeoBer1700!$B$56),"",NeoBer1700!$B$56)</f>
        <v>1</v>
      </c>
      <c r="C665">
        <v>1</v>
      </c>
    </row>
    <row r="666" spans="1:3" x14ac:dyDescent="0.2">
      <c r="A666" s="320" t="s">
        <v>3209</v>
      </c>
      <c r="B666">
        <f>IF(ISBLANK(NeoBer1700!$B$58),"",NeoBer1700!$B$58)</f>
        <v>1</v>
      </c>
      <c r="C666">
        <v>1</v>
      </c>
    </row>
    <row r="667" spans="1:3" x14ac:dyDescent="0.2">
      <c r="A667" s="320" t="s">
        <v>3210</v>
      </c>
      <c r="B667">
        <f>IF(ISBLANK(NeoBer1700!$B$59),"",NeoBer1700!$B$59)</f>
        <v>1</v>
      </c>
      <c r="C667">
        <v>1</v>
      </c>
    </row>
    <row r="668" spans="1:3" x14ac:dyDescent="0.2">
      <c r="A668" s="320" t="s">
        <v>3211</v>
      </c>
      <c r="B668">
        <f>IF(ISBLANK(NeoBer1700!$B$60),"",NeoBer1700!$B$60)</f>
        <v>1</v>
      </c>
      <c r="C668">
        <v>1</v>
      </c>
    </row>
    <row r="669" spans="1:3" x14ac:dyDescent="0.2">
      <c r="A669" s="320" t="s">
        <v>3212</v>
      </c>
      <c r="B669">
        <f>IF(ISBLANK(NeoBer1700!$B$61),"",NeoBer1700!$B$61)</f>
        <v>1</v>
      </c>
      <c r="C669">
        <v>1</v>
      </c>
    </row>
    <row r="670" spans="1:3" x14ac:dyDescent="0.2">
      <c r="A670" s="320" t="s">
        <v>3006</v>
      </c>
      <c r="B670">
        <f>IF(ISBLANK(NeoBer1700!$J$14),"",NeoBer1700!$J$14)</f>
        <v>1</v>
      </c>
      <c r="C670">
        <v>1</v>
      </c>
    </row>
    <row r="671" spans="1:3" x14ac:dyDescent="0.2">
      <c r="A671" s="320" t="s">
        <v>3007</v>
      </c>
      <c r="B671">
        <f>IF(ISBLANK(NeoBer1700!$J$20),"",NeoBer1700!$J$20)</f>
        <v>0</v>
      </c>
      <c r="C671">
        <v>0</v>
      </c>
    </row>
    <row r="672" spans="1:3" x14ac:dyDescent="0.2">
      <c r="A672" s="320" t="s">
        <v>3012</v>
      </c>
      <c r="B672">
        <f>IF(ISBLANK(NeoBer1700!$J$21),"",NeoBer1700!$J$21)</f>
        <v>0</v>
      </c>
      <c r="C672">
        <v>0</v>
      </c>
    </row>
    <row r="673" spans="1:3" x14ac:dyDescent="0.2">
      <c r="A673" s="320" t="s">
        <v>3013</v>
      </c>
      <c r="B673">
        <f>IF(ISBLANK(NeoBer1700!$J$22),"",NeoBer1700!$J$22)</f>
        <v>0</v>
      </c>
      <c r="C673">
        <v>0</v>
      </c>
    </row>
    <row r="674" spans="1:3" x14ac:dyDescent="0.2">
      <c r="A674" s="320" t="s">
        <v>3014</v>
      </c>
      <c r="B674">
        <f>IF(ISBLANK(NeoBer1700!$J$23),"",NeoBer1700!$J$23)</f>
        <v>0</v>
      </c>
      <c r="C674">
        <v>0</v>
      </c>
    </row>
    <row r="675" spans="1:3" x14ac:dyDescent="0.2">
      <c r="A675" s="320" t="s">
        <v>3015</v>
      </c>
      <c r="B675">
        <f>IF(ISBLANK(NeoBer1700!$J$24),"",NeoBer1700!$J$24)</f>
        <v>0</v>
      </c>
      <c r="C675">
        <v>0</v>
      </c>
    </row>
    <row r="676" spans="1:3" x14ac:dyDescent="0.2">
      <c r="A676" s="320" t="s">
        <v>3016</v>
      </c>
      <c r="B676">
        <f>IF(ISBLANK(NeoBer1700!$J$25),"",NeoBer1700!$J$25)</f>
        <v>0</v>
      </c>
      <c r="C676">
        <v>0</v>
      </c>
    </row>
    <row r="677" spans="1:3" x14ac:dyDescent="0.2">
      <c r="A677" s="320" t="s">
        <v>3017</v>
      </c>
      <c r="B677">
        <f>IF(ISBLANK(NeoBer1700!$J$26),"",NeoBer1700!$J$26)</f>
        <v>0</v>
      </c>
      <c r="C677">
        <v>0</v>
      </c>
    </row>
    <row r="678" spans="1:3" x14ac:dyDescent="0.2">
      <c r="A678" s="320" t="s">
        <v>3018</v>
      </c>
      <c r="B678">
        <f>IF(ISBLANK(NeoBer1700!$J$27),"",NeoBer1700!$J$27)</f>
        <v>0</v>
      </c>
      <c r="C678">
        <v>0</v>
      </c>
    </row>
    <row r="679" spans="1:3" x14ac:dyDescent="0.2">
      <c r="A679" s="320" t="s">
        <v>3019</v>
      </c>
      <c r="B679">
        <f>IF(ISBLANK(NeoBer1700!$J$28),"",NeoBer1700!$J$28)</f>
        <v>0</v>
      </c>
      <c r="C679">
        <v>0</v>
      </c>
    </row>
    <row r="680" spans="1:3" x14ac:dyDescent="0.2">
      <c r="A680" s="320" t="s">
        <v>3008</v>
      </c>
      <c r="B680" t="b">
        <f>IF(ISBLANK(NeoBer1700!$J$18),"",NeoBer1700!$J$18)</f>
        <v>0</v>
      </c>
      <c r="C680" t="b">
        <v>0</v>
      </c>
    </row>
    <row r="681" spans="1:3" x14ac:dyDescent="0.2">
      <c r="A681" s="320" t="s">
        <v>3009</v>
      </c>
      <c r="B681" t="b">
        <f>IF(ISBLANK(NeoBer1700!$J$29),"",NeoBer1700!$J$29)</f>
        <v>0</v>
      </c>
      <c r="C681" t="b">
        <v>0</v>
      </c>
    </row>
    <row r="682" spans="1:3" x14ac:dyDescent="0.2">
      <c r="A682" s="320" t="s">
        <v>3010</v>
      </c>
      <c r="B682" t="b">
        <f>IF(ISBLANK(NeoBer1700!$J$30),"",NeoBer1700!$J$30)</f>
        <v>0</v>
      </c>
      <c r="C682" t="b">
        <v>0</v>
      </c>
    </row>
    <row r="683" spans="1:3" x14ac:dyDescent="0.2">
      <c r="A683" s="320" t="s">
        <v>3011</v>
      </c>
      <c r="B683" t="b">
        <f>IF(ISBLANK(NeoBer1700!$J$31),"",NeoBer1700!$J$31)</f>
        <v>0</v>
      </c>
      <c r="C683" t="b">
        <v>0</v>
      </c>
    </row>
    <row r="684" spans="1:3" x14ac:dyDescent="0.2">
      <c r="A684" s="320" t="s">
        <v>3216</v>
      </c>
      <c r="B684">
        <f>IF(ISBLANK(NeoBer1700!$D$14),"",NeoBer1700!$D$14)</f>
        <v>1</v>
      </c>
      <c r="C684">
        <v>1</v>
      </c>
    </row>
    <row r="685" spans="1:3" x14ac:dyDescent="0.2">
      <c r="A685" s="320" t="s">
        <v>2191</v>
      </c>
      <c r="B685" t="b">
        <f>IF(ISBLANK(NeoBerAfspr!$B$22),"",NeoBerAfspr!$B$22)</f>
        <v>0</v>
      </c>
      <c r="C685" t="b">
        <v>0</v>
      </c>
    </row>
    <row r="686" spans="1:3" x14ac:dyDescent="0.2">
      <c r="A686" s="320" t="s">
        <v>2192</v>
      </c>
      <c r="B686" t="b">
        <f>IF(ISBLANK(NeoBerAfspr!$D$11),"",NeoBerAfspr!$D$11)</f>
        <v>0</v>
      </c>
      <c r="C686" s="320" t="b">
        <v>0</v>
      </c>
    </row>
    <row r="687" spans="1:3" x14ac:dyDescent="0.2">
      <c r="A687" s="320" t="s">
        <v>2193</v>
      </c>
      <c r="B687" t="b">
        <f>IF(ISBLANK(NeoBerAfspr!$D$12),"",NeoBerAfspr!$D$12)</f>
        <v>0</v>
      </c>
      <c r="C687" s="320" t="b">
        <v>0</v>
      </c>
    </row>
    <row r="688" spans="1:3" x14ac:dyDescent="0.2">
      <c r="A688" s="320" t="s">
        <v>2194</v>
      </c>
      <c r="B688" t="b">
        <f>IF(ISBLANK(NeoBerAfspr!$D$13),"",NeoBerAfspr!$D$13)</f>
        <v>0</v>
      </c>
      <c r="C688" s="320" t="b">
        <v>0</v>
      </c>
    </row>
    <row r="689" spans="1:3" x14ac:dyDescent="0.2">
      <c r="A689" s="320" t="s">
        <v>2195</v>
      </c>
      <c r="B689" t="b">
        <f>IF(ISBLANK(NeoBerAfspr!$D$14),"",NeoBerAfspr!$D$14)</f>
        <v>0</v>
      </c>
      <c r="C689" s="320" t="b">
        <v>0</v>
      </c>
    </row>
    <row r="690" spans="1:3" x14ac:dyDescent="0.2">
      <c r="A690" s="320" t="s">
        <v>2196</v>
      </c>
      <c r="B690" t="b">
        <f>IF(ISBLANK(NeoBerAfspr!$F$7),"",NeoBerAfspr!$F$7)</f>
        <v>0</v>
      </c>
      <c r="C690" s="320" t="b">
        <v>0</v>
      </c>
    </row>
    <row r="691" spans="1:3" x14ac:dyDescent="0.2">
      <c r="A691" s="320" t="s">
        <v>2197</v>
      </c>
      <c r="B691" t="b">
        <f>IF(ISBLANK(NeoBerAfspr!$J$7),"",NeoBerAfspr!$J$7)</f>
        <v>0</v>
      </c>
      <c r="C691" s="320" t="b">
        <v>0</v>
      </c>
    </row>
    <row r="692" spans="1:3" x14ac:dyDescent="0.2">
      <c r="A692" s="320" t="s">
        <v>2198</v>
      </c>
      <c r="B692" t="b">
        <f>IF(ISBLANK(NeoBerAfspr!$B$23),"",NeoBerAfspr!$B$23)</f>
        <v>0</v>
      </c>
      <c r="C692" s="320" t="b">
        <v>0</v>
      </c>
    </row>
    <row r="693" spans="1:3" x14ac:dyDescent="0.2">
      <c r="A693" s="320" t="s">
        <v>2199</v>
      </c>
      <c r="B693" t="b">
        <f>IF(ISBLANK(NeoBerAfspr!$B$24),"",NeoBerAfspr!$B$24)</f>
        <v>0</v>
      </c>
      <c r="C693" s="320" t="b">
        <v>0</v>
      </c>
    </row>
    <row r="694" spans="1:3" x14ac:dyDescent="0.2">
      <c r="A694" s="320" t="s">
        <v>2200</v>
      </c>
      <c r="B694" t="b">
        <f>IF(ISBLANK(NeoBerAfspr!$B$25),"",NeoBerAfspr!$B$25)</f>
        <v>0</v>
      </c>
      <c r="C694" s="320" t="b">
        <v>0</v>
      </c>
    </row>
    <row r="695" spans="1:3" x14ac:dyDescent="0.2">
      <c r="A695" s="320" t="s">
        <v>2201</v>
      </c>
      <c r="B695" t="b">
        <f>IF(ISBLANK(NeoBerAfspr!$B$26),"",NeoBerAfspr!$B$26)</f>
        <v>0</v>
      </c>
      <c r="C695" s="320" t="b">
        <v>0</v>
      </c>
    </row>
    <row r="696" spans="1:3" x14ac:dyDescent="0.2">
      <c r="A696" s="320" t="s">
        <v>2202</v>
      </c>
      <c r="B696" t="b">
        <f>IF(ISBLANK(NeoBerAfspr!$H$8),"",NeoBerAfspr!$H$8)</f>
        <v>0</v>
      </c>
      <c r="C696" s="320" t="b">
        <v>0</v>
      </c>
    </row>
    <row r="697" spans="1:3" x14ac:dyDescent="0.2">
      <c r="A697" s="320" t="s">
        <v>2203</v>
      </c>
      <c r="B697" t="b">
        <f>IF(ISBLANK(NeoBerAfspr!$F$8),"",NeoBerAfspr!$F$8)</f>
        <v>0</v>
      </c>
      <c r="C697" s="320" t="b">
        <v>0</v>
      </c>
    </row>
    <row r="698" spans="1:3" x14ac:dyDescent="0.2">
      <c r="A698" s="320" t="s">
        <v>2204</v>
      </c>
      <c r="B698" t="b">
        <f>IF(ISBLANK(NeoBerAfspr!$H$9),"",NeoBerAfspr!$H$9)</f>
        <v>0</v>
      </c>
      <c r="C698" s="320" t="b">
        <v>0</v>
      </c>
    </row>
    <row r="699" spans="1:3" x14ac:dyDescent="0.2">
      <c r="A699" s="320" t="s">
        <v>2205</v>
      </c>
      <c r="B699" t="b">
        <f>IF(ISBLANK(NeoBerAfspr!$H$10),"",NeoBerAfspr!$H$10)</f>
        <v>0</v>
      </c>
      <c r="C699" s="320" t="b">
        <v>0</v>
      </c>
    </row>
    <row r="700" spans="1:3" x14ac:dyDescent="0.2">
      <c r="A700" s="320" t="s">
        <v>2206</v>
      </c>
      <c r="B700" t="b">
        <f>IF(ISBLANK(NeoBerAfspr!$H$11),"",NeoBerAfspr!$H$11)</f>
        <v>0</v>
      </c>
      <c r="C700" s="320" t="b">
        <v>0</v>
      </c>
    </row>
    <row r="701" spans="1:3" x14ac:dyDescent="0.2">
      <c r="A701" s="320" t="s">
        <v>2207</v>
      </c>
      <c r="B701" t="b">
        <f>IF(ISBLANK(NeoBerAfspr!$B$7),"",NeoBerAfspr!$B$7)</f>
        <v>0</v>
      </c>
      <c r="C701" s="320" t="b">
        <v>0</v>
      </c>
    </row>
    <row r="702" spans="1:3" x14ac:dyDescent="0.2">
      <c r="A702" s="320" t="s">
        <v>2208</v>
      </c>
      <c r="B702" t="b">
        <f>IF(ISBLANK(NeoBerAfspr!$J$29),"",NeoBerAfspr!$J$29)</f>
        <v>0</v>
      </c>
      <c r="C702" s="320" t="b">
        <v>0</v>
      </c>
    </row>
    <row r="703" spans="1:3" x14ac:dyDescent="0.2">
      <c r="A703" s="320" t="s">
        <v>2209</v>
      </c>
      <c r="B703" t="b">
        <f>IF(ISBLANK(NeoBerAfspr!$J$8),"",NeoBerAfspr!$J$8)</f>
        <v>0</v>
      </c>
      <c r="C703" s="320" t="b">
        <v>0</v>
      </c>
    </row>
    <row r="704" spans="1:3" x14ac:dyDescent="0.2">
      <c r="A704" s="320" t="s">
        <v>2210</v>
      </c>
      <c r="B704" t="b">
        <f>IF(ISBLANK(NeoBerAfspr!$J$9),"",NeoBerAfspr!$J$9)</f>
        <v>0</v>
      </c>
      <c r="C704" s="320" t="b">
        <v>0</v>
      </c>
    </row>
    <row r="705" spans="1:3" x14ac:dyDescent="0.2">
      <c r="A705" s="320" t="s">
        <v>2211</v>
      </c>
      <c r="B705" t="b">
        <f>IF(ISBLANK(NeoBerAfspr!$B$8),"",NeoBerAfspr!$B$8)</f>
        <v>0</v>
      </c>
      <c r="C705" s="320" t="b">
        <v>0</v>
      </c>
    </row>
    <row r="706" spans="1:3" x14ac:dyDescent="0.2">
      <c r="A706" s="320" t="s">
        <v>2212</v>
      </c>
      <c r="B706" t="b">
        <f>IF(ISBLANK(NeoBerAfspr!$J$10),"",NeoBerAfspr!$J$10)</f>
        <v>0</v>
      </c>
      <c r="C706" s="320" t="b">
        <v>0</v>
      </c>
    </row>
    <row r="707" spans="1:3" s="320" customFormat="1" x14ac:dyDescent="0.2">
      <c r="A707" s="320" t="s">
        <v>2213</v>
      </c>
      <c r="B707" t="b">
        <f>IF(ISBLANK(NeoBerAfspr!$J$11),"",NeoBerAfspr!$J$11)</f>
        <v>0</v>
      </c>
      <c r="C707" s="320" t="b">
        <v>0</v>
      </c>
    </row>
    <row r="708" spans="1:3" x14ac:dyDescent="0.2">
      <c r="A708" s="320" t="s">
        <v>2214</v>
      </c>
      <c r="B708" t="b">
        <f>IF(ISBLANK(NeoBerAfspr!$F$12),"",NeoBerAfspr!$F$12)</f>
        <v>0</v>
      </c>
      <c r="C708" s="320" t="b">
        <v>0</v>
      </c>
    </row>
    <row r="709" spans="1:3" x14ac:dyDescent="0.2">
      <c r="A709" s="320" t="s">
        <v>2215</v>
      </c>
      <c r="B709" t="b">
        <f>IF(ISBLANK(NeoBerAfspr!$B$9),"",NeoBerAfspr!$B$9)</f>
        <v>0</v>
      </c>
      <c r="C709" s="320" t="b">
        <v>0</v>
      </c>
    </row>
    <row r="710" spans="1:3" x14ac:dyDescent="0.2">
      <c r="A710" s="320" t="s">
        <v>2216</v>
      </c>
      <c r="B710" t="b">
        <f>IF(ISBLANK(NeoBerAfspr!$B$46),"",NeoBerAfspr!$B$46)</f>
        <v>0</v>
      </c>
      <c r="C710" s="320" t="b">
        <v>0</v>
      </c>
    </row>
    <row r="711" spans="1:3" x14ac:dyDescent="0.2">
      <c r="A711" s="320" t="s">
        <v>2217</v>
      </c>
      <c r="B711" t="b">
        <f>IF(ISBLANK(NeoBerAfspr!$J$12),"",NeoBerAfspr!$J$12)</f>
        <v>0</v>
      </c>
      <c r="C711" s="320" t="b">
        <v>0</v>
      </c>
    </row>
    <row r="712" spans="1:3" s="320" customFormat="1" x14ac:dyDescent="0.2">
      <c r="A712" s="320" t="s">
        <v>2218</v>
      </c>
      <c r="B712" t="b">
        <f>IF(ISBLANK(NeoBerAfspr!$B$10),"",NeoBerAfspr!$B$10)</f>
        <v>0</v>
      </c>
      <c r="C712" s="320" t="b">
        <v>0</v>
      </c>
    </row>
    <row r="713" spans="1:3" s="320" customFormat="1" x14ac:dyDescent="0.2">
      <c r="A713" s="320" t="s">
        <v>2219</v>
      </c>
      <c r="B713" t="b">
        <f>IF(ISBLANK(NeoBerAfspr!$B$27),"",NeoBerAfspr!$B$27)</f>
        <v>0</v>
      </c>
      <c r="C713" s="320" t="b">
        <v>0</v>
      </c>
    </row>
    <row r="714" spans="1:3" s="320" customFormat="1" x14ac:dyDescent="0.2">
      <c r="A714" s="320" t="s">
        <v>2220</v>
      </c>
      <c r="B714" t="b">
        <f>IF(ISBLANK(NeoBerAfspr!$F$13),"",NeoBerAfspr!$F$13)</f>
        <v>0</v>
      </c>
      <c r="C714" s="320" t="b">
        <v>0</v>
      </c>
    </row>
    <row r="715" spans="1:3" s="320" customFormat="1" x14ac:dyDescent="0.2">
      <c r="A715" s="320" t="s">
        <v>2221</v>
      </c>
      <c r="B715" t="b">
        <f>IF(ISBLANK(NeoBerAfspr!$H$13),"",NeoBerAfspr!$H$13)</f>
        <v>0</v>
      </c>
      <c r="C715" s="320" t="b">
        <v>0</v>
      </c>
    </row>
    <row r="716" spans="1:3" x14ac:dyDescent="0.2">
      <c r="A716" s="320" t="s">
        <v>2222</v>
      </c>
      <c r="B716" t="b">
        <f>IF(ISBLANK(NeoBerAfspr!$B$11),"",NeoBerAfspr!$B$11)</f>
        <v>0</v>
      </c>
      <c r="C716" s="320" t="b">
        <v>0</v>
      </c>
    </row>
    <row r="717" spans="1:3" x14ac:dyDescent="0.2">
      <c r="A717" s="320" t="s">
        <v>2223</v>
      </c>
      <c r="B717" t="b">
        <f>IF(ISBLANK(NeoBerAfspr!$B$15),"",NeoBerAfspr!$B$15)</f>
        <v>0</v>
      </c>
      <c r="C717" s="320" t="b">
        <v>0</v>
      </c>
    </row>
    <row r="718" spans="1:3" x14ac:dyDescent="0.2">
      <c r="A718" s="320" t="s">
        <v>2224</v>
      </c>
      <c r="B718" t="b">
        <f>IF(ISBLANK(NeoBerAfspr!$B$28),"",NeoBerAfspr!$B$28)</f>
        <v>0</v>
      </c>
      <c r="C718" s="320" t="b">
        <v>0</v>
      </c>
    </row>
    <row r="719" spans="1:3" x14ac:dyDescent="0.2">
      <c r="A719" s="320" t="s">
        <v>2225</v>
      </c>
      <c r="B719" t="b">
        <f>IF(ISBLANK(NeoBerAfspr!$B$29),"",NeoBerAfspr!$B$29)</f>
        <v>0</v>
      </c>
      <c r="C719" s="320" t="b">
        <v>0</v>
      </c>
    </row>
    <row r="720" spans="1:3" x14ac:dyDescent="0.2">
      <c r="A720" s="320" t="s">
        <v>2226</v>
      </c>
      <c r="B720" t="b">
        <f>IF(ISBLANK(NeoBerAfspr!$B$30),"",NeoBerAfspr!$B$30)</f>
        <v>0</v>
      </c>
      <c r="C720" s="320" t="b">
        <v>0</v>
      </c>
    </row>
    <row r="721" spans="1:3" x14ac:dyDescent="0.2">
      <c r="A721" s="320" t="s">
        <v>2227</v>
      </c>
      <c r="B721" t="b">
        <f>IF(ISBLANK(NeoBerAfspr!$J$15),"",NeoBerAfspr!$J$15)</f>
        <v>0</v>
      </c>
      <c r="C721" s="320" t="b">
        <v>0</v>
      </c>
    </row>
    <row r="722" spans="1:3" x14ac:dyDescent="0.2">
      <c r="A722" s="320" t="s">
        <v>2228</v>
      </c>
      <c r="B722" t="b">
        <f>IF(ISBLANK(NeoBerAfspr!$J$13),"",NeoBerAfspr!$J$13)</f>
        <v>0</v>
      </c>
      <c r="C722" s="320" t="b">
        <v>0</v>
      </c>
    </row>
    <row r="723" spans="1:3" x14ac:dyDescent="0.2">
      <c r="A723" s="320" t="s">
        <v>2229</v>
      </c>
      <c r="B723" t="b">
        <f>IF(ISBLANK(NeoBerAfspr!$J$14),"",NeoBerAfspr!$J$14)</f>
        <v>0</v>
      </c>
      <c r="C723" s="320" t="b">
        <v>0</v>
      </c>
    </row>
    <row r="724" spans="1:3" x14ac:dyDescent="0.2">
      <c r="A724" s="320" t="s">
        <v>2230</v>
      </c>
      <c r="B724" t="b">
        <f>IF(ISBLANK(NeoBerAfspr!$F$14),"",NeoBerAfspr!$F$14)</f>
        <v>0</v>
      </c>
      <c r="C724" s="320" t="b">
        <v>0</v>
      </c>
    </row>
    <row r="725" spans="1:3" x14ac:dyDescent="0.2">
      <c r="A725" s="320" t="s">
        <v>2231</v>
      </c>
      <c r="B725" t="b">
        <f>IF(ISBLANK(NeoBerAfspr!$H$16),"",NeoBerAfspr!$H$16)</f>
        <v>0</v>
      </c>
      <c r="C725" s="320" t="b">
        <v>0</v>
      </c>
    </row>
    <row r="726" spans="1:3" x14ac:dyDescent="0.2">
      <c r="A726" s="320" t="s">
        <v>2232</v>
      </c>
      <c r="B726" s="320" t="b">
        <f>IF(ISBLANK(NeoBerAfspr!$F$15),"",NeoBerAfspr!$F$15)</f>
        <v>0</v>
      </c>
      <c r="C726" s="320" t="b">
        <v>0</v>
      </c>
    </row>
    <row r="727" spans="1:3" x14ac:dyDescent="0.2">
      <c r="A727" s="320" t="s">
        <v>2233</v>
      </c>
      <c r="B727" s="320" t="b">
        <f>IF(ISBLANK(NeoBerAfspr!$H$15),"",NeoBerAfspr!$H$15)</f>
        <v>0</v>
      </c>
      <c r="C727" s="320" t="b">
        <v>0</v>
      </c>
    </row>
    <row r="728" spans="1:3" x14ac:dyDescent="0.2">
      <c r="A728" s="320" t="s">
        <v>2234</v>
      </c>
      <c r="B728" s="320" t="b">
        <f>IF(ISBLANK(NeoBerAfspr!$J$16),"",NeoBerAfspr!$J$16)</f>
        <v>0</v>
      </c>
      <c r="C728" s="320" t="b">
        <v>0</v>
      </c>
    </row>
    <row r="729" spans="1:3" x14ac:dyDescent="0.2">
      <c r="A729" s="320" t="s">
        <v>2235</v>
      </c>
      <c r="B729" s="320" t="b">
        <f>IF(ISBLANK(NeoBerAfspr!$B$43),"",NeoBerAfspr!$B$43)</f>
        <v>0</v>
      </c>
      <c r="C729" s="320" t="b">
        <v>0</v>
      </c>
    </row>
    <row r="730" spans="1:3" x14ac:dyDescent="0.2">
      <c r="A730" s="320" t="s">
        <v>2236</v>
      </c>
      <c r="B730" s="320" t="b">
        <f>IF(ISBLANK(NeoBerAfspr!$D$43),"",NeoBerAfspr!$D$43)</f>
        <v>0</v>
      </c>
      <c r="C730" s="320" t="b">
        <v>0</v>
      </c>
    </row>
    <row r="731" spans="1:3" x14ac:dyDescent="0.2">
      <c r="A731" s="320" t="s">
        <v>2237</v>
      </c>
      <c r="B731" s="320" t="b">
        <f>IF(ISBLANK(NeoBerAfspr!$B$44),"",NeoBerAfspr!$B$44)</f>
        <v>0</v>
      </c>
      <c r="C731" s="320" t="b">
        <v>0</v>
      </c>
    </row>
    <row r="732" spans="1:3" x14ac:dyDescent="0.2">
      <c r="A732" s="320" t="s">
        <v>2238</v>
      </c>
      <c r="B732" s="320" t="b">
        <f>IF(ISBLANK(NeoBerAfspr!$D$44),"",NeoBerAfspr!$D$44)</f>
        <v>0</v>
      </c>
      <c r="C732" s="320" t="b">
        <v>0</v>
      </c>
    </row>
    <row r="733" spans="1:3" x14ac:dyDescent="0.2">
      <c r="A733" s="320" t="s">
        <v>2239</v>
      </c>
      <c r="B733" s="320" t="b">
        <f>IF(ISBLANK(NeoBerAfspr!$B$45),"",NeoBerAfspr!$B$45)</f>
        <v>0</v>
      </c>
      <c r="C733" s="320" t="b">
        <v>0</v>
      </c>
    </row>
    <row r="734" spans="1:3" x14ac:dyDescent="0.2">
      <c r="A734" s="320" t="s">
        <v>2240</v>
      </c>
      <c r="B734" s="320" t="b">
        <f>IF(ISBLANK(NeoBerAfspr!$D$45),"",NeoBerAfspr!$D$45)</f>
        <v>0</v>
      </c>
      <c r="C734" s="320" t="b">
        <v>0</v>
      </c>
    </row>
    <row r="735" spans="1:3" x14ac:dyDescent="0.2">
      <c r="A735" s="320" t="s">
        <v>2241</v>
      </c>
      <c r="B735" s="320" t="b">
        <f>IF(ISBLANK(NeoBerAfspr!$J$17),"",NeoBerAfspr!$J$17)</f>
        <v>0</v>
      </c>
      <c r="C735" s="320" t="b">
        <v>0</v>
      </c>
    </row>
    <row r="736" spans="1:3" x14ac:dyDescent="0.2">
      <c r="A736" s="320" t="s">
        <v>2242</v>
      </c>
      <c r="B736" t="b">
        <f>IF(ISBLANK(NeoBerAfspr!$J$18),"",NeoBerAfspr!$J$18)</f>
        <v>0</v>
      </c>
      <c r="C736" s="320" t="b">
        <v>0</v>
      </c>
    </row>
    <row r="737" spans="1:3" s="320" customFormat="1" x14ac:dyDescent="0.2">
      <c r="A737" s="320" t="s">
        <v>2243</v>
      </c>
      <c r="B737" t="b">
        <f>IF(ISBLANK(NeoBerAfspr!$F$17),"",NeoBerAfspr!$F$17)</f>
        <v>0</v>
      </c>
      <c r="C737" s="320" t="b">
        <v>0</v>
      </c>
    </row>
    <row r="738" spans="1:3" x14ac:dyDescent="0.2">
      <c r="A738" s="320" t="s">
        <v>2244</v>
      </c>
      <c r="B738" t="b">
        <f>IF(ISBLANK(NeoBerAfspr!$B$16),"",NeoBerAfspr!$B$16)</f>
        <v>0</v>
      </c>
      <c r="C738" s="320" t="b">
        <v>0</v>
      </c>
    </row>
    <row r="739" spans="1:3" x14ac:dyDescent="0.2">
      <c r="A739" s="320" t="s">
        <v>2245</v>
      </c>
      <c r="B739" t="b">
        <f>IF(ISBLANK(NeoBerAfspr!$B$17),"",NeoBerAfspr!$B$17)</f>
        <v>0</v>
      </c>
      <c r="C739" s="320" t="b">
        <v>0</v>
      </c>
    </row>
    <row r="740" spans="1:3" x14ac:dyDescent="0.2">
      <c r="A740" s="320" t="s">
        <v>2246</v>
      </c>
      <c r="B740" t="b">
        <f>IF(ISBLANK(NeoBerAfspr!$B$18),"",NeoBerAfspr!$B$18)</f>
        <v>0</v>
      </c>
      <c r="C740" s="320" t="b">
        <v>0</v>
      </c>
    </row>
    <row r="741" spans="1:3" x14ac:dyDescent="0.2">
      <c r="A741" s="320" t="s">
        <v>2247</v>
      </c>
      <c r="B741" t="b">
        <f>IF(ISBLANK(NeoBerAfspr!$H$18),"",NeoBerAfspr!$H$18)</f>
        <v>0</v>
      </c>
      <c r="C741" s="320" t="b">
        <v>0</v>
      </c>
    </row>
    <row r="742" spans="1:3" s="320" customFormat="1" x14ac:dyDescent="0.2">
      <c r="A742" s="320" t="s">
        <v>2248</v>
      </c>
      <c r="B742" t="b">
        <f>IF(ISBLANK(NeoBerAfspr!$F$18),"",NeoBerAfspr!$F$18)</f>
        <v>0</v>
      </c>
      <c r="C742" s="320" t="b">
        <v>0</v>
      </c>
    </row>
    <row r="743" spans="1:3" s="320" customFormat="1" x14ac:dyDescent="0.2">
      <c r="A743" s="320" t="s">
        <v>2249</v>
      </c>
      <c r="B743" t="b">
        <f>IF(ISBLANK(NeoBerAfspr!$H$19),"",NeoBerAfspr!$H$19)</f>
        <v>0</v>
      </c>
      <c r="C743" s="320" t="b">
        <v>0</v>
      </c>
    </row>
    <row r="744" spans="1:3" s="320" customFormat="1" x14ac:dyDescent="0.2">
      <c r="A744" s="320" t="s">
        <v>2250</v>
      </c>
      <c r="B744" t="b">
        <f>IF(ISBLANK(NeoBerAfspr!$H$20),"",NeoBerAfspr!$H$20)</f>
        <v>0</v>
      </c>
      <c r="C744" s="320" t="b">
        <v>0</v>
      </c>
    </row>
    <row r="745" spans="1:3" s="320" customFormat="1" x14ac:dyDescent="0.2">
      <c r="A745" s="320" t="s">
        <v>2251</v>
      </c>
      <c r="B745" t="b">
        <f>IF(ISBLANK(NeoBerAfspr!$B$34),"",NeoBerAfspr!$B$34)</f>
        <v>0</v>
      </c>
      <c r="C745" s="320" t="b">
        <v>0</v>
      </c>
    </row>
    <row r="746" spans="1:3" x14ac:dyDescent="0.2">
      <c r="A746" s="320" t="s">
        <v>2252</v>
      </c>
      <c r="B746" t="b">
        <f>IF(ISBLANK(NeoBerAfspr!$B$37),"",NeoBerAfspr!$B$37)</f>
        <v>0</v>
      </c>
      <c r="C746" s="320" t="b">
        <v>0</v>
      </c>
    </row>
    <row r="747" spans="1:3" x14ac:dyDescent="0.2">
      <c r="A747" s="320" t="s">
        <v>2253</v>
      </c>
      <c r="B747" t="b">
        <f>IF(ISBLANK(NeoBerAfspr!$B$40),"",NeoBerAfspr!$B$40)</f>
        <v>0</v>
      </c>
      <c r="C747" s="320" t="b">
        <v>0</v>
      </c>
    </row>
    <row r="748" spans="1:3" x14ac:dyDescent="0.2">
      <c r="A748" s="320" t="s">
        <v>2254</v>
      </c>
      <c r="B748" t="b">
        <f>IF(ISBLANK(NeoBerAfspr!$F$21),"",NeoBerAfspr!$F$21)</f>
        <v>0</v>
      </c>
      <c r="C748" s="320" t="b">
        <v>0</v>
      </c>
    </row>
    <row r="749" spans="1:3" x14ac:dyDescent="0.2">
      <c r="A749" s="320" t="s">
        <v>2255</v>
      </c>
      <c r="B749" t="b">
        <f>IF(ISBLANK(NeoBerAfspr!$F$23),"",NeoBerAfspr!$F$23)</f>
        <v>0</v>
      </c>
      <c r="C749" s="320" t="b">
        <v>0</v>
      </c>
    </row>
    <row r="750" spans="1:3" x14ac:dyDescent="0.2">
      <c r="A750" s="320" t="s">
        <v>2256</v>
      </c>
      <c r="B750" t="b">
        <f>IF(ISBLANK(NeoBerAfspr!$H$27),"",NeoBerAfspr!$H$27)</f>
        <v>0</v>
      </c>
      <c r="C750" s="320" t="b">
        <v>0</v>
      </c>
    </row>
    <row r="751" spans="1:3" x14ac:dyDescent="0.2">
      <c r="A751" s="320" t="s">
        <v>2257</v>
      </c>
      <c r="B751" s="316" t="b">
        <f>IF(ISBLANK(NeoBerAfspr!$H$28),"",NeoBerAfspr!$H$28)</f>
        <v>0</v>
      </c>
      <c r="C751" s="320" t="b">
        <v>0</v>
      </c>
    </row>
    <row r="752" spans="1:3" x14ac:dyDescent="0.2">
      <c r="A752" s="320" t="s">
        <v>2258</v>
      </c>
      <c r="B752" s="316" t="b">
        <f>IF(ISBLANK(NeoBerAfspr!$F$22),"",NeoBerAfspr!$F$22)</f>
        <v>0</v>
      </c>
      <c r="C752" s="320" t="b">
        <v>0</v>
      </c>
    </row>
    <row r="753" spans="1:3" x14ac:dyDescent="0.2">
      <c r="A753" s="320" t="s">
        <v>2259</v>
      </c>
      <c r="B753" s="316" t="b">
        <f>IF(ISBLANK(NeoBerAfspr!$H$22),"",NeoBerAfspr!$H$22)</f>
        <v>0</v>
      </c>
      <c r="C753" s="320" t="b">
        <v>0</v>
      </c>
    </row>
    <row r="754" spans="1:3" x14ac:dyDescent="0.2">
      <c r="A754" s="320" t="s">
        <v>2260</v>
      </c>
      <c r="B754" s="316" t="b">
        <f>IF(ISBLANK(NeoBerAfspr!$H$29),"",NeoBerAfspr!$H$29)</f>
        <v>0</v>
      </c>
      <c r="C754" s="320" t="b">
        <v>0</v>
      </c>
    </row>
    <row r="755" spans="1:3" x14ac:dyDescent="0.2">
      <c r="A755" s="320" t="s">
        <v>2261</v>
      </c>
      <c r="B755" s="316" t="b">
        <f>IF(ISBLANK(NeoBerAfspr!$H$23),"",NeoBerAfspr!$H$23)</f>
        <v>0</v>
      </c>
      <c r="C755" s="320" t="b">
        <v>0</v>
      </c>
    </row>
    <row r="756" spans="1:3" x14ac:dyDescent="0.2">
      <c r="A756" s="320" t="s">
        <v>2262</v>
      </c>
      <c r="B756" s="316" t="b">
        <f>IF(ISBLANK(NeoBerAfspr!$H$30),"",NeoBerAfspr!$H$30)</f>
        <v>0</v>
      </c>
      <c r="C756" s="320" t="b">
        <v>0</v>
      </c>
    </row>
    <row r="757" spans="1:3" x14ac:dyDescent="0.2">
      <c r="A757" s="320" t="s">
        <v>2263</v>
      </c>
      <c r="B757" s="316" t="b">
        <f>IF(ISBLANK(NeoBerAfspr!$H$24),"",NeoBerAfspr!$H$24)</f>
        <v>0</v>
      </c>
      <c r="C757" s="320" t="b">
        <v>0</v>
      </c>
    </row>
    <row r="758" spans="1:3" x14ac:dyDescent="0.2">
      <c r="A758" s="320" t="s">
        <v>2264</v>
      </c>
      <c r="B758" s="316" t="b">
        <f>IF(ISBLANK(NeoBerAfspr!$H$25),"",NeoBerAfspr!$H$25)</f>
        <v>0</v>
      </c>
      <c r="C758" s="320" t="b">
        <v>0</v>
      </c>
    </row>
    <row r="759" spans="1:3" x14ac:dyDescent="0.2">
      <c r="A759" s="320" t="s">
        <v>2265</v>
      </c>
      <c r="B759" s="316" t="b">
        <f>IF(ISBLANK(NeoBerAfspr!$H$26),"",NeoBerAfspr!$H$26)</f>
        <v>0</v>
      </c>
      <c r="C759" s="320" t="b">
        <v>0</v>
      </c>
    </row>
    <row r="760" spans="1:3" x14ac:dyDescent="0.2">
      <c r="A760" s="320" t="s">
        <v>2266</v>
      </c>
      <c r="B760" s="316" t="b">
        <f>IF(ISBLANK(NeoBerAfspr!$J$19),"",NeoBerAfspr!$J$19)</f>
        <v>0</v>
      </c>
      <c r="C760" s="320" t="b">
        <v>0</v>
      </c>
    </row>
    <row r="761" spans="1:3" x14ac:dyDescent="0.2">
      <c r="A761" s="320" t="s">
        <v>2267</v>
      </c>
      <c r="B761" s="316" t="b">
        <f>IF(ISBLANK(NeoBerAfspr!$J$20),"",NeoBerAfspr!$J$20)</f>
        <v>0</v>
      </c>
      <c r="C761" s="320" t="b">
        <v>0</v>
      </c>
    </row>
    <row r="762" spans="1:3" x14ac:dyDescent="0.2">
      <c r="A762" s="320" t="s">
        <v>2268</v>
      </c>
      <c r="B762" s="316" t="b">
        <f>IF(ISBLANK(NeoBerAfspr!$L$23),"",NeoBerAfspr!$L$23)</f>
        <v>0</v>
      </c>
      <c r="C762" s="320" t="b">
        <v>0</v>
      </c>
    </row>
    <row r="763" spans="1:3" x14ac:dyDescent="0.2">
      <c r="A763" s="320" t="s">
        <v>2269</v>
      </c>
      <c r="B763" s="316" t="b">
        <f>IF(ISBLANK(NeoBerAfspr!$L$22),"",NeoBerAfspr!$L$22)</f>
        <v>0</v>
      </c>
      <c r="C763" s="320" t="b">
        <v>0</v>
      </c>
    </row>
    <row r="764" spans="1:3" x14ac:dyDescent="0.2">
      <c r="A764" s="320" t="s">
        <v>2270</v>
      </c>
      <c r="B764" s="316" t="b">
        <f>IF(ISBLANK(NeoBerAfspr!$L$21),"",NeoBerAfspr!$L$21)</f>
        <v>0</v>
      </c>
      <c r="C764" s="320" t="b">
        <v>0</v>
      </c>
    </row>
    <row r="765" spans="1:3" x14ac:dyDescent="0.2">
      <c r="A765" s="320" t="s">
        <v>2271</v>
      </c>
      <c r="B765" s="316" t="b">
        <f>IF(ISBLANK(NeoBerAfspr!$J$24),"",NeoBerAfspr!$J$24)</f>
        <v>0</v>
      </c>
      <c r="C765" s="320" t="b">
        <v>0</v>
      </c>
    </row>
    <row r="766" spans="1:3" x14ac:dyDescent="0.2">
      <c r="A766" s="320" t="s">
        <v>2272</v>
      </c>
      <c r="B766" s="316" t="b">
        <f>IF(ISBLANK(NeoBerAfspr!$L$24),"",NeoBerAfspr!$L$24)</f>
        <v>0</v>
      </c>
      <c r="C766" s="320" t="b">
        <v>0</v>
      </c>
    </row>
    <row r="767" spans="1:3" x14ac:dyDescent="0.2">
      <c r="A767" s="320" t="s">
        <v>2273</v>
      </c>
      <c r="B767" s="316" t="b">
        <f>IF(ISBLANK(NeoBerAfspr!$L$25),"",NeoBerAfspr!$L$25)</f>
        <v>0</v>
      </c>
      <c r="C767" s="320" t="b">
        <v>0</v>
      </c>
    </row>
    <row r="768" spans="1:3" x14ac:dyDescent="0.2">
      <c r="A768" s="320" t="s">
        <v>2274</v>
      </c>
      <c r="B768" s="316" t="b">
        <f>IF(ISBLANK(NeoBerAfspr!$L$26),"",NeoBerAfspr!$L$26)</f>
        <v>0</v>
      </c>
      <c r="C768" s="320" t="b">
        <v>0</v>
      </c>
    </row>
    <row r="769" spans="1:3" x14ac:dyDescent="0.2">
      <c r="A769" s="320" t="s">
        <v>2275</v>
      </c>
      <c r="B769" s="316" t="b">
        <f>IF(ISBLANK(NeoBerAfspr!$L$27),"",NeoBerAfspr!$L$27)</f>
        <v>0</v>
      </c>
      <c r="C769" s="320" t="b">
        <v>0</v>
      </c>
    </row>
    <row r="770" spans="1:3" x14ac:dyDescent="0.2">
      <c r="A770" s="320" t="s">
        <v>2276</v>
      </c>
      <c r="B770" s="316" t="b">
        <f>IF(ISBLANK(NeoBerAfspr!$B$19),"",NeoBerAfspr!$B$19)</f>
        <v>0</v>
      </c>
      <c r="C770" s="320" t="b">
        <v>0</v>
      </c>
    </row>
    <row r="771" spans="1:3" x14ac:dyDescent="0.2">
      <c r="A771" s="320" t="s">
        <v>2190</v>
      </c>
      <c r="B771" s="316" t="b">
        <f>IF(ISBLANK(NeoBerAfspr!$G$31),"",NeoBerAfspr!$G$31)</f>
        <v>0</v>
      </c>
      <c r="C771" s="134"/>
    </row>
    <row r="772" spans="1:3" x14ac:dyDescent="0.2">
      <c r="A772" s="320" t="s">
        <v>2277</v>
      </c>
      <c r="B772" s="316" t="b">
        <f>IF(ISBLANK(NeoBerAfspr!$B$31),"",NeoBerAfspr!$B$31)</f>
        <v>0</v>
      </c>
      <c r="C772" s="320" t="b">
        <v>0</v>
      </c>
    </row>
    <row r="773" spans="1:3" x14ac:dyDescent="0.2">
      <c r="A773" s="320" t="s">
        <v>2278</v>
      </c>
      <c r="B773" s="316" t="b">
        <f>IF(ISBLANK(NeoBerAfspr!$B$32),"",NeoBerAfspr!$B$32)</f>
        <v>0</v>
      </c>
      <c r="C773" s="320" t="b">
        <v>0</v>
      </c>
    </row>
    <row r="774" spans="1:3" x14ac:dyDescent="0.2">
      <c r="A774" s="320" t="s">
        <v>2279</v>
      </c>
      <c r="B774" s="316">
        <f>IF(ISBLANK(NeoBerAfspr!$K$29),"",NeoBerAfspr!$K$29)</f>
        <v>0</v>
      </c>
      <c r="C774">
        <v>0</v>
      </c>
    </row>
    <row r="775" spans="1:3" x14ac:dyDescent="0.2">
      <c r="A775" s="320" t="s">
        <v>2280</v>
      </c>
      <c r="B775" s="316">
        <f>IF(ISBLANK(NeoBerAfspr!$D$22),"",NeoBerAfspr!$D$22)</f>
        <v>1</v>
      </c>
      <c r="C775">
        <v>1</v>
      </c>
    </row>
    <row r="776" spans="1:3" x14ac:dyDescent="0.2">
      <c r="A776" s="320" t="s">
        <v>2281</v>
      </c>
      <c r="B776" s="316">
        <f>IF(ISBLANK(NeoBerAfspr!$C$8),"",NeoBerAfspr!$C$8)</f>
        <v>0</v>
      </c>
      <c r="C776">
        <v>0</v>
      </c>
    </row>
    <row r="777" spans="1:3" x14ac:dyDescent="0.2">
      <c r="A777" s="320" t="s">
        <v>2282</v>
      </c>
      <c r="B777" s="316">
        <f>IF(ISBLANK(NeoBerAfspr!$D$8),"",NeoBerAfspr!$D$8)</f>
        <v>1</v>
      </c>
      <c r="C777">
        <v>1</v>
      </c>
    </row>
    <row r="778" spans="1:3" x14ac:dyDescent="0.2">
      <c r="A778" s="320" t="s">
        <v>2283</v>
      </c>
      <c r="B778" s="316">
        <f>IF(ISBLANK(NeoBerAfspr!$C$9),"",NeoBerAfspr!$C$9)</f>
        <v>0</v>
      </c>
      <c r="C778">
        <v>0</v>
      </c>
    </row>
    <row r="779" spans="1:3" x14ac:dyDescent="0.2">
      <c r="A779" s="320" t="s">
        <v>2284</v>
      </c>
      <c r="B779" s="316">
        <f>IF(ISBLANK(NeoBerAfspr!$D$9),"",NeoBerAfspr!$D$9)</f>
        <v>1</v>
      </c>
      <c r="C779">
        <v>1</v>
      </c>
    </row>
    <row r="780" spans="1:3" x14ac:dyDescent="0.2">
      <c r="A780" s="320" t="s">
        <v>2285</v>
      </c>
      <c r="B780" s="316">
        <f>IF(ISBLANK(NeoBerAfspr!$D$47),"",NeoBerAfspr!$D$47)</f>
        <v>0</v>
      </c>
      <c r="C780">
        <v>0</v>
      </c>
    </row>
    <row r="781" spans="1:3" x14ac:dyDescent="0.2">
      <c r="A781" s="320" t="s">
        <v>2286</v>
      </c>
      <c r="B781" s="316">
        <f>IF(ISBLANK(NeoBerAfspr!$D$46),"",NeoBerAfspr!$D$46)</f>
        <v>1</v>
      </c>
      <c r="C781">
        <v>1</v>
      </c>
    </row>
    <row r="782" spans="1:3" x14ac:dyDescent="0.2">
      <c r="A782" s="320" t="s">
        <v>2287</v>
      </c>
      <c r="B782" s="316">
        <f>IF(ISBLANK(NeoBerAfspr!$B$12),"",NeoBerAfspr!$B$12)</f>
        <v>0</v>
      </c>
      <c r="C782">
        <v>0</v>
      </c>
    </row>
    <row r="783" spans="1:3" x14ac:dyDescent="0.2">
      <c r="A783" s="320" t="s">
        <v>2288</v>
      </c>
      <c r="B783" s="316">
        <f>IF(ISBLANK(NeoBerAfspr!$K$17),"",NeoBerAfspr!$K$17)</f>
        <v>0</v>
      </c>
      <c r="C783">
        <v>0</v>
      </c>
    </row>
    <row r="784" spans="1:3" x14ac:dyDescent="0.2">
      <c r="A784" s="320" t="s">
        <v>2289</v>
      </c>
      <c r="B784" s="316">
        <f>IF(ISBLANK(NeoBerAfspr!$L$17),"",NeoBerAfspr!$L$17)</f>
        <v>0</v>
      </c>
      <c r="C784">
        <v>0</v>
      </c>
    </row>
    <row r="785" spans="1:6" x14ac:dyDescent="0.2">
      <c r="A785" s="320" t="s">
        <v>2290</v>
      </c>
      <c r="B785" s="316">
        <f>IF(ISBLANK(NeoBerAfspr!$C$18),"",NeoBerAfspr!$C$18)</f>
        <v>0</v>
      </c>
      <c r="C785">
        <v>0</v>
      </c>
    </row>
    <row r="786" spans="1:6" x14ac:dyDescent="0.2">
      <c r="A786" s="320" t="s">
        <v>2291</v>
      </c>
      <c r="B786" s="316">
        <f>IF(ISBLANK(NeoBerAfspr!$D$18),"",NeoBerAfspr!$D$18)</f>
        <v>1</v>
      </c>
      <c r="C786">
        <v>1</v>
      </c>
    </row>
    <row r="787" spans="1:6" x14ac:dyDescent="0.2">
      <c r="A787" s="320" t="s">
        <v>2292</v>
      </c>
      <c r="B787" s="316">
        <f>IF(ISBLANK(NeoBerAfspr!$D$36),"",NeoBerAfspr!$D$36)</f>
        <v>1</v>
      </c>
      <c r="C787">
        <v>1</v>
      </c>
    </row>
    <row r="788" spans="1:6" x14ac:dyDescent="0.2">
      <c r="A788" s="320" t="s">
        <v>2293</v>
      </c>
      <c r="B788" s="316">
        <f>IF(ISBLANK(NeoBerAfspr!$D$34),"",NeoBerAfspr!$D$34)</f>
        <v>1</v>
      </c>
      <c r="C788">
        <v>1</v>
      </c>
    </row>
    <row r="789" spans="1:6" x14ac:dyDescent="0.2">
      <c r="A789" s="320" t="s">
        <v>2294</v>
      </c>
      <c r="B789" s="316">
        <f>IF(ISBLANK(NeoBerAfspr!$D$35),"",NeoBerAfspr!$D$35)</f>
        <v>1</v>
      </c>
      <c r="C789">
        <v>1</v>
      </c>
    </row>
    <row r="790" spans="1:6" x14ac:dyDescent="0.2">
      <c r="A790" s="320" t="s">
        <v>2295</v>
      </c>
      <c r="B790" s="316">
        <f>IF(ISBLANK(NeoBerAfspr!$D$39),"",NeoBerAfspr!$D$39)</f>
        <v>1</v>
      </c>
      <c r="C790">
        <v>1</v>
      </c>
    </row>
    <row r="791" spans="1:6" x14ac:dyDescent="0.2">
      <c r="A791" s="320" t="s">
        <v>2296</v>
      </c>
      <c r="B791" s="316">
        <f>IF(ISBLANK(NeoBerAfspr!$D$37),"",NeoBerAfspr!$D$37)</f>
        <v>1</v>
      </c>
      <c r="C791">
        <v>1</v>
      </c>
      <c r="F791" s="320"/>
    </row>
    <row r="792" spans="1:6" x14ac:dyDescent="0.2">
      <c r="A792" s="320" t="s">
        <v>2297</v>
      </c>
      <c r="B792" s="316">
        <f>IF(ISBLANK(NeoBerAfspr!$D$38),"",NeoBerAfspr!$D$38)</f>
        <v>1</v>
      </c>
      <c r="C792">
        <v>1</v>
      </c>
      <c r="F792" s="320"/>
    </row>
    <row r="793" spans="1:6" x14ac:dyDescent="0.2">
      <c r="A793" s="320" t="s">
        <v>2298</v>
      </c>
      <c r="B793" s="316">
        <f>IF(ISBLANK(NeoBerAfspr!$D$42),"",NeoBerAfspr!$D$42)</f>
        <v>1</v>
      </c>
      <c r="C793">
        <v>1</v>
      </c>
      <c r="F793" s="320"/>
    </row>
    <row r="794" spans="1:6" x14ac:dyDescent="0.2">
      <c r="A794" s="320" t="s">
        <v>2299</v>
      </c>
      <c r="B794" s="316">
        <f>IF(ISBLANK(NeoBerAfspr!$D$40),"",NeoBerAfspr!$D$40)</f>
        <v>1</v>
      </c>
      <c r="C794">
        <v>1</v>
      </c>
      <c r="F794" s="320"/>
    </row>
    <row r="795" spans="1:6" x14ac:dyDescent="0.2">
      <c r="A795" s="320" t="s">
        <v>2300</v>
      </c>
      <c r="B795" s="316">
        <f>IF(ISBLANK(NeoBerAfspr!$D$41),"",NeoBerAfspr!$D$41)</f>
        <v>1</v>
      </c>
      <c r="C795">
        <v>1</v>
      </c>
      <c r="F795" s="320"/>
    </row>
    <row r="796" spans="1:6" x14ac:dyDescent="0.2">
      <c r="A796" s="320" t="s">
        <v>2301</v>
      </c>
      <c r="B796" s="316">
        <f>IF(ISBLANK(NeoBerAfspr!$K$20),"",NeoBerAfspr!$K$20)</f>
        <v>0</v>
      </c>
      <c r="C796">
        <v>0</v>
      </c>
      <c r="F796" s="320"/>
    </row>
    <row r="797" spans="1:6" x14ac:dyDescent="0.2">
      <c r="A797" s="320" t="s">
        <v>2302</v>
      </c>
      <c r="B797" s="316">
        <f>IF(ISBLANK(NeoBerAfspr!$D$27),"",NeoBerAfspr!$D$27)</f>
        <v>50</v>
      </c>
      <c r="C797">
        <v>50</v>
      </c>
      <c r="F797" s="320"/>
    </row>
    <row r="798" spans="1:6" x14ac:dyDescent="0.2">
      <c r="A798" s="320" t="s">
        <v>2303</v>
      </c>
      <c r="B798" s="316" t="b">
        <f>IF(ISBLANK(NeoBerAfspr!$G$31),"",NeoBerAfspr!$G$31)</f>
        <v>0</v>
      </c>
      <c r="C798" s="701" t="b">
        <v>0</v>
      </c>
      <c r="F798" s="320"/>
    </row>
    <row r="799" spans="1:6" x14ac:dyDescent="0.2">
      <c r="A799" s="320" t="s">
        <v>2178</v>
      </c>
      <c r="B799" s="316">
        <f>IF(ISBLANK(NeoBerAfspr!$D$27),"",NeoBerAfspr!$D$27)</f>
        <v>50</v>
      </c>
      <c r="C799">
        <v>50</v>
      </c>
      <c r="F799" s="320"/>
    </row>
    <row r="800" spans="1:6" x14ac:dyDescent="0.2">
      <c r="A800" s="320" t="s">
        <v>3020</v>
      </c>
      <c r="B800" s="316">
        <f>IF(ISBLANK(NeoBerInfB!$B$18),"",NeoBerInfB!$B$18)</f>
        <v>0</v>
      </c>
      <c r="C800">
        <v>0</v>
      </c>
      <c r="F800" s="320"/>
    </row>
    <row r="801" spans="1:6" x14ac:dyDescent="0.2">
      <c r="A801" s="320" t="s">
        <v>3022</v>
      </c>
      <c r="B801" s="316" t="str">
        <f>IF(ISBLANK(NeoBerInfB!$F$1),"",NeoBerInfB!$F$1)</f>
        <v/>
      </c>
      <c r="C801" s="134"/>
      <c r="F801" s="320"/>
    </row>
    <row r="802" spans="1:6" x14ac:dyDescent="0.2">
      <c r="A802" s="320" t="s">
        <v>3024</v>
      </c>
      <c r="B802" s="316">
        <f>IF(ISBLANK(NeoBerInfB!$D$36),"",NeoBerInfB!$D$36)</f>
        <v>1</v>
      </c>
      <c r="C802">
        <v>1</v>
      </c>
    </row>
    <row r="803" spans="1:6" x14ac:dyDescent="0.2">
      <c r="A803" s="320" t="s">
        <v>3027</v>
      </c>
      <c r="B803" s="316">
        <f>IF(ISBLANK(NeoBerInfB!$B$15),"",NeoBerInfB!$B$15)</f>
        <v>2</v>
      </c>
      <c r="C803">
        <v>2</v>
      </c>
    </row>
    <row r="804" spans="1:6" x14ac:dyDescent="0.2">
      <c r="A804" s="320" t="s">
        <v>3029</v>
      </c>
      <c r="B804" s="316">
        <f>IF(ISBLANK(NeoBerInfB!$D$10),"",NeoBerInfB!$D$10)</f>
        <v>0</v>
      </c>
      <c r="C804">
        <v>0</v>
      </c>
    </row>
    <row r="805" spans="1:6" x14ac:dyDescent="0.2">
      <c r="A805" s="320" t="s">
        <v>3030</v>
      </c>
      <c r="B805" s="316">
        <f>IF(ISBLANK(NeoBerInfB!$D$12),"",NeoBerInfB!$D$12)</f>
        <v>0</v>
      </c>
      <c r="C805">
        <v>0</v>
      </c>
    </row>
    <row r="806" spans="1:6" x14ac:dyDescent="0.2">
      <c r="A806" s="320" t="s">
        <v>3033</v>
      </c>
      <c r="B806" s="316">
        <f>IF(ISBLANK(NeoBerInfB!$D$45),"",NeoBerInfB!$D$45)</f>
        <v>2</v>
      </c>
      <c r="C806">
        <v>2</v>
      </c>
    </row>
    <row r="807" spans="1:6" x14ac:dyDescent="0.2">
      <c r="A807" s="320" t="s">
        <v>3035</v>
      </c>
      <c r="B807" s="316">
        <f>IF(ISBLANK(NeoBerInfB!$D$11),"",NeoBerInfB!$D$11)</f>
        <v>0</v>
      </c>
      <c r="C807">
        <v>0</v>
      </c>
    </row>
    <row r="808" spans="1:6" x14ac:dyDescent="0.2">
      <c r="A808" s="320" t="s">
        <v>3036</v>
      </c>
      <c r="B808" s="316">
        <f>IF(ISBLANK(NeoBerInfB!$D$13),"",NeoBerInfB!$D$13)</f>
        <v>0</v>
      </c>
      <c r="C808">
        <v>0</v>
      </c>
    </row>
    <row r="809" spans="1:6" x14ac:dyDescent="0.2">
      <c r="A809" s="320" t="s">
        <v>3039</v>
      </c>
      <c r="B809" s="316">
        <f>IF(ISBLANK(NeoBerInfB!$D$16),"",NeoBerInfB!$D$16)</f>
        <v>5000</v>
      </c>
      <c r="C809">
        <v>5000</v>
      </c>
    </row>
    <row r="810" spans="1:6" x14ac:dyDescent="0.2">
      <c r="A810" s="320" t="s">
        <v>3041</v>
      </c>
      <c r="B810" s="316">
        <f>IF(ISBLANK(NeoBerInfB!$D$35),"",NeoBerInfB!$D$35)</f>
        <v>5000</v>
      </c>
      <c r="C810">
        <v>5000</v>
      </c>
    </row>
    <row r="811" spans="1:6" x14ac:dyDescent="0.2">
      <c r="A811" s="320" t="s">
        <v>3154</v>
      </c>
      <c r="B811" s="316">
        <f>IF(ISBLANK(NeoBerInfB!$F$35),"",NeoBerInfB!$F$35)</f>
        <v>1</v>
      </c>
      <c r="C811">
        <v>1</v>
      </c>
    </row>
    <row r="812" spans="1:6" x14ac:dyDescent="0.2">
      <c r="A812" s="320" t="s">
        <v>3043</v>
      </c>
      <c r="B812" s="316">
        <f>IF(ISBLANK(NeoBerInfB!$D$38),"",NeoBerInfB!$D$38)</f>
        <v>5000</v>
      </c>
      <c r="C812">
        <v>5000</v>
      </c>
    </row>
    <row r="813" spans="1:6" x14ac:dyDescent="0.2">
      <c r="A813" s="320" t="s">
        <v>3045</v>
      </c>
      <c r="B813" s="316">
        <f>IF(ISBLANK(NeoBerInfB!$B$20),"",NeoBerInfB!$B$20)</f>
        <v>1</v>
      </c>
      <c r="C813">
        <v>1</v>
      </c>
    </row>
    <row r="814" spans="1:6" x14ac:dyDescent="0.2">
      <c r="A814" s="320" t="s">
        <v>3046</v>
      </c>
      <c r="B814" s="316">
        <f>IF(ISBLANK(NeoBerInfB!$B$21),"",NeoBerInfB!$B$21)</f>
        <v>1</v>
      </c>
      <c r="C814">
        <v>1</v>
      </c>
    </row>
    <row r="815" spans="1:6" x14ac:dyDescent="0.2">
      <c r="A815" s="320" t="s">
        <v>3047</v>
      </c>
      <c r="B815" s="316">
        <f>IF(ISBLANK(NeoBerInfB!$B$22),"",NeoBerInfB!$B$22)</f>
        <v>1</v>
      </c>
      <c r="C815">
        <v>1</v>
      </c>
    </row>
    <row r="816" spans="1:6" x14ac:dyDescent="0.2">
      <c r="A816" s="320" t="s">
        <v>3048</v>
      </c>
      <c r="B816" s="316">
        <f>IF(ISBLANK(NeoBerInfB!$B$23),"",NeoBerInfB!$B$23)</f>
        <v>1</v>
      </c>
      <c r="C816">
        <v>1</v>
      </c>
    </row>
    <row r="817" spans="1:3" x14ac:dyDescent="0.2">
      <c r="A817" s="320" t="s">
        <v>3049</v>
      </c>
      <c r="B817" s="316">
        <f>IF(ISBLANK(NeoBerInfB!$B$24),"",NeoBerInfB!$B$24)</f>
        <v>1</v>
      </c>
      <c r="C817">
        <v>1</v>
      </c>
    </row>
    <row r="818" spans="1:3" x14ac:dyDescent="0.2">
      <c r="A818" s="320" t="s">
        <v>3050</v>
      </c>
      <c r="B818" s="316">
        <f>IF(ISBLANK(NeoBerInfB!$B$25),"",NeoBerInfB!$B$25)</f>
        <v>1</v>
      </c>
      <c r="C818">
        <v>1</v>
      </c>
    </row>
    <row r="819" spans="1:3" x14ac:dyDescent="0.2">
      <c r="A819" s="320" t="s">
        <v>3051</v>
      </c>
      <c r="B819" s="316">
        <f>IF(ISBLANK(NeoBerInfB!$B$26),"",NeoBerInfB!$B$26)</f>
        <v>1</v>
      </c>
      <c r="C819">
        <v>1</v>
      </c>
    </row>
    <row r="820" spans="1:3" x14ac:dyDescent="0.2">
      <c r="A820" s="320" t="s">
        <v>3052</v>
      </c>
      <c r="B820" s="316">
        <f>IF(ISBLANK(NeoBerInfB!$B$27),"",NeoBerInfB!$B$27)</f>
        <v>1</v>
      </c>
      <c r="C820">
        <v>1</v>
      </c>
    </row>
    <row r="821" spans="1:3" x14ac:dyDescent="0.2">
      <c r="A821" s="320" t="s">
        <v>3053</v>
      </c>
      <c r="B821" s="316">
        <f>IF(ISBLANK(NeoBerInfB!$B$28),"",NeoBerInfB!$B$28)</f>
        <v>1</v>
      </c>
      <c r="C821">
        <v>1</v>
      </c>
    </row>
    <row r="822" spans="1:3" x14ac:dyDescent="0.2">
      <c r="A822" s="320" t="s">
        <v>3063</v>
      </c>
      <c r="B822" s="316">
        <f>IF(ISBLANK(NeoBerInfB!$C$20),"",NeoBerInfB!$C$20)</f>
        <v>0</v>
      </c>
      <c r="C822">
        <v>0</v>
      </c>
    </row>
    <row r="823" spans="1:3" x14ac:dyDescent="0.2">
      <c r="A823" s="320" t="s">
        <v>3064</v>
      </c>
      <c r="B823" s="316">
        <f>IF(ISBLANK(NeoBerInfB!$C$21),"",NeoBerInfB!$C$21)</f>
        <v>0</v>
      </c>
      <c r="C823">
        <v>0</v>
      </c>
    </row>
    <row r="824" spans="1:3" x14ac:dyDescent="0.2">
      <c r="A824" s="320" t="s">
        <v>3065</v>
      </c>
      <c r="B824" s="316">
        <f>IF(ISBLANK(NeoBerInfB!$C$22),"",NeoBerInfB!$C$22)</f>
        <v>0</v>
      </c>
      <c r="C824">
        <v>0</v>
      </c>
    </row>
    <row r="825" spans="1:3" x14ac:dyDescent="0.2">
      <c r="A825" s="320" t="s">
        <v>3066</v>
      </c>
      <c r="B825" s="316">
        <f>IF(ISBLANK(NeoBerInfB!$C$23),"",NeoBerInfB!$C$23)</f>
        <v>0</v>
      </c>
      <c r="C825">
        <v>0</v>
      </c>
    </row>
    <row r="826" spans="1:3" x14ac:dyDescent="0.2">
      <c r="A826" s="320" t="s">
        <v>3067</v>
      </c>
      <c r="B826" s="316">
        <f>IF(ISBLANK(NeoBerInfB!$C$24),"",NeoBerInfB!$C$24)</f>
        <v>0</v>
      </c>
      <c r="C826">
        <v>0</v>
      </c>
    </row>
    <row r="827" spans="1:3" x14ac:dyDescent="0.2">
      <c r="A827" s="320" t="s">
        <v>3068</v>
      </c>
      <c r="B827" s="316">
        <f>IF(ISBLANK(NeoBerInfB!$C$25),"",NeoBerInfB!$C$25)</f>
        <v>0</v>
      </c>
      <c r="C827">
        <v>0</v>
      </c>
    </row>
    <row r="828" spans="1:3" x14ac:dyDescent="0.2">
      <c r="A828" s="320" t="s">
        <v>3069</v>
      </c>
      <c r="B828" s="316">
        <f>IF(ISBLANK(NeoBerInfB!$C$26),"",NeoBerInfB!$C$26)</f>
        <v>0</v>
      </c>
      <c r="C828">
        <v>0</v>
      </c>
    </row>
    <row r="829" spans="1:3" x14ac:dyDescent="0.2">
      <c r="A829" s="320" t="s">
        <v>3070</v>
      </c>
      <c r="B829" s="316">
        <f>IF(ISBLANK(NeoBerInfB!$C$27),"",NeoBerInfB!$C$27)</f>
        <v>0</v>
      </c>
      <c r="C829">
        <v>0</v>
      </c>
    </row>
    <row r="830" spans="1:3" x14ac:dyDescent="0.2">
      <c r="A830" s="320" t="s">
        <v>3071</v>
      </c>
      <c r="B830" s="316">
        <f>IF(ISBLANK(NeoBerInfB!$C$28),"",NeoBerInfB!$C$28)</f>
        <v>0</v>
      </c>
      <c r="C830">
        <v>0</v>
      </c>
    </row>
    <row r="831" spans="1:3" x14ac:dyDescent="0.2">
      <c r="A831" s="320" t="s">
        <v>3081</v>
      </c>
      <c r="B831" s="316" t="str">
        <f>IF(ISBLANK(NeoBerInfB!$B$32),"",NeoBerInfB!$B$32)</f>
        <v/>
      </c>
      <c r="C831" s="134"/>
    </row>
    <row r="832" spans="1:3" x14ac:dyDescent="0.2">
      <c r="A832" s="320" t="s">
        <v>3082</v>
      </c>
      <c r="B832" s="316" t="str">
        <f>IF(ISBLANK(NeoBerInfB!$B$33),"",NeoBerInfB!$B$33)</f>
        <v/>
      </c>
      <c r="C832" s="134"/>
    </row>
    <row r="833" spans="1:3" x14ac:dyDescent="0.2">
      <c r="A833" s="320" t="s">
        <v>3085</v>
      </c>
      <c r="B833" s="316">
        <f>IF(ISBLANK(NeoBerInfB!$D$40),"",NeoBerInfB!$D$40)</f>
        <v>5000</v>
      </c>
      <c r="C833">
        <v>5000</v>
      </c>
    </row>
    <row r="834" spans="1:3" x14ac:dyDescent="0.2">
      <c r="A834" s="320" t="s">
        <v>3088</v>
      </c>
      <c r="B834" s="316">
        <f>IF(ISBLANK(NeoBerInfB!$D$43),"",NeoBerInfB!$D$43)</f>
        <v>5000</v>
      </c>
      <c r="C834">
        <v>5000</v>
      </c>
    </row>
    <row r="835" spans="1:3" x14ac:dyDescent="0.2">
      <c r="A835" s="320" t="s">
        <v>3090</v>
      </c>
      <c r="B835" s="316">
        <f>IF(ISBLANK(NeoBerInfB!$D$20),"",NeoBerInfB!$D$20)</f>
        <v>0</v>
      </c>
      <c r="C835" s="322">
        <v>0</v>
      </c>
    </row>
    <row r="836" spans="1:3" x14ac:dyDescent="0.2">
      <c r="A836" s="320" t="s">
        <v>3091</v>
      </c>
      <c r="B836" s="316">
        <f>IF(ISBLANK(NeoBerInfB!$D$21),"",NeoBerInfB!$D$21)</f>
        <v>0</v>
      </c>
      <c r="C836" s="322">
        <v>0</v>
      </c>
    </row>
    <row r="837" spans="1:3" x14ac:dyDescent="0.2">
      <c r="A837" s="320" t="s">
        <v>3092</v>
      </c>
      <c r="B837" s="316">
        <f>IF(ISBLANK(NeoBerInfB!$D$22),"",NeoBerInfB!$D$22)</f>
        <v>0</v>
      </c>
      <c r="C837" s="322">
        <v>0</v>
      </c>
    </row>
    <row r="838" spans="1:3" x14ac:dyDescent="0.2">
      <c r="A838" s="320" t="s">
        <v>3093</v>
      </c>
      <c r="B838" s="316">
        <f>IF(ISBLANK(NeoBerInfB!$D$23),"",NeoBerInfB!$D$23)</f>
        <v>0</v>
      </c>
      <c r="C838" s="322">
        <v>0</v>
      </c>
    </row>
    <row r="839" spans="1:3" x14ac:dyDescent="0.2">
      <c r="A839" s="320" t="s">
        <v>3094</v>
      </c>
      <c r="B839" s="316">
        <f>IF(ISBLANK(NeoBerInfB!$D$24),"",NeoBerInfB!$D$24)</f>
        <v>0</v>
      </c>
      <c r="C839" s="322">
        <v>0</v>
      </c>
    </row>
    <row r="840" spans="1:3" x14ac:dyDescent="0.2">
      <c r="A840" s="320" t="s">
        <v>3095</v>
      </c>
      <c r="B840" s="316">
        <f>IF(ISBLANK(NeoBerInfB!$D$25),"",NeoBerInfB!$D$25)</f>
        <v>0</v>
      </c>
      <c r="C840" s="322">
        <v>0</v>
      </c>
    </row>
    <row r="841" spans="1:3" x14ac:dyDescent="0.2">
      <c r="A841" s="320" t="s">
        <v>3096</v>
      </c>
      <c r="B841" s="316">
        <f>IF(ISBLANK(NeoBerInfB!$D$26),"",NeoBerInfB!$D$26)</f>
        <v>0</v>
      </c>
      <c r="C841" s="322">
        <v>0</v>
      </c>
    </row>
    <row r="842" spans="1:3" x14ac:dyDescent="0.2">
      <c r="A842" s="320" t="s">
        <v>3097</v>
      </c>
      <c r="B842" s="316">
        <f>IF(ISBLANK(NeoBerInfB!$D$27),"",NeoBerInfB!$D$27)</f>
        <v>0</v>
      </c>
      <c r="C842" s="322">
        <v>0</v>
      </c>
    </row>
    <row r="843" spans="1:3" x14ac:dyDescent="0.2">
      <c r="A843" s="320" t="s">
        <v>3098</v>
      </c>
      <c r="B843" s="316">
        <f>IF(ISBLANK(NeoBerInfB!$D$28),"",NeoBerInfB!$D$28)</f>
        <v>0</v>
      </c>
      <c r="C843" s="322">
        <v>0</v>
      </c>
    </row>
    <row r="844" spans="1:3" x14ac:dyDescent="0.2">
      <c r="A844" s="320" t="s">
        <v>3111</v>
      </c>
      <c r="B844" s="316">
        <f>IF(ISBLANK(NeoBerInfB!$E$20),"",NeoBerInfB!$E$20)</f>
        <v>1</v>
      </c>
      <c r="C844">
        <v>1</v>
      </c>
    </row>
    <row r="845" spans="1:3" x14ac:dyDescent="0.2">
      <c r="A845" s="320" t="s">
        <v>3112</v>
      </c>
      <c r="B845" s="316">
        <f>IF(ISBLANK(NeoBerInfB!$E$21),"",NeoBerInfB!$E$21)</f>
        <v>1</v>
      </c>
      <c r="C845">
        <v>1</v>
      </c>
    </row>
    <row r="846" spans="1:3" x14ac:dyDescent="0.2">
      <c r="A846" s="320" t="s">
        <v>3113</v>
      </c>
      <c r="B846" s="316">
        <f>IF(ISBLANK(NeoBerInfB!$E$22),"",NeoBerInfB!$E$22)</f>
        <v>1</v>
      </c>
      <c r="C846">
        <v>1</v>
      </c>
    </row>
    <row r="847" spans="1:3" x14ac:dyDescent="0.2">
      <c r="A847" s="320" t="s">
        <v>3114</v>
      </c>
      <c r="B847" s="316">
        <f>IF(ISBLANK(NeoBerInfB!$E$23),"",NeoBerInfB!$E$23)</f>
        <v>1</v>
      </c>
      <c r="C847">
        <v>1</v>
      </c>
    </row>
    <row r="848" spans="1:3" x14ac:dyDescent="0.2">
      <c r="A848" s="320" t="s">
        <v>3115</v>
      </c>
      <c r="B848" s="316">
        <f>IF(ISBLANK(NeoBerInfB!$E$24),"",NeoBerInfB!$E$24)</f>
        <v>1</v>
      </c>
      <c r="C848">
        <v>1</v>
      </c>
    </row>
    <row r="849" spans="1:3" x14ac:dyDescent="0.2">
      <c r="A849" s="320" t="s">
        <v>3116</v>
      </c>
      <c r="B849" s="316">
        <f>IF(ISBLANK(NeoBerInfB!$E$25),"",NeoBerInfB!$E$25)</f>
        <v>1</v>
      </c>
      <c r="C849">
        <v>1</v>
      </c>
    </row>
    <row r="850" spans="1:3" x14ac:dyDescent="0.2">
      <c r="A850" s="320" t="s">
        <v>3117</v>
      </c>
      <c r="B850" s="316">
        <f>IF(ISBLANK(NeoBerInfB!$E$26),"",NeoBerInfB!$E$26)</f>
        <v>1</v>
      </c>
      <c r="C850">
        <v>1</v>
      </c>
    </row>
    <row r="851" spans="1:3" x14ac:dyDescent="0.2">
      <c r="A851" s="320" t="s">
        <v>3118</v>
      </c>
      <c r="B851" s="316">
        <f>IF(ISBLANK(NeoBerInfB!$E$27),"",NeoBerInfB!$E$27)</f>
        <v>1</v>
      </c>
      <c r="C851">
        <v>1</v>
      </c>
    </row>
    <row r="852" spans="1:3" x14ac:dyDescent="0.2">
      <c r="A852" s="320" t="s">
        <v>3119</v>
      </c>
      <c r="B852" s="316">
        <f>IF(ISBLANK(NeoBerInfB!$E$28),"",NeoBerInfB!$E$28)</f>
        <v>1</v>
      </c>
      <c r="C852">
        <v>1</v>
      </c>
    </row>
    <row r="853" spans="1:3" x14ac:dyDescent="0.2">
      <c r="A853" s="320" t="s">
        <v>3108</v>
      </c>
      <c r="B853" s="316">
        <f>IF(ISBLANK(NeoBerInfB!$E$29),"",NeoBerInfB!$E$29)</f>
        <v>0</v>
      </c>
      <c r="C853">
        <v>0</v>
      </c>
    </row>
    <row r="854" spans="1:3" x14ac:dyDescent="0.2">
      <c r="A854" s="320" t="s">
        <v>3109</v>
      </c>
      <c r="B854" s="316">
        <f>IF(ISBLANK(NeoBerInfB!$E$30),"",NeoBerInfB!$E$30)</f>
        <v>0</v>
      </c>
      <c r="C854">
        <v>0</v>
      </c>
    </row>
    <row r="855" spans="1:3" x14ac:dyDescent="0.2">
      <c r="A855" s="320" t="s">
        <v>3110</v>
      </c>
      <c r="B855" s="316">
        <f>IF(ISBLANK(NeoBerInfB!$E$31),"",NeoBerInfB!$E$31)</f>
        <v>0</v>
      </c>
      <c r="C855">
        <v>0</v>
      </c>
    </row>
    <row r="856" spans="1:3" x14ac:dyDescent="0.2">
      <c r="A856" s="320" t="s">
        <v>3132</v>
      </c>
      <c r="B856" s="316" t="b">
        <f>IF(ISBLANK(NeoBerInfB!$B$17),"",NeoBerInfB!$B$17)</f>
        <v>0</v>
      </c>
      <c r="C856" t="b">
        <v>0</v>
      </c>
    </row>
    <row r="857" spans="1:3" x14ac:dyDescent="0.2">
      <c r="A857" s="320" t="s">
        <v>3134</v>
      </c>
      <c r="B857" s="316">
        <f>IF(ISBLANK(NeoBerInfB!$J$52),"",NeoBerInfB!$J$52)</f>
        <v>1</v>
      </c>
      <c r="C857">
        <v>1</v>
      </c>
    </row>
    <row r="858" spans="1:3" x14ac:dyDescent="0.2">
      <c r="A858" s="320" t="s">
        <v>3135</v>
      </c>
      <c r="B858" s="316">
        <f>IF(ISBLANK(NeoBerInfB!$J$53),"",NeoBerInfB!$J$53)</f>
        <v>1</v>
      </c>
      <c r="C858">
        <v>1</v>
      </c>
    </row>
    <row r="859" spans="1:3" x14ac:dyDescent="0.2">
      <c r="A859" s="320" t="s">
        <v>3136</v>
      </c>
      <c r="B859" s="316">
        <f>IF(ISBLANK(NeoBerInfB!$J$54),"",NeoBerInfB!$J$54)</f>
        <v>1</v>
      </c>
      <c r="C859">
        <v>1</v>
      </c>
    </row>
    <row r="860" spans="1:3" x14ac:dyDescent="0.2">
      <c r="A860" s="320" t="s">
        <v>3137</v>
      </c>
      <c r="B860" s="316">
        <f>IF(ISBLANK(NeoBerInfB!$J$55),"",NeoBerInfB!$J$55)</f>
        <v>1</v>
      </c>
      <c r="C860">
        <v>1</v>
      </c>
    </row>
    <row r="861" spans="1:3" x14ac:dyDescent="0.2">
      <c r="A861" s="320" t="s">
        <v>3138</v>
      </c>
      <c r="B861" s="316">
        <f>IF(ISBLANK(NeoBerInfB!$J$56),"",NeoBerInfB!$J$56)</f>
        <v>1</v>
      </c>
      <c r="C861">
        <v>1</v>
      </c>
    </row>
    <row r="862" spans="1:3" s="320" customFormat="1" x14ac:dyDescent="0.2">
      <c r="A862" s="320" t="s">
        <v>3139</v>
      </c>
      <c r="B862" s="316">
        <f>IF(ISBLANK(NeoBerInfB!$J$58),"",NeoBerInfB!$J$58)</f>
        <v>1</v>
      </c>
      <c r="C862" s="320">
        <v>1</v>
      </c>
    </row>
    <row r="863" spans="1:3" x14ac:dyDescent="0.2">
      <c r="A863" s="320" t="s">
        <v>3140</v>
      </c>
      <c r="B863" s="316">
        <f>IF(ISBLANK(NeoBerInfB!$J$59),"",NeoBerInfB!$J$59)</f>
        <v>1</v>
      </c>
      <c r="C863">
        <v>1</v>
      </c>
    </row>
    <row r="864" spans="1:3" x14ac:dyDescent="0.2">
      <c r="A864" s="320" t="s">
        <v>3141</v>
      </c>
      <c r="B864" s="316">
        <f>IF(ISBLANK(NeoBerInfB!$J$60),"",NeoBerInfB!$J$60)</f>
        <v>1</v>
      </c>
      <c r="C864">
        <v>1</v>
      </c>
    </row>
    <row r="865" spans="1:3" s="320" customFormat="1" x14ac:dyDescent="0.2">
      <c r="A865" s="320" t="s">
        <v>3142</v>
      </c>
      <c r="B865" s="316">
        <f>IF(ISBLANK(NeoBerInfB!$J$61),"",NeoBerInfB!$J$61)</f>
        <v>1</v>
      </c>
      <c r="C865" s="320">
        <v>1</v>
      </c>
    </row>
    <row r="866" spans="1:3" s="320" customFormat="1" x14ac:dyDescent="0.2">
      <c r="A866" s="320" t="s">
        <v>3152</v>
      </c>
      <c r="B866" s="158">
        <f>IF(ISBLANK(NeoBerInfB!$D$42),"",NeoBerInfB!$D$42)</f>
        <v>5000</v>
      </c>
      <c r="C866" s="320">
        <v>5000</v>
      </c>
    </row>
    <row r="867" spans="1:3" x14ac:dyDescent="0.2">
      <c r="A867" s="320" t="s">
        <v>3156</v>
      </c>
      <c r="B867" s="158">
        <f>IF(ISBLANK(NeoBerInfB!$D$41),"",NeoBerInfB!$D$41)</f>
        <v>5000</v>
      </c>
      <c r="C867">
        <v>5000</v>
      </c>
    </row>
    <row r="868" spans="1:3" x14ac:dyDescent="0.2">
      <c r="A868" s="320" t="s">
        <v>3158</v>
      </c>
      <c r="B868" s="158">
        <f>IF(ISBLANK(NeoBerInfB!$D$44),"",NeoBerInfB!$D$44)</f>
        <v>5000</v>
      </c>
      <c r="C868">
        <v>5000</v>
      </c>
    </row>
    <row r="869" spans="1:3" x14ac:dyDescent="0.2">
      <c r="A869" s="320" t="s">
        <v>3163</v>
      </c>
      <c r="B869" s="158">
        <f>IF(ISBLANK(NeoBerInfB!$F$20),"",NeoBerInfB!$F$20)</f>
        <v>0</v>
      </c>
      <c r="C869" s="322">
        <v>0</v>
      </c>
    </row>
    <row r="870" spans="1:3" x14ac:dyDescent="0.2">
      <c r="A870" s="320" t="s">
        <v>3164</v>
      </c>
      <c r="B870" s="158">
        <f>IF(ISBLANK(NeoBerInfB!$F$21),"",NeoBerInfB!$F$21)</f>
        <v>0</v>
      </c>
      <c r="C870" s="322">
        <v>0</v>
      </c>
    </row>
    <row r="871" spans="1:3" s="320" customFormat="1" x14ac:dyDescent="0.2">
      <c r="A871" s="320" t="s">
        <v>3165</v>
      </c>
      <c r="B871" s="158">
        <f>IF(ISBLANK(NeoBerInfB!$F$22),"",NeoBerInfB!$F$22)</f>
        <v>0</v>
      </c>
      <c r="C871" s="322">
        <v>0</v>
      </c>
    </row>
    <row r="872" spans="1:3" s="320" customFormat="1" x14ac:dyDescent="0.2">
      <c r="A872" s="320" t="s">
        <v>3166</v>
      </c>
      <c r="B872" s="158">
        <f>IF(ISBLANK(NeoBerInfB!$F$23),"",NeoBerInfB!$F$23)</f>
        <v>0</v>
      </c>
      <c r="C872" s="322">
        <v>0</v>
      </c>
    </row>
    <row r="873" spans="1:3" x14ac:dyDescent="0.2">
      <c r="A873" s="320" t="s">
        <v>3167</v>
      </c>
      <c r="B873" s="158">
        <f>IF(ISBLANK(NeoBerInfB!$F$24),"",NeoBerInfB!$F$24)</f>
        <v>0</v>
      </c>
      <c r="C873" s="322">
        <v>0</v>
      </c>
    </row>
    <row r="874" spans="1:3" x14ac:dyDescent="0.2">
      <c r="A874" s="320" t="s">
        <v>3168</v>
      </c>
      <c r="B874" s="158">
        <f>IF(ISBLANK(NeoBerInfB!$F$25),"",NeoBerInfB!$F$25)</f>
        <v>0</v>
      </c>
      <c r="C874" s="322">
        <v>0</v>
      </c>
    </row>
    <row r="875" spans="1:3" x14ac:dyDescent="0.2">
      <c r="A875" s="320" t="s">
        <v>3169</v>
      </c>
      <c r="B875" s="158">
        <f>IF(ISBLANK(NeoBerInfB!$F$26),"",NeoBerInfB!$F$26)</f>
        <v>0</v>
      </c>
      <c r="C875" s="322">
        <v>0</v>
      </c>
    </row>
    <row r="876" spans="1:3" x14ac:dyDescent="0.2">
      <c r="A876" s="320" t="s">
        <v>3170</v>
      </c>
      <c r="B876" s="158">
        <f>IF(ISBLANK(NeoBerInfB!$F$27),"",NeoBerInfB!$F$27)</f>
        <v>0</v>
      </c>
      <c r="C876" s="322">
        <v>0</v>
      </c>
    </row>
    <row r="877" spans="1:3" x14ac:dyDescent="0.2">
      <c r="A877" s="320" t="s">
        <v>3171</v>
      </c>
      <c r="B877" s="158">
        <f>IF(ISBLANK(NeoBerInfB!$F$28),"",NeoBerInfB!$F$28)</f>
        <v>0</v>
      </c>
      <c r="C877" s="322">
        <v>0</v>
      </c>
    </row>
    <row r="878" spans="1:3" x14ac:dyDescent="0.2">
      <c r="A878" s="320" t="s">
        <v>3160</v>
      </c>
      <c r="B878" s="158">
        <f>IF(ISBLANK(NeoBerInfB!$F$29),"",NeoBerInfB!$F$29)</f>
        <v>0</v>
      </c>
      <c r="C878" s="322">
        <v>0</v>
      </c>
    </row>
    <row r="879" spans="1:3" x14ac:dyDescent="0.2">
      <c r="A879" s="320" t="s">
        <v>3161</v>
      </c>
      <c r="B879">
        <f>IF(ISBLANK(NeoBerInfB!$F$30),"",NeoBerInfB!$F$30)</f>
        <v>0</v>
      </c>
      <c r="C879" s="322">
        <v>0</v>
      </c>
    </row>
    <row r="880" spans="1:3" x14ac:dyDescent="0.2">
      <c r="A880" s="320" t="s">
        <v>3162</v>
      </c>
      <c r="B880">
        <f>IF(ISBLANK(NeoBerInfB!$F$31),"",NeoBerInfB!$F$31)</f>
        <v>0</v>
      </c>
      <c r="C880" s="322">
        <v>0</v>
      </c>
    </row>
    <row r="881" spans="1:3" x14ac:dyDescent="0.2">
      <c r="A881" s="320" t="s">
        <v>3184</v>
      </c>
      <c r="B881">
        <f>IF(ISBLANK(NeoBerInfB!$C$20),"",NeoBerInfB!$C$20)</f>
        <v>0</v>
      </c>
      <c r="C881" s="322">
        <v>0</v>
      </c>
    </row>
    <row r="882" spans="1:3" x14ac:dyDescent="0.2">
      <c r="A882" s="320" t="s">
        <v>3185</v>
      </c>
      <c r="B882">
        <f>IF(ISBLANK(NeoBerInfB!$C$21),"",NeoBerInfB!$C$21)</f>
        <v>0</v>
      </c>
      <c r="C882" s="322">
        <v>0</v>
      </c>
    </row>
    <row r="883" spans="1:3" x14ac:dyDescent="0.2">
      <c r="A883" s="320" t="s">
        <v>3186</v>
      </c>
      <c r="B883">
        <f>IF(ISBLANK(NeoBerInfB!$C$22),"",NeoBerInfB!$C$22)</f>
        <v>0</v>
      </c>
      <c r="C883" s="322">
        <v>0</v>
      </c>
    </row>
    <row r="884" spans="1:3" x14ac:dyDescent="0.2">
      <c r="A884" s="320" t="s">
        <v>3187</v>
      </c>
      <c r="B884">
        <f>IF(ISBLANK(NeoBerInfB!$C$23),"",NeoBerInfB!$C$23)</f>
        <v>0</v>
      </c>
      <c r="C884" s="322">
        <v>0</v>
      </c>
    </row>
    <row r="885" spans="1:3" x14ac:dyDescent="0.2">
      <c r="A885" s="320" t="s">
        <v>3188</v>
      </c>
      <c r="B885">
        <f>IF(ISBLANK(NeoBerInfB!$C$24),"",NeoBerInfB!$C$24)</f>
        <v>0</v>
      </c>
      <c r="C885" s="322">
        <v>0</v>
      </c>
    </row>
    <row r="886" spans="1:3" x14ac:dyDescent="0.2">
      <c r="A886" s="320" t="s">
        <v>3189</v>
      </c>
      <c r="B886">
        <f>IF(ISBLANK(NeoBerInfB!$C$25),"",NeoBerInfB!$C$25)</f>
        <v>0</v>
      </c>
      <c r="C886" s="322">
        <v>0</v>
      </c>
    </row>
    <row r="887" spans="1:3" x14ac:dyDescent="0.2">
      <c r="A887" s="320" t="s">
        <v>3190</v>
      </c>
      <c r="B887">
        <f>IF(ISBLANK(NeoBerInfB!$C$26),"",NeoBerInfB!$C$26)</f>
        <v>0</v>
      </c>
      <c r="C887" s="322">
        <v>0</v>
      </c>
    </row>
    <row r="888" spans="1:3" x14ac:dyDescent="0.2">
      <c r="A888" s="320" t="s">
        <v>3191</v>
      </c>
      <c r="B888">
        <f>IF(ISBLANK(NeoBerInfB!$C$27),"",NeoBerInfB!$C$27)</f>
        <v>0</v>
      </c>
      <c r="C888" s="322">
        <v>0</v>
      </c>
    </row>
    <row r="889" spans="1:3" x14ac:dyDescent="0.2">
      <c r="A889" s="320" t="s">
        <v>3192</v>
      </c>
      <c r="B889">
        <f>IF(ISBLANK(NeoBerInfB!$C$28),"",NeoBerInfB!$C$28)</f>
        <v>0</v>
      </c>
      <c r="C889" s="322">
        <v>0</v>
      </c>
    </row>
    <row r="890" spans="1:3" x14ac:dyDescent="0.2">
      <c r="A890" s="320" t="s">
        <v>3193</v>
      </c>
      <c r="B890" t="str">
        <f>IF(ISBLANK(NeoBerInfB!$A$63),"",NeoBerInfB!$A$63)</f>
        <v>Supervisor</v>
      </c>
      <c r="C890" t="s">
        <v>675</v>
      </c>
    </row>
    <row r="891" spans="1:3" x14ac:dyDescent="0.2">
      <c r="A891" s="320" t="s">
        <v>3195</v>
      </c>
      <c r="B891">
        <f>IF(ISBLANK(NeoBerInfB!$B$52),"",NeoBerInfB!$B$52)</f>
        <v>1</v>
      </c>
      <c r="C891">
        <v>1</v>
      </c>
    </row>
    <row r="892" spans="1:3" x14ac:dyDescent="0.2">
      <c r="A892" s="320" t="s">
        <v>3196</v>
      </c>
      <c r="B892">
        <f>IF(ISBLANK(NeoBerInfB!$B$53),"",NeoBerInfB!$B$53)</f>
        <v>1</v>
      </c>
      <c r="C892">
        <v>1</v>
      </c>
    </row>
    <row r="893" spans="1:3" x14ac:dyDescent="0.2">
      <c r="A893" s="320" t="s">
        <v>3197</v>
      </c>
      <c r="B893">
        <f>IF(ISBLANK(NeoBerInfB!$B$54),"",NeoBerInfB!$B$54)</f>
        <v>1</v>
      </c>
      <c r="C893">
        <v>1</v>
      </c>
    </row>
    <row r="894" spans="1:3" x14ac:dyDescent="0.2">
      <c r="A894" s="320" t="s">
        <v>3198</v>
      </c>
      <c r="B894">
        <f>IF(ISBLANK(NeoBerInfB!$B$55),"",NeoBerInfB!$B$55)</f>
        <v>1</v>
      </c>
      <c r="C894">
        <v>1</v>
      </c>
    </row>
    <row r="895" spans="1:3" x14ac:dyDescent="0.2">
      <c r="A895" s="320" t="s">
        <v>3199</v>
      </c>
      <c r="B895">
        <f>IF(ISBLANK(NeoBerInfB!$B$56),"",NeoBerInfB!$B$56)</f>
        <v>1</v>
      </c>
      <c r="C895">
        <v>1</v>
      </c>
    </row>
    <row r="896" spans="1:3" x14ac:dyDescent="0.2">
      <c r="A896" s="320" t="s">
        <v>3200</v>
      </c>
      <c r="B896">
        <f>IF(ISBLANK(NeoBerInfB!$B$58),"",NeoBerInfB!$B$58)</f>
        <v>1</v>
      </c>
      <c r="C896">
        <v>1</v>
      </c>
    </row>
    <row r="897" spans="1:3" x14ac:dyDescent="0.2">
      <c r="A897" s="320" t="s">
        <v>3201</v>
      </c>
      <c r="B897">
        <f>IF(ISBLANK(NeoBerInfB!$B$59),"",NeoBerInfB!$B$59)</f>
        <v>1</v>
      </c>
      <c r="C897">
        <v>1</v>
      </c>
    </row>
    <row r="898" spans="1:3" x14ac:dyDescent="0.2">
      <c r="A898" s="320" t="s">
        <v>3202</v>
      </c>
      <c r="B898">
        <f>IF(ISBLANK(NeoBerInfB!$B$60),"",NeoBerInfB!$B$60)</f>
        <v>1</v>
      </c>
      <c r="C898">
        <v>1</v>
      </c>
    </row>
    <row r="899" spans="1:3" x14ac:dyDescent="0.2">
      <c r="A899" s="320" t="s">
        <v>3203</v>
      </c>
      <c r="B899" s="320">
        <f>IF(ISBLANK(NeoBerInfB!$B$61),"",NeoBerInfB!$B$61)</f>
        <v>1</v>
      </c>
      <c r="C899">
        <v>1</v>
      </c>
    </row>
    <row r="900" spans="1:3" x14ac:dyDescent="0.2">
      <c r="A900" s="320" t="s">
        <v>3213</v>
      </c>
      <c r="B900" s="320">
        <f>IF(ISBLANK(NeoBerInfB!$D$39),"",NeoBerInfB!$D$39)</f>
        <v>5000</v>
      </c>
      <c r="C900">
        <v>5000</v>
      </c>
    </row>
    <row r="901" spans="1:3" x14ac:dyDescent="0.2">
      <c r="A901" s="320" t="s">
        <v>3214</v>
      </c>
      <c r="B901" s="320">
        <f>IF(ISBLANK(NeoBerInfB!$D$37),"",NeoBerInfB!$D$37)</f>
        <v>5000</v>
      </c>
      <c r="C901">
        <v>5000</v>
      </c>
    </row>
    <row r="902" spans="1:3" x14ac:dyDescent="0.2">
      <c r="A902" s="320" t="s">
        <v>2992</v>
      </c>
      <c r="B902" s="320">
        <f>IF(ISBLANK(NeoBerInfB!$J$14),"",NeoBerInfB!$J$14)</f>
        <v>2</v>
      </c>
      <c r="C902">
        <v>2</v>
      </c>
    </row>
    <row r="903" spans="1:3" x14ac:dyDescent="0.2">
      <c r="A903" s="320" t="s">
        <v>2993</v>
      </c>
      <c r="B903" s="320">
        <f>IF(ISBLANK(NeoBerInfB!$J$20),"",NeoBerInfB!$J$20)</f>
        <v>0</v>
      </c>
      <c r="C903">
        <v>0</v>
      </c>
    </row>
    <row r="904" spans="1:3" x14ac:dyDescent="0.2">
      <c r="A904" s="320" t="s">
        <v>2998</v>
      </c>
      <c r="B904" s="320">
        <f>IF(ISBLANK(NeoBerInfB!$J$21),"",NeoBerInfB!$J$21)</f>
        <v>0</v>
      </c>
      <c r="C904">
        <v>0</v>
      </c>
    </row>
    <row r="905" spans="1:3" x14ac:dyDescent="0.2">
      <c r="A905" s="320" t="s">
        <v>2999</v>
      </c>
      <c r="B905" s="320">
        <f>IF(ISBLANK(NeoBerInfB!$J$22),"",NeoBerInfB!$J$22)</f>
        <v>0</v>
      </c>
      <c r="C905">
        <v>0</v>
      </c>
    </row>
    <row r="906" spans="1:3" x14ac:dyDescent="0.2">
      <c r="A906" s="320" t="s">
        <v>3000</v>
      </c>
      <c r="B906" s="320">
        <f>IF(ISBLANK(NeoBerInfB!$J$23),"",NeoBerInfB!$J$23)</f>
        <v>0</v>
      </c>
      <c r="C906">
        <v>0</v>
      </c>
    </row>
    <row r="907" spans="1:3" x14ac:dyDescent="0.2">
      <c r="A907" s="320" t="s">
        <v>3001</v>
      </c>
      <c r="B907" s="320">
        <f>IF(ISBLANK(NeoBerInfB!$J$24),"",NeoBerInfB!$J$24)</f>
        <v>0</v>
      </c>
      <c r="C907">
        <v>0</v>
      </c>
    </row>
    <row r="908" spans="1:3" x14ac:dyDescent="0.2">
      <c r="A908" s="320" t="s">
        <v>3002</v>
      </c>
      <c r="B908" s="320">
        <f>IF(ISBLANK(NeoBerInfB!$J$25),"",NeoBerInfB!$J$25)</f>
        <v>0</v>
      </c>
      <c r="C908">
        <v>0</v>
      </c>
    </row>
    <row r="909" spans="1:3" x14ac:dyDescent="0.2">
      <c r="A909" s="320" t="s">
        <v>3003</v>
      </c>
      <c r="B909">
        <f>IF(ISBLANK(NeoBerInfB!$J$26),"",NeoBerInfB!$J$26)</f>
        <v>0</v>
      </c>
      <c r="C909">
        <v>0</v>
      </c>
    </row>
    <row r="910" spans="1:3" x14ac:dyDescent="0.2">
      <c r="A910" s="320" t="s">
        <v>3004</v>
      </c>
      <c r="B910">
        <f>IF(ISBLANK(NeoBerInfB!$J$27),"",NeoBerInfB!$J$27)</f>
        <v>0</v>
      </c>
      <c r="C910">
        <v>0</v>
      </c>
    </row>
    <row r="911" spans="1:3" x14ac:dyDescent="0.2">
      <c r="A911" s="320" t="s">
        <v>3005</v>
      </c>
      <c r="B911">
        <f>IF(ISBLANK(NeoBerInfB!$J$28),"",NeoBerInfB!$J$28)</f>
        <v>0</v>
      </c>
      <c r="C911">
        <v>0</v>
      </c>
    </row>
    <row r="912" spans="1:3" x14ac:dyDescent="0.2">
      <c r="A912" s="320" t="s">
        <v>2994</v>
      </c>
      <c r="B912" t="b">
        <f>IF(ISBLANK(NeoBerInfB!$J$18),"",NeoBerInfB!$J$18)</f>
        <v>0</v>
      </c>
      <c r="C912" t="b">
        <v>0</v>
      </c>
    </row>
    <row r="913" spans="1:3" x14ac:dyDescent="0.2">
      <c r="A913" s="320" t="s">
        <v>2995</v>
      </c>
      <c r="B913" t="b">
        <f>IF(ISBLANK(NeoBerInfB!$J$29),"",NeoBerInfB!$J$29)</f>
        <v>0</v>
      </c>
      <c r="C913" t="b">
        <v>0</v>
      </c>
    </row>
    <row r="914" spans="1:3" x14ac:dyDescent="0.2">
      <c r="A914" s="320" t="s">
        <v>2996</v>
      </c>
      <c r="B914" t="b">
        <f>IF(ISBLANK(NeoBerInfB!$J$30),"",NeoBerInfB!$J$30)</f>
        <v>0</v>
      </c>
      <c r="C914" t="b">
        <v>0</v>
      </c>
    </row>
    <row r="915" spans="1:3" x14ac:dyDescent="0.2">
      <c r="A915" s="320" t="s">
        <v>2997</v>
      </c>
      <c r="B915" t="b">
        <f>IF(ISBLANK(NeoBerInfB!$J$31),"",NeoBerInfB!$J$31)</f>
        <v>0</v>
      </c>
      <c r="C915" t="b">
        <v>0</v>
      </c>
    </row>
    <row r="916" spans="1:3" x14ac:dyDescent="0.2">
      <c r="A916" s="320" t="s">
        <v>3215</v>
      </c>
      <c r="B916">
        <f>IF(ISBLANK(NeoBerInfB!$D$14),"",NeoBerInfB!$D$14)</f>
        <v>7</v>
      </c>
      <c r="C916">
        <v>7</v>
      </c>
    </row>
    <row r="917" spans="1:3" x14ac:dyDescent="0.2">
      <c r="A917" s="320" t="s">
        <v>3217</v>
      </c>
      <c r="B917" t="b">
        <f>IF(ISBLANK(NeoBerLab!$M$4),"",NeoBerLab!$M$4)</f>
        <v>0</v>
      </c>
      <c r="C917" t="b">
        <v>0</v>
      </c>
    </row>
    <row r="918" spans="1:3" x14ac:dyDescent="0.2">
      <c r="A918" s="320" t="s">
        <v>3218</v>
      </c>
      <c r="B918" t="b">
        <f>IF(ISBLANK(NeoBerLab!$M$5),"",NeoBerLab!$M$5)</f>
        <v>0</v>
      </c>
      <c r="C918" s="320" t="b">
        <v>0</v>
      </c>
    </row>
    <row r="919" spans="1:3" x14ac:dyDescent="0.2">
      <c r="A919" s="320" t="s">
        <v>3219</v>
      </c>
      <c r="B919" t="b">
        <f>IF(ISBLANK(NeoBerLab!$M$6),"",NeoBerLab!$M$6)</f>
        <v>0</v>
      </c>
      <c r="C919" s="320" t="b">
        <v>0</v>
      </c>
    </row>
    <row r="920" spans="1:3" x14ac:dyDescent="0.2">
      <c r="A920" s="320" t="s">
        <v>3220</v>
      </c>
      <c r="B920" t="b">
        <f>IF(ISBLANK(NeoBerLab!$M$7),"",NeoBerLab!$M$7)</f>
        <v>0</v>
      </c>
      <c r="C920" s="320" t="b">
        <v>0</v>
      </c>
    </row>
    <row r="921" spans="1:3" x14ac:dyDescent="0.2">
      <c r="A921" s="320" t="s">
        <v>3221</v>
      </c>
      <c r="B921" t="b">
        <f>IF(ISBLANK(NeoBerLab!$M$8),"",NeoBerLab!$M$8)</f>
        <v>0</v>
      </c>
      <c r="C921" s="320" t="b">
        <v>0</v>
      </c>
    </row>
    <row r="922" spans="1:3" x14ac:dyDescent="0.2">
      <c r="A922" s="320" t="s">
        <v>3222</v>
      </c>
      <c r="B922" t="b">
        <f>IF(ISBLANK(NeoBerLab!$M$9),"",NeoBerLab!$M$9)</f>
        <v>0</v>
      </c>
      <c r="C922" s="320" t="b">
        <v>0</v>
      </c>
    </row>
    <row r="923" spans="1:3" x14ac:dyDescent="0.2">
      <c r="A923" s="320" t="s">
        <v>3223</v>
      </c>
      <c r="B923" t="b">
        <f>IF(ISBLANK(NeoBerLab!$M$10),"",NeoBerLab!$M$10)</f>
        <v>0</v>
      </c>
      <c r="C923" s="320" t="b">
        <v>0</v>
      </c>
    </row>
    <row r="924" spans="1:3" s="320" customFormat="1" x14ac:dyDescent="0.2">
      <c r="A924" s="320" t="s">
        <v>3224</v>
      </c>
      <c r="B924" t="b">
        <f>IF(ISBLANK(NeoBerLab!$M$11),"",NeoBerLab!$M$11)</f>
        <v>0</v>
      </c>
      <c r="C924" s="320" t="b">
        <v>0</v>
      </c>
    </row>
    <row r="925" spans="1:3" x14ac:dyDescent="0.2">
      <c r="A925" s="320" t="s">
        <v>3225</v>
      </c>
      <c r="B925" t="b">
        <f>IF(ISBLANK(NeoBerLab!$M$12),"",NeoBerLab!$M$12)</f>
        <v>0</v>
      </c>
      <c r="C925" s="320" t="b">
        <v>0</v>
      </c>
    </row>
    <row r="926" spans="1:3" x14ac:dyDescent="0.2">
      <c r="A926" s="320" t="s">
        <v>3226</v>
      </c>
      <c r="B926" t="b">
        <f>IF(ISBLANK(NeoBerLab!$M$13),"",NeoBerLab!$M$13)</f>
        <v>0</v>
      </c>
      <c r="C926" s="320" t="b">
        <v>0</v>
      </c>
    </row>
    <row r="927" spans="1:3" x14ac:dyDescent="0.2">
      <c r="A927" s="320" t="s">
        <v>3227</v>
      </c>
      <c r="B927" t="b">
        <f>IF(ISBLANK(NeoBerLab!$M$14),"",NeoBerLab!$M$14)</f>
        <v>0</v>
      </c>
      <c r="C927" s="320" t="b">
        <v>0</v>
      </c>
    </row>
    <row r="928" spans="1:3" x14ac:dyDescent="0.2">
      <c r="A928" s="320" t="s">
        <v>3228</v>
      </c>
      <c r="B928" t="b">
        <f>IF(ISBLANK(NeoBerLab!$M$15),"",NeoBerLab!$M$15)</f>
        <v>0</v>
      </c>
      <c r="C928" s="320" t="b">
        <v>0</v>
      </c>
    </row>
    <row r="929" spans="1:3" x14ac:dyDescent="0.2">
      <c r="A929" s="320" t="s">
        <v>3229</v>
      </c>
      <c r="B929" t="b">
        <f>IF(ISBLANK(NeoBerLab!$M$16),"",NeoBerLab!$M$16)</f>
        <v>0</v>
      </c>
      <c r="C929" s="320" t="b">
        <v>0</v>
      </c>
    </row>
    <row r="930" spans="1:3" x14ac:dyDescent="0.2">
      <c r="A930" s="320" t="s">
        <v>3230</v>
      </c>
      <c r="B930" t="b">
        <f>IF(ISBLANK(NeoBerLab!$M$17),"",NeoBerLab!$M$17)</f>
        <v>0</v>
      </c>
      <c r="C930" s="320" t="b">
        <v>0</v>
      </c>
    </row>
    <row r="931" spans="1:3" x14ac:dyDescent="0.2">
      <c r="A931" s="320" t="s">
        <v>3231</v>
      </c>
      <c r="B931" t="b">
        <f>IF(ISBLANK(NeoBerLab!$M$18),"",NeoBerLab!$M$18)</f>
        <v>0</v>
      </c>
      <c r="C931" s="320" t="b">
        <v>0</v>
      </c>
    </row>
    <row r="932" spans="1:3" x14ac:dyDescent="0.2">
      <c r="A932" s="320" t="s">
        <v>3232</v>
      </c>
      <c r="B932" t="b">
        <f>IF(ISBLANK(NeoBerLab!$M$19),"",NeoBerLab!$M$19)</f>
        <v>0</v>
      </c>
      <c r="C932" s="320" t="b">
        <v>0</v>
      </c>
    </row>
    <row r="933" spans="1:3" x14ac:dyDescent="0.2">
      <c r="A933" s="320" t="s">
        <v>3233</v>
      </c>
      <c r="B933" t="b">
        <f>IF(ISBLANK(NeoBerLab!$M$20),"",NeoBerLab!$M$20)</f>
        <v>0</v>
      </c>
      <c r="C933" s="320" t="b">
        <v>0</v>
      </c>
    </row>
    <row r="934" spans="1:3" x14ac:dyDescent="0.2">
      <c r="A934" s="320" t="s">
        <v>3234</v>
      </c>
      <c r="B934" t="b">
        <f>IF(ISBLANK(NeoBerLab!$M$21),"",NeoBerLab!$M$21)</f>
        <v>0</v>
      </c>
      <c r="C934" s="320" t="b">
        <v>0</v>
      </c>
    </row>
    <row r="935" spans="1:3" x14ac:dyDescent="0.2">
      <c r="A935" s="320" t="s">
        <v>3235</v>
      </c>
      <c r="B935" t="b">
        <f>IF(ISBLANK(NeoBerLab!$M$22),"",NeoBerLab!$M$22)</f>
        <v>0</v>
      </c>
      <c r="C935" s="320" t="b">
        <v>0</v>
      </c>
    </row>
    <row r="936" spans="1:3" s="320" customFormat="1" x14ac:dyDescent="0.2">
      <c r="A936" s="320" t="s">
        <v>3236</v>
      </c>
      <c r="B936" t="b">
        <f>IF(ISBLANK(NeoBerLab!$M$23),"",NeoBerLab!$M$23)</f>
        <v>0</v>
      </c>
      <c r="C936" s="320" t="b">
        <v>0</v>
      </c>
    </row>
    <row r="937" spans="1:3" x14ac:dyDescent="0.2">
      <c r="A937" s="320" t="s">
        <v>3237</v>
      </c>
      <c r="B937" t="b">
        <f>IF(ISBLANK(NeoBerLab!$M$24),"",NeoBerLab!$M$24)</f>
        <v>0</v>
      </c>
      <c r="C937" s="320" t="b">
        <v>0</v>
      </c>
    </row>
    <row r="938" spans="1:3" x14ac:dyDescent="0.2">
      <c r="A938" s="320" t="s">
        <v>3238</v>
      </c>
      <c r="B938" t="b">
        <f>IF(ISBLANK(NeoBerLab!$M$25),"",NeoBerLab!$M$25)</f>
        <v>0</v>
      </c>
      <c r="C938" s="320" t="b">
        <v>0</v>
      </c>
    </row>
    <row r="939" spans="1:3" x14ac:dyDescent="0.2">
      <c r="A939" s="320" t="s">
        <v>3239</v>
      </c>
      <c r="B939" t="b">
        <f>IF(ISBLANK(NeoBerLab!$M$26),"",NeoBerLab!$M$26)</f>
        <v>0</v>
      </c>
      <c r="C939" s="320" t="b">
        <v>0</v>
      </c>
    </row>
    <row r="940" spans="1:3" x14ac:dyDescent="0.2">
      <c r="A940" s="320" t="s">
        <v>3240</v>
      </c>
      <c r="B940" t="b">
        <f>IF(ISBLANK(NeoBerLab!$M$27),"",NeoBerLab!$M$27)</f>
        <v>0</v>
      </c>
      <c r="C940" s="320" t="b">
        <v>0</v>
      </c>
    </row>
    <row r="941" spans="1:3" x14ac:dyDescent="0.2">
      <c r="A941" s="320" t="s">
        <v>3241</v>
      </c>
      <c r="B941" t="b">
        <f>IF(ISBLANK(NeoBerLab!$M$28),"",NeoBerLab!$M$28)</f>
        <v>0</v>
      </c>
      <c r="C941" s="320" t="b">
        <v>0</v>
      </c>
    </row>
    <row r="942" spans="1:3" x14ac:dyDescent="0.2">
      <c r="A942" s="320" t="s">
        <v>3242</v>
      </c>
      <c r="B942" t="b">
        <f>IF(ISBLANK(NeoBerLab!$M$29),"",NeoBerLab!$M$29)</f>
        <v>0</v>
      </c>
      <c r="C942" s="320" t="b">
        <v>0</v>
      </c>
    </row>
    <row r="943" spans="1:3" x14ac:dyDescent="0.2">
      <c r="A943" s="320" t="s">
        <v>3243</v>
      </c>
      <c r="B943" t="b">
        <f>IF(ISBLANK(NeoBerLab!$M$30),"",NeoBerLab!$M$30)</f>
        <v>0</v>
      </c>
      <c r="C943" s="320" t="b">
        <v>0</v>
      </c>
    </row>
    <row r="944" spans="1:3" x14ac:dyDescent="0.2">
      <c r="A944" s="320" t="s">
        <v>3244</v>
      </c>
      <c r="B944" t="b">
        <f>IF(ISBLANK(NeoBerLab!$M$31),"",NeoBerLab!$M$31)</f>
        <v>0</v>
      </c>
      <c r="C944" s="320" t="b">
        <v>0</v>
      </c>
    </row>
    <row r="945" spans="1:3" x14ac:dyDescent="0.2">
      <c r="A945" s="320" t="s">
        <v>3245</v>
      </c>
      <c r="B945" t="b">
        <f>IF(ISBLANK(NeoBerLab!$M$32),"",NeoBerLab!$M$32)</f>
        <v>0</v>
      </c>
      <c r="C945" s="320" t="b">
        <v>0</v>
      </c>
    </row>
    <row r="946" spans="1:3" x14ac:dyDescent="0.2">
      <c r="A946" s="320" t="s">
        <v>3246</v>
      </c>
      <c r="B946" t="b">
        <f>IF(ISBLANK(NeoBerLab!$M$33),"",NeoBerLab!$M$33)</f>
        <v>0</v>
      </c>
      <c r="C946" s="320" t="b">
        <v>0</v>
      </c>
    </row>
    <row r="947" spans="1:3" x14ac:dyDescent="0.2">
      <c r="A947" s="320" t="s">
        <v>3247</v>
      </c>
      <c r="B947" t="b">
        <f>IF(ISBLANK(NeoBerLab!$M$34),"",NeoBerLab!$M$34)</f>
        <v>0</v>
      </c>
      <c r="C947" s="320" t="b">
        <v>0</v>
      </c>
    </row>
    <row r="948" spans="1:3" x14ac:dyDescent="0.2">
      <c r="A948" s="320" t="s">
        <v>3248</v>
      </c>
      <c r="B948" t="b">
        <f>IF(ISBLANK(NeoBerLab!$E$4),"",NeoBerLab!$E$4)</f>
        <v>0</v>
      </c>
      <c r="C948" s="320" t="b">
        <v>0</v>
      </c>
    </row>
    <row r="949" spans="1:3" x14ac:dyDescent="0.2">
      <c r="A949" s="320" t="s">
        <v>3249</v>
      </c>
      <c r="B949" t="b">
        <f>IF(ISBLANK(NeoBerLab!$E$5),"",NeoBerLab!$E$5)</f>
        <v>0</v>
      </c>
      <c r="C949" s="320" t="b">
        <v>0</v>
      </c>
    </row>
    <row r="950" spans="1:3" x14ac:dyDescent="0.2">
      <c r="A950" s="320" t="s">
        <v>3250</v>
      </c>
      <c r="B950" t="b">
        <f>IF(ISBLANK(NeoBerLab!$E$6),"",NeoBerLab!$E$6)</f>
        <v>0</v>
      </c>
      <c r="C950" s="320" t="b">
        <v>0</v>
      </c>
    </row>
    <row r="951" spans="1:3" x14ac:dyDescent="0.2">
      <c r="A951" s="320" t="s">
        <v>3251</v>
      </c>
      <c r="B951" t="b">
        <f>IF(ISBLANK(NeoBerLab!$E$7),"",NeoBerLab!$E$7)</f>
        <v>0</v>
      </c>
      <c r="C951" s="320" t="b">
        <v>0</v>
      </c>
    </row>
    <row r="952" spans="1:3" x14ac:dyDescent="0.2">
      <c r="A952" s="320" t="s">
        <v>3252</v>
      </c>
      <c r="B952" t="b">
        <f>IF(ISBLANK(NeoBerLab!$E$8),"",NeoBerLab!$E$8)</f>
        <v>0</v>
      </c>
      <c r="C952" s="320" t="b">
        <v>0</v>
      </c>
    </row>
    <row r="953" spans="1:3" x14ac:dyDescent="0.2">
      <c r="A953" s="320" t="s">
        <v>3253</v>
      </c>
      <c r="B953" t="b">
        <f>IF(ISBLANK(NeoBerLab!$E$9),"",NeoBerLab!$E$9)</f>
        <v>0</v>
      </c>
      <c r="C953" s="320" t="b">
        <v>0</v>
      </c>
    </row>
    <row r="954" spans="1:3" x14ac:dyDescent="0.2">
      <c r="A954" s="320" t="s">
        <v>3254</v>
      </c>
      <c r="B954" t="b">
        <f>IF(ISBLANK(NeoBerLab!$E$10),"",NeoBerLab!$E$10)</f>
        <v>0</v>
      </c>
      <c r="C954" s="320" t="b">
        <v>0</v>
      </c>
    </row>
    <row r="955" spans="1:3" x14ac:dyDescent="0.2">
      <c r="A955" s="320" t="s">
        <v>3255</v>
      </c>
      <c r="B955" t="b">
        <f>IF(ISBLANK(NeoBerLab!$E$11),"",NeoBerLab!$E$11)</f>
        <v>0</v>
      </c>
      <c r="C955" s="320" t="b">
        <v>0</v>
      </c>
    </row>
    <row r="956" spans="1:3" x14ac:dyDescent="0.2">
      <c r="A956" s="320" t="s">
        <v>3256</v>
      </c>
      <c r="B956" t="b">
        <f>IF(ISBLANK(NeoBerLab!$E$12),"",NeoBerLab!$E$12)</f>
        <v>0</v>
      </c>
      <c r="C956" s="320" t="b">
        <v>0</v>
      </c>
    </row>
    <row r="957" spans="1:3" x14ac:dyDescent="0.2">
      <c r="A957" s="320" t="s">
        <v>3257</v>
      </c>
      <c r="B957" t="b">
        <f>IF(ISBLANK(NeoBerLab!$E$13),"",NeoBerLab!$E$13)</f>
        <v>0</v>
      </c>
      <c r="C957" s="320" t="b">
        <v>0</v>
      </c>
    </row>
    <row r="958" spans="1:3" x14ac:dyDescent="0.2">
      <c r="A958" s="320" t="s">
        <v>3258</v>
      </c>
      <c r="B958" t="b">
        <f>IF(ISBLANK(NeoBerLab!$E$14),"",NeoBerLab!$E$14)</f>
        <v>0</v>
      </c>
      <c r="C958" s="320" t="b">
        <v>0</v>
      </c>
    </row>
    <row r="959" spans="1:3" x14ac:dyDescent="0.2">
      <c r="A959" s="320" t="s">
        <v>3259</v>
      </c>
      <c r="B959" t="b">
        <f>IF(ISBLANK(NeoBerLab!$E$15),"",NeoBerLab!$E$15)</f>
        <v>0</v>
      </c>
      <c r="C959" s="320" t="b">
        <v>0</v>
      </c>
    </row>
    <row r="960" spans="1:3" x14ac:dyDescent="0.2">
      <c r="A960" s="320" t="s">
        <v>3260</v>
      </c>
      <c r="B960" t="b">
        <f>IF(ISBLANK(NeoBerLab!$E$16),"",NeoBerLab!$E$16)</f>
        <v>0</v>
      </c>
      <c r="C960" s="320" t="b">
        <v>0</v>
      </c>
    </row>
    <row r="961" spans="1:3" x14ac:dyDescent="0.2">
      <c r="A961" s="320" t="s">
        <v>3261</v>
      </c>
      <c r="B961" t="b">
        <f>IF(ISBLANK(NeoBerLab!$E$17),"",NeoBerLab!$E$17)</f>
        <v>0</v>
      </c>
      <c r="C961" s="320" t="b">
        <v>0</v>
      </c>
    </row>
    <row r="962" spans="1:3" x14ac:dyDescent="0.2">
      <c r="A962" s="320" t="s">
        <v>3262</v>
      </c>
      <c r="B962" t="b">
        <f>IF(ISBLANK(NeoBerLab!$E$18),"",NeoBerLab!$E$18)</f>
        <v>0</v>
      </c>
      <c r="C962" s="320" t="b">
        <v>0</v>
      </c>
    </row>
    <row r="963" spans="1:3" x14ac:dyDescent="0.2">
      <c r="A963" s="320" t="s">
        <v>3263</v>
      </c>
      <c r="B963" t="b">
        <f>IF(ISBLANK(NeoBerLab!$E$19),"",NeoBerLab!$E$19)</f>
        <v>0</v>
      </c>
      <c r="C963" s="320" t="b">
        <v>0</v>
      </c>
    </row>
    <row r="964" spans="1:3" x14ac:dyDescent="0.2">
      <c r="A964" s="320" t="s">
        <v>3264</v>
      </c>
      <c r="B964" t="b">
        <f>IF(ISBLANK(NeoBerLab!$E$20),"",NeoBerLab!$E$20)</f>
        <v>0</v>
      </c>
      <c r="C964" s="320" t="b">
        <v>0</v>
      </c>
    </row>
    <row r="965" spans="1:3" x14ac:dyDescent="0.2">
      <c r="A965" s="320" t="s">
        <v>3265</v>
      </c>
      <c r="B965" t="b">
        <f>IF(ISBLANK(NeoBerLab!$E$21),"",NeoBerLab!$E$21)</f>
        <v>0</v>
      </c>
      <c r="C965" s="320" t="b">
        <v>0</v>
      </c>
    </row>
    <row r="966" spans="1:3" x14ac:dyDescent="0.2">
      <c r="A966" s="320" t="s">
        <v>3266</v>
      </c>
      <c r="B966" t="b">
        <f>IF(ISBLANK(NeoBerLab!$E$22),"",NeoBerLab!$E$22)</f>
        <v>0</v>
      </c>
      <c r="C966" s="320" t="b">
        <v>0</v>
      </c>
    </row>
    <row r="967" spans="1:3" x14ac:dyDescent="0.2">
      <c r="A967" s="320" t="s">
        <v>3267</v>
      </c>
      <c r="B967" t="b">
        <f>IF(ISBLANK(NeoBerLab!$E$23),"",NeoBerLab!$E$23)</f>
        <v>0</v>
      </c>
      <c r="C967" s="320" t="b">
        <v>0</v>
      </c>
    </row>
    <row r="968" spans="1:3" x14ac:dyDescent="0.2">
      <c r="A968" s="320" t="s">
        <v>3268</v>
      </c>
      <c r="B968" t="b">
        <f>IF(ISBLANK(NeoBerLab!$E$24),"",NeoBerLab!$E$24)</f>
        <v>0</v>
      </c>
      <c r="C968" s="320" t="b">
        <v>0</v>
      </c>
    </row>
    <row r="969" spans="1:3" x14ac:dyDescent="0.2">
      <c r="A969" s="320" t="s">
        <v>3269</v>
      </c>
      <c r="B969" t="b">
        <f>IF(ISBLANK(NeoBerLab!$E$25),"",NeoBerLab!$E$25)</f>
        <v>0</v>
      </c>
      <c r="C969" s="320" t="b">
        <v>0</v>
      </c>
    </row>
    <row r="970" spans="1:3" x14ac:dyDescent="0.2">
      <c r="A970" s="320" t="s">
        <v>3270</v>
      </c>
      <c r="B970" t="b">
        <f>IF(ISBLANK(NeoBerLab!$E$26),"",NeoBerLab!$E$26)</f>
        <v>0</v>
      </c>
      <c r="C970" s="320" t="b">
        <v>0</v>
      </c>
    </row>
    <row r="971" spans="1:3" x14ac:dyDescent="0.2">
      <c r="A971" s="320" t="s">
        <v>3271</v>
      </c>
      <c r="B971" t="b">
        <f>IF(ISBLANK(NeoBerLab!$E$27),"",NeoBerLab!$E$27)</f>
        <v>0</v>
      </c>
      <c r="C971" s="320" t="b">
        <v>0</v>
      </c>
    </row>
    <row r="972" spans="1:3" x14ac:dyDescent="0.2">
      <c r="A972" s="320" t="s">
        <v>3272</v>
      </c>
      <c r="B972" t="b">
        <f>IF(ISBLANK(NeoBerLab!$E$28),"",NeoBerLab!$E$28)</f>
        <v>0</v>
      </c>
      <c r="C972" s="320" t="b">
        <v>0</v>
      </c>
    </row>
    <row r="973" spans="1:3" x14ac:dyDescent="0.2">
      <c r="A973" s="320" t="s">
        <v>3273</v>
      </c>
      <c r="B973" t="b">
        <f>IF(ISBLANK(NeoBerLab!$E$29),"",NeoBerLab!$E$29)</f>
        <v>0</v>
      </c>
      <c r="C973" s="320" t="b">
        <v>0</v>
      </c>
    </row>
    <row r="974" spans="1:3" x14ac:dyDescent="0.2">
      <c r="A974" s="320" t="s">
        <v>3274</v>
      </c>
      <c r="B974" t="b">
        <f>IF(ISBLANK(NeoBerLab!$E$30),"",NeoBerLab!$E$30)</f>
        <v>0</v>
      </c>
      <c r="C974" s="320" t="b">
        <v>0</v>
      </c>
    </row>
    <row r="975" spans="1:3" x14ac:dyDescent="0.2">
      <c r="A975" s="320" t="s">
        <v>3275</v>
      </c>
      <c r="B975" t="b">
        <f>IF(ISBLANK(NeoBerLab!$E$31),"",NeoBerLab!$E$31)</f>
        <v>0</v>
      </c>
      <c r="C975" s="320" t="b">
        <v>0</v>
      </c>
    </row>
    <row r="976" spans="1:3" x14ac:dyDescent="0.2">
      <c r="A976" s="320" t="s">
        <v>3276</v>
      </c>
      <c r="B976" t="b">
        <f>IF(ISBLANK(NeoBerLab!$E$32),"",NeoBerLab!$E$32)</f>
        <v>0</v>
      </c>
      <c r="C976" s="320" t="b">
        <v>0</v>
      </c>
    </row>
    <row r="977" spans="1:3" x14ac:dyDescent="0.2">
      <c r="A977" s="320" t="s">
        <v>3277</v>
      </c>
      <c r="B977" t="b">
        <f>IF(ISBLANK(NeoBerLab!$E$33),"",NeoBerLab!$E$33)</f>
        <v>0</v>
      </c>
      <c r="C977" s="320" t="b">
        <v>0</v>
      </c>
    </row>
    <row r="978" spans="1:3" x14ac:dyDescent="0.2">
      <c r="A978" s="320" t="s">
        <v>3278</v>
      </c>
      <c r="B978" t="b">
        <f>IF(ISBLANK(NeoBerLab!$E$34),"",NeoBerLab!$E$34)</f>
        <v>0</v>
      </c>
      <c r="C978" s="320" t="b">
        <v>0</v>
      </c>
    </row>
    <row r="979" spans="1:3" x14ac:dyDescent="0.2">
      <c r="A979" s="320" t="s">
        <v>3279</v>
      </c>
      <c r="B979" t="b">
        <f>IF(ISBLANK(NeoBerLab!$G$4),"",NeoBerLab!$G$4)</f>
        <v>0</v>
      </c>
      <c r="C979" s="320" t="b">
        <v>0</v>
      </c>
    </row>
    <row r="980" spans="1:3" x14ac:dyDescent="0.2">
      <c r="A980" s="320" t="s">
        <v>3280</v>
      </c>
      <c r="B980" t="b">
        <f>IF(ISBLANK(NeoBerLab!$G$5),"",NeoBerLab!$G$5)</f>
        <v>0</v>
      </c>
      <c r="C980" s="320" t="b">
        <v>0</v>
      </c>
    </row>
    <row r="981" spans="1:3" x14ac:dyDescent="0.2">
      <c r="A981" s="320" t="s">
        <v>3281</v>
      </c>
      <c r="B981" t="b">
        <f>IF(ISBLANK(NeoBerLab!$G$6),"",NeoBerLab!$G$6)</f>
        <v>0</v>
      </c>
      <c r="C981" s="320" t="b">
        <v>0</v>
      </c>
    </row>
    <row r="982" spans="1:3" x14ac:dyDescent="0.2">
      <c r="A982" s="320" t="s">
        <v>3282</v>
      </c>
      <c r="B982" t="b">
        <f>IF(ISBLANK(NeoBerLab!$G$7),"",NeoBerLab!$G$7)</f>
        <v>0</v>
      </c>
      <c r="C982" s="320" t="b">
        <v>0</v>
      </c>
    </row>
    <row r="983" spans="1:3" x14ac:dyDescent="0.2">
      <c r="A983" s="320" t="s">
        <v>3283</v>
      </c>
      <c r="B983" t="b">
        <f>IF(ISBLANK(NeoBerLab!$G$8),"",NeoBerLab!$G$8)</f>
        <v>0</v>
      </c>
      <c r="C983" s="320" t="b">
        <v>0</v>
      </c>
    </row>
    <row r="984" spans="1:3" x14ac:dyDescent="0.2">
      <c r="A984" s="320" t="s">
        <v>3284</v>
      </c>
      <c r="B984" t="b">
        <f>IF(ISBLANK(NeoBerLab!$G$9),"",NeoBerLab!$G$9)</f>
        <v>0</v>
      </c>
      <c r="C984" s="320" t="b">
        <v>0</v>
      </c>
    </row>
    <row r="985" spans="1:3" s="320" customFormat="1" x14ac:dyDescent="0.2">
      <c r="A985" s="320" t="s">
        <v>3285</v>
      </c>
      <c r="B985" t="b">
        <f>IF(ISBLANK(NeoBerLab!$G$10),"",NeoBerLab!$G$10)</f>
        <v>0</v>
      </c>
      <c r="C985" s="320" t="b">
        <v>0</v>
      </c>
    </row>
    <row r="986" spans="1:3" x14ac:dyDescent="0.2">
      <c r="A986" s="320" t="s">
        <v>3286</v>
      </c>
      <c r="B986" t="b">
        <f>IF(ISBLANK(NeoBerLab!$G$11),"",NeoBerLab!$G$11)</f>
        <v>0</v>
      </c>
      <c r="C986" s="320" t="b">
        <v>0</v>
      </c>
    </row>
    <row r="987" spans="1:3" x14ac:dyDescent="0.2">
      <c r="A987" s="320" t="s">
        <v>3287</v>
      </c>
      <c r="B987" t="b">
        <f>IF(ISBLANK(NeoBerLab!$G$12),"",NeoBerLab!$G$12)</f>
        <v>0</v>
      </c>
      <c r="C987" s="320" t="b">
        <v>0</v>
      </c>
    </row>
    <row r="988" spans="1:3" x14ac:dyDescent="0.2">
      <c r="A988" s="320" t="s">
        <v>3288</v>
      </c>
      <c r="B988" t="b">
        <f>IF(ISBLANK(NeoBerLab!$G$13),"",NeoBerLab!$G$13)</f>
        <v>0</v>
      </c>
      <c r="C988" s="320" t="b">
        <v>0</v>
      </c>
    </row>
    <row r="989" spans="1:3" x14ac:dyDescent="0.2">
      <c r="A989" s="320" t="s">
        <v>3289</v>
      </c>
      <c r="B989" t="b">
        <f>IF(ISBLANK(NeoBerLab!$G$14),"",NeoBerLab!$G$14)</f>
        <v>0</v>
      </c>
      <c r="C989" s="320" t="b">
        <v>0</v>
      </c>
    </row>
    <row r="990" spans="1:3" x14ac:dyDescent="0.2">
      <c r="A990" s="320" t="s">
        <v>3290</v>
      </c>
      <c r="B990" t="b">
        <f>IF(ISBLANK(NeoBerLab!$G$15),"",NeoBerLab!$G$15)</f>
        <v>0</v>
      </c>
      <c r="C990" s="320" t="b">
        <v>0</v>
      </c>
    </row>
    <row r="991" spans="1:3" x14ac:dyDescent="0.2">
      <c r="A991" s="320" t="s">
        <v>3291</v>
      </c>
      <c r="B991" s="320" t="b">
        <f>IF(ISBLANK(NeoBerLab!$G$16),"",NeoBerLab!$G$16)</f>
        <v>0</v>
      </c>
      <c r="C991" s="320" t="b">
        <v>0</v>
      </c>
    </row>
    <row r="992" spans="1:3" x14ac:dyDescent="0.2">
      <c r="A992" s="320" t="s">
        <v>3292</v>
      </c>
      <c r="B992" t="b">
        <f>IF(ISBLANK(NeoBerLab!$G$17),"",NeoBerLab!$G$17)</f>
        <v>0</v>
      </c>
      <c r="C992" s="320" t="b">
        <v>0</v>
      </c>
    </row>
    <row r="993" spans="1:3" x14ac:dyDescent="0.2">
      <c r="A993" s="320" t="s">
        <v>3293</v>
      </c>
      <c r="B993" t="b">
        <f>IF(ISBLANK(NeoBerLab!$G$18),"",NeoBerLab!$G$18)</f>
        <v>0</v>
      </c>
      <c r="C993" s="320" t="b">
        <v>0</v>
      </c>
    </row>
    <row r="994" spans="1:3" x14ac:dyDescent="0.2">
      <c r="A994" s="320" t="s">
        <v>3294</v>
      </c>
      <c r="B994" s="320" t="b">
        <f>IF(ISBLANK(NeoBerLab!$G$19),"",NeoBerLab!$G$19)</f>
        <v>0</v>
      </c>
      <c r="C994" s="320" t="b">
        <v>0</v>
      </c>
    </row>
    <row r="995" spans="1:3" x14ac:dyDescent="0.2">
      <c r="A995" s="320" t="s">
        <v>3295</v>
      </c>
      <c r="B995" s="320" t="b">
        <f>IF(ISBLANK(NeoBerLab!$G$20),"",NeoBerLab!$G$20)</f>
        <v>0</v>
      </c>
      <c r="C995" s="320" t="b">
        <v>0</v>
      </c>
    </row>
    <row r="996" spans="1:3" x14ac:dyDescent="0.2">
      <c r="A996" s="320" t="s">
        <v>3296</v>
      </c>
      <c r="B996" t="b">
        <f>IF(ISBLANK(NeoBerLab!$G$21),"",NeoBerLab!$G$21)</f>
        <v>0</v>
      </c>
      <c r="C996" s="320" t="b">
        <v>0</v>
      </c>
    </row>
    <row r="997" spans="1:3" x14ac:dyDescent="0.2">
      <c r="A997" s="320" t="s">
        <v>3297</v>
      </c>
      <c r="B997" t="b">
        <f>IF(ISBLANK(NeoBerLab!$G$22),"",NeoBerLab!$G$22)</f>
        <v>0</v>
      </c>
      <c r="C997" s="320" t="b">
        <v>0</v>
      </c>
    </row>
    <row r="998" spans="1:3" x14ac:dyDescent="0.2">
      <c r="A998" s="320" t="s">
        <v>3298</v>
      </c>
      <c r="B998" t="b">
        <f>IF(ISBLANK(NeoBerLab!$G$23),"",NeoBerLab!$G$23)</f>
        <v>0</v>
      </c>
      <c r="C998" s="320" t="b">
        <v>0</v>
      </c>
    </row>
    <row r="999" spans="1:3" x14ac:dyDescent="0.2">
      <c r="A999" s="320" t="s">
        <v>3299</v>
      </c>
      <c r="B999" t="b">
        <f>IF(ISBLANK(NeoBerLab!$G$24),"",NeoBerLab!$G$24)</f>
        <v>0</v>
      </c>
      <c r="C999" s="320" t="b">
        <v>0</v>
      </c>
    </row>
    <row r="1000" spans="1:3" x14ac:dyDescent="0.2">
      <c r="A1000" s="320" t="s">
        <v>3300</v>
      </c>
      <c r="B1000" s="320" t="b">
        <f>IF(ISBLANK(NeoBerLab!$G$25),"",NeoBerLab!$G$25)</f>
        <v>0</v>
      </c>
      <c r="C1000" s="320" t="b">
        <v>0</v>
      </c>
    </row>
    <row r="1001" spans="1:3" x14ac:dyDescent="0.2">
      <c r="A1001" s="320" t="s">
        <v>3301</v>
      </c>
      <c r="B1001" s="320" t="b">
        <f>IF(ISBLANK(NeoBerLab!$G$26),"",NeoBerLab!$G$26)</f>
        <v>0</v>
      </c>
      <c r="C1001" s="320" t="b">
        <v>0</v>
      </c>
    </row>
    <row r="1002" spans="1:3" x14ac:dyDescent="0.2">
      <c r="A1002" s="320" t="s">
        <v>3302</v>
      </c>
      <c r="B1002" t="b">
        <f>IF(ISBLANK(NeoBerLab!$G$27),"",NeoBerLab!$G$27)</f>
        <v>0</v>
      </c>
      <c r="C1002" s="320" t="b">
        <v>0</v>
      </c>
    </row>
    <row r="1003" spans="1:3" x14ac:dyDescent="0.2">
      <c r="A1003" s="320" t="s">
        <v>3303</v>
      </c>
      <c r="B1003" t="b">
        <f>IF(ISBLANK(NeoBerLab!$G$28),"",NeoBerLab!$G$28)</f>
        <v>0</v>
      </c>
      <c r="C1003" s="320" t="b">
        <v>0</v>
      </c>
    </row>
    <row r="1004" spans="1:3" x14ac:dyDescent="0.2">
      <c r="A1004" s="320" t="s">
        <v>3304</v>
      </c>
      <c r="B1004" t="b">
        <f>IF(ISBLANK(NeoBerLab!$G$29),"",NeoBerLab!$G$29)</f>
        <v>0</v>
      </c>
      <c r="C1004" s="320" t="b">
        <v>0</v>
      </c>
    </row>
    <row r="1005" spans="1:3" x14ac:dyDescent="0.2">
      <c r="A1005" s="320" t="s">
        <v>3305</v>
      </c>
      <c r="B1005" t="b">
        <f>IF(ISBLANK(NeoBerLab!$G$30),"",NeoBerLab!$G$30)</f>
        <v>0</v>
      </c>
      <c r="C1005" s="320" t="b">
        <v>0</v>
      </c>
    </row>
    <row r="1006" spans="1:3" x14ac:dyDescent="0.2">
      <c r="A1006" s="320" t="s">
        <v>3306</v>
      </c>
      <c r="B1006" t="b">
        <f>IF(ISBLANK(NeoBerLab!$G$31),"",NeoBerLab!$G$31)</f>
        <v>0</v>
      </c>
      <c r="C1006" s="320" t="b">
        <v>0</v>
      </c>
    </row>
    <row r="1007" spans="1:3" x14ac:dyDescent="0.2">
      <c r="A1007" s="320" t="s">
        <v>3307</v>
      </c>
      <c r="B1007" t="b">
        <f>IF(ISBLANK(NeoBerLab!$G$32),"",NeoBerLab!$G$32)</f>
        <v>0</v>
      </c>
      <c r="C1007" s="320" t="b">
        <v>0</v>
      </c>
    </row>
    <row r="1008" spans="1:3" x14ac:dyDescent="0.2">
      <c r="A1008" s="320" t="s">
        <v>3308</v>
      </c>
      <c r="B1008" t="b">
        <f>IF(ISBLANK(NeoBerLab!$G$33),"",NeoBerLab!$G$33)</f>
        <v>0</v>
      </c>
      <c r="C1008" s="320" t="b">
        <v>0</v>
      </c>
    </row>
    <row r="1009" spans="1:3" x14ac:dyDescent="0.2">
      <c r="A1009" s="320" t="s">
        <v>3309</v>
      </c>
      <c r="B1009" t="b">
        <f>IF(ISBLANK(NeoBerLab!$G$34),"",NeoBerLab!$G$34)</f>
        <v>0</v>
      </c>
      <c r="C1009" s="320" t="b">
        <v>0</v>
      </c>
    </row>
    <row r="1010" spans="1:3" x14ac:dyDescent="0.2">
      <c r="A1010" s="320" t="s">
        <v>3310</v>
      </c>
      <c r="B1010" t="b">
        <f>IF(ISBLANK(NeoBerLab!$I$4),"",NeoBerLab!$I$4)</f>
        <v>0</v>
      </c>
      <c r="C1010" s="320" t="b">
        <v>0</v>
      </c>
    </row>
    <row r="1011" spans="1:3" x14ac:dyDescent="0.2">
      <c r="A1011" s="320" t="s">
        <v>3311</v>
      </c>
      <c r="B1011" t="b">
        <f>IF(ISBLANK(NeoBerLab!$I$5),"",NeoBerLab!$I$5)</f>
        <v>0</v>
      </c>
      <c r="C1011" s="320" t="b">
        <v>0</v>
      </c>
    </row>
    <row r="1012" spans="1:3" x14ac:dyDescent="0.2">
      <c r="A1012" s="320" t="s">
        <v>3312</v>
      </c>
      <c r="B1012" t="b">
        <f>IF(ISBLANK(NeoBerLab!$I$6),"",NeoBerLab!$I$6)</f>
        <v>0</v>
      </c>
      <c r="C1012" s="320" t="b">
        <v>0</v>
      </c>
    </row>
    <row r="1013" spans="1:3" x14ac:dyDescent="0.2">
      <c r="A1013" s="320" t="s">
        <v>3313</v>
      </c>
      <c r="B1013" t="b">
        <f>IF(ISBLANK(NeoBerLab!$I$7),"",NeoBerLab!$I$7)</f>
        <v>0</v>
      </c>
      <c r="C1013" s="320" t="b">
        <v>0</v>
      </c>
    </row>
    <row r="1014" spans="1:3" x14ac:dyDescent="0.2">
      <c r="A1014" s="320" t="s">
        <v>3314</v>
      </c>
      <c r="B1014" t="b">
        <f>IF(ISBLANK(NeoBerLab!$I$8),"",NeoBerLab!$I$8)</f>
        <v>0</v>
      </c>
      <c r="C1014" s="320" t="b">
        <v>0</v>
      </c>
    </row>
    <row r="1015" spans="1:3" x14ac:dyDescent="0.2">
      <c r="A1015" s="320" t="s">
        <v>3315</v>
      </c>
      <c r="B1015" t="b">
        <f>IF(ISBLANK(NeoBerLab!$I$9),"",NeoBerLab!$I$9)</f>
        <v>0</v>
      </c>
      <c r="C1015" s="320" t="b">
        <v>0</v>
      </c>
    </row>
    <row r="1016" spans="1:3" x14ac:dyDescent="0.2">
      <c r="A1016" s="320" t="s">
        <v>3316</v>
      </c>
      <c r="B1016" t="b">
        <f>IF(ISBLANK(NeoBerLab!$I$10),"",NeoBerLab!$I$10)</f>
        <v>0</v>
      </c>
      <c r="C1016" s="320" t="b">
        <v>0</v>
      </c>
    </row>
    <row r="1017" spans="1:3" x14ac:dyDescent="0.2">
      <c r="A1017" s="320" t="s">
        <v>3317</v>
      </c>
      <c r="B1017" t="b">
        <f>IF(ISBLANK(NeoBerLab!$I$11),"",NeoBerLab!$I$11)</f>
        <v>0</v>
      </c>
      <c r="C1017" s="320" t="b">
        <v>0</v>
      </c>
    </row>
    <row r="1018" spans="1:3" x14ac:dyDescent="0.2">
      <c r="A1018" s="320" t="s">
        <v>3318</v>
      </c>
      <c r="B1018" t="b">
        <f>IF(ISBLANK(NeoBerLab!$I$12),"",NeoBerLab!$I$12)</f>
        <v>0</v>
      </c>
      <c r="C1018" s="320" t="b">
        <v>0</v>
      </c>
    </row>
    <row r="1019" spans="1:3" x14ac:dyDescent="0.2">
      <c r="A1019" s="320" t="s">
        <v>3319</v>
      </c>
      <c r="B1019" t="b">
        <f>IF(ISBLANK(NeoBerLab!$I$13),"",NeoBerLab!$I$13)</f>
        <v>0</v>
      </c>
      <c r="C1019" s="320" t="b">
        <v>0</v>
      </c>
    </row>
    <row r="1020" spans="1:3" x14ac:dyDescent="0.2">
      <c r="A1020" s="320" t="s">
        <v>3320</v>
      </c>
      <c r="B1020" t="b">
        <f>IF(ISBLANK(NeoBerLab!$I$14),"",NeoBerLab!$I$14)</f>
        <v>0</v>
      </c>
      <c r="C1020" s="320" t="b">
        <v>0</v>
      </c>
    </row>
    <row r="1021" spans="1:3" x14ac:dyDescent="0.2">
      <c r="A1021" s="320" t="s">
        <v>3321</v>
      </c>
      <c r="B1021" t="b">
        <f>IF(ISBLANK(NeoBerLab!$I$15),"",NeoBerLab!$I$15)</f>
        <v>0</v>
      </c>
      <c r="C1021" s="320" t="b">
        <v>0</v>
      </c>
    </row>
    <row r="1022" spans="1:3" x14ac:dyDescent="0.2">
      <c r="A1022" s="320" t="s">
        <v>3322</v>
      </c>
      <c r="B1022" t="b">
        <f>IF(ISBLANK(NeoBerLab!$I$16),"",NeoBerLab!$I$16)</f>
        <v>0</v>
      </c>
      <c r="C1022" s="320" t="b">
        <v>0</v>
      </c>
    </row>
    <row r="1023" spans="1:3" x14ac:dyDescent="0.2">
      <c r="A1023" s="320" t="s">
        <v>3323</v>
      </c>
      <c r="B1023" t="b">
        <f>IF(ISBLANK(NeoBerLab!$I$17),"",NeoBerLab!$I$17)</f>
        <v>0</v>
      </c>
      <c r="C1023" s="320" t="b">
        <v>0</v>
      </c>
    </row>
    <row r="1024" spans="1:3" x14ac:dyDescent="0.2">
      <c r="A1024" s="320" t="s">
        <v>3324</v>
      </c>
      <c r="B1024" t="b">
        <f>IF(ISBLANK(NeoBerLab!$I$18),"",NeoBerLab!$I$18)</f>
        <v>0</v>
      </c>
      <c r="C1024" s="320" t="b">
        <v>0</v>
      </c>
    </row>
    <row r="1025" spans="1:3" x14ac:dyDescent="0.2">
      <c r="A1025" s="320" t="s">
        <v>3325</v>
      </c>
      <c r="B1025" t="b">
        <f>IF(ISBLANK(NeoBerLab!$I$19),"",NeoBerLab!$I$19)</f>
        <v>0</v>
      </c>
      <c r="C1025" s="320" t="b">
        <v>0</v>
      </c>
    </row>
    <row r="1026" spans="1:3" x14ac:dyDescent="0.2">
      <c r="A1026" s="320" t="s">
        <v>3326</v>
      </c>
      <c r="B1026" t="b">
        <f>IF(ISBLANK(NeoBerLab!$I$20),"",NeoBerLab!$I$20)</f>
        <v>0</v>
      </c>
      <c r="C1026" s="320" t="b">
        <v>0</v>
      </c>
    </row>
    <row r="1027" spans="1:3" x14ac:dyDescent="0.2">
      <c r="A1027" s="320" t="s">
        <v>3327</v>
      </c>
      <c r="B1027" t="b">
        <f>IF(ISBLANK(NeoBerLab!$I$21),"",NeoBerLab!$I$21)</f>
        <v>0</v>
      </c>
      <c r="C1027" s="320" t="b">
        <v>0</v>
      </c>
    </row>
    <row r="1028" spans="1:3" x14ac:dyDescent="0.2">
      <c r="A1028" s="320" t="s">
        <v>3328</v>
      </c>
      <c r="B1028" t="b">
        <f>IF(ISBLANK(NeoBerLab!$I$22),"",NeoBerLab!$I$22)</f>
        <v>0</v>
      </c>
      <c r="C1028" s="320" t="b">
        <v>0</v>
      </c>
    </row>
    <row r="1029" spans="1:3" x14ac:dyDescent="0.2">
      <c r="A1029" s="320" t="s">
        <v>3329</v>
      </c>
      <c r="B1029" t="b">
        <f>IF(ISBLANK(NeoBerLab!$I$23),"",NeoBerLab!$I$23)</f>
        <v>0</v>
      </c>
      <c r="C1029" s="320" t="b">
        <v>0</v>
      </c>
    </row>
    <row r="1030" spans="1:3" x14ac:dyDescent="0.2">
      <c r="A1030" s="320" t="s">
        <v>3330</v>
      </c>
      <c r="B1030" t="b">
        <f>IF(ISBLANK(NeoBerLab!$I$24),"",NeoBerLab!$I$24)</f>
        <v>0</v>
      </c>
      <c r="C1030" s="320" t="b">
        <v>0</v>
      </c>
    </row>
    <row r="1031" spans="1:3" x14ac:dyDescent="0.2">
      <c r="A1031" s="320" t="s">
        <v>3331</v>
      </c>
      <c r="B1031" t="b">
        <f>IF(ISBLANK(NeoBerLab!$I$25),"",NeoBerLab!$I$25)</f>
        <v>0</v>
      </c>
      <c r="C1031" s="320" t="b">
        <v>0</v>
      </c>
    </row>
    <row r="1032" spans="1:3" x14ac:dyDescent="0.2">
      <c r="A1032" s="320" t="s">
        <v>3332</v>
      </c>
      <c r="B1032" t="b">
        <f>IF(ISBLANK(NeoBerLab!$I$26),"",NeoBerLab!$I$26)</f>
        <v>0</v>
      </c>
      <c r="C1032" s="320" t="b">
        <v>0</v>
      </c>
    </row>
    <row r="1033" spans="1:3" x14ac:dyDescent="0.2">
      <c r="A1033" s="320" t="s">
        <v>3333</v>
      </c>
      <c r="B1033" t="b">
        <f>IF(ISBLANK(NeoBerLab!$I$27),"",NeoBerLab!$I$27)</f>
        <v>0</v>
      </c>
      <c r="C1033" s="320" t="b">
        <v>0</v>
      </c>
    </row>
    <row r="1034" spans="1:3" x14ac:dyDescent="0.2">
      <c r="A1034" s="320" t="s">
        <v>3334</v>
      </c>
      <c r="B1034" t="b">
        <f>IF(ISBLANK(NeoBerLab!$I$28),"",NeoBerLab!$I$28)</f>
        <v>0</v>
      </c>
      <c r="C1034" s="320" t="b">
        <v>0</v>
      </c>
    </row>
    <row r="1035" spans="1:3" x14ac:dyDescent="0.2">
      <c r="A1035" s="320" t="s">
        <v>3335</v>
      </c>
      <c r="B1035" t="b">
        <f>IF(ISBLANK(NeoBerLab!$I$29),"",NeoBerLab!$I$29)</f>
        <v>0</v>
      </c>
      <c r="C1035" s="320" t="b">
        <v>0</v>
      </c>
    </row>
    <row r="1036" spans="1:3" x14ac:dyDescent="0.2">
      <c r="A1036" s="320" t="s">
        <v>3336</v>
      </c>
      <c r="B1036" t="b">
        <f>IF(ISBLANK(NeoBerLab!$I$30),"",NeoBerLab!$I$30)</f>
        <v>0</v>
      </c>
      <c r="C1036" s="320" t="b">
        <v>0</v>
      </c>
    </row>
    <row r="1037" spans="1:3" x14ac:dyDescent="0.2">
      <c r="A1037" s="320" t="s">
        <v>3337</v>
      </c>
      <c r="B1037" t="b">
        <f>IF(ISBLANK(NeoBerLab!$I$31),"",NeoBerLab!$I$31)</f>
        <v>0</v>
      </c>
      <c r="C1037" s="320" t="b">
        <v>0</v>
      </c>
    </row>
    <row r="1038" spans="1:3" x14ac:dyDescent="0.2">
      <c r="A1038" s="320" t="s">
        <v>3338</v>
      </c>
      <c r="B1038" t="b">
        <f>IF(ISBLANK(NeoBerLab!$I$32),"",NeoBerLab!$I$32)</f>
        <v>0</v>
      </c>
      <c r="C1038" s="320" t="b">
        <v>0</v>
      </c>
    </row>
    <row r="1039" spans="1:3" x14ac:dyDescent="0.2">
      <c r="A1039" s="320" t="s">
        <v>3339</v>
      </c>
      <c r="B1039" t="b">
        <f>IF(ISBLANK(NeoBerLab!$I$33),"",NeoBerLab!$I$33)</f>
        <v>0</v>
      </c>
      <c r="C1039" s="320" t="b">
        <v>0</v>
      </c>
    </row>
    <row r="1040" spans="1:3" x14ac:dyDescent="0.2">
      <c r="A1040" s="320" t="s">
        <v>3340</v>
      </c>
      <c r="B1040" t="b">
        <f>IF(ISBLANK(NeoBerLab!$I$34),"",NeoBerLab!$I$34)</f>
        <v>0</v>
      </c>
      <c r="C1040" s="320" t="b">
        <v>0</v>
      </c>
    </row>
    <row r="1041" spans="1:3" x14ac:dyDescent="0.2">
      <c r="A1041" s="320" t="s">
        <v>3341</v>
      </c>
      <c r="B1041" t="b">
        <f>IF(ISBLANK(NeoBerLab!$K$4),"",NeoBerLab!$K$4)</f>
        <v>0</v>
      </c>
      <c r="C1041" s="320" t="b">
        <v>0</v>
      </c>
    </row>
    <row r="1042" spans="1:3" x14ac:dyDescent="0.2">
      <c r="A1042" s="320" t="s">
        <v>3342</v>
      </c>
      <c r="B1042" t="b">
        <f>IF(ISBLANK(NeoBerLab!$K$5),"",NeoBerLab!$K$5)</f>
        <v>0</v>
      </c>
      <c r="C1042" s="320" t="b">
        <v>0</v>
      </c>
    </row>
    <row r="1043" spans="1:3" x14ac:dyDescent="0.2">
      <c r="A1043" s="320" t="s">
        <v>3343</v>
      </c>
      <c r="B1043" t="b">
        <f>IF(ISBLANK(NeoBerLab!$K$6),"",NeoBerLab!$K$6)</f>
        <v>0</v>
      </c>
      <c r="C1043" s="320" t="b">
        <v>0</v>
      </c>
    </row>
    <row r="1044" spans="1:3" x14ac:dyDescent="0.2">
      <c r="A1044" s="320" t="s">
        <v>3344</v>
      </c>
      <c r="B1044" t="b">
        <f>IF(ISBLANK(NeoBerLab!$K$7),"",NeoBerLab!$K$7)</f>
        <v>0</v>
      </c>
      <c r="C1044" s="320" t="b">
        <v>0</v>
      </c>
    </row>
    <row r="1045" spans="1:3" x14ac:dyDescent="0.2">
      <c r="A1045" s="320" t="s">
        <v>3345</v>
      </c>
      <c r="B1045" t="b">
        <f>IF(ISBLANK(NeoBerLab!$K$8),"",NeoBerLab!$K$8)</f>
        <v>0</v>
      </c>
      <c r="C1045" s="320" t="b">
        <v>0</v>
      </c>
    </row>
    <row r="1046" spans="1:3" x14ac:dyDescent="0.2">
      <c r="A1046" s="320" t="s">
        <v>3346</v>
      </c>
      <c r="B1046" t="b">
        <f>IF(ISBLANK(NeoBerLab!$K$9),"",NeoBerLab!$K$9)</f>
        <v>0</v>
      </c>
      <c r="C1046" s="320" t="b">
        <v>0</v>
      </c>
    </row>
    <row r="1047" spans="1:3" x14ac:dyDescent="0.2">
      <c r="A1047" s="320" t="s">
        <v>3347</v>
      </c>
      <c r="B1047" t="b">
        <f>IF(ISBLANK(NeoBerLab!$K$10),"",NeoBerLab!$K$10)</f>
        <v>0</v>
      </c>
      <c r="C1047" s="320" t="b">
        <v>0</v>
      </c>
    </row>
    <row r="1048" spans="1:3" x14ac:dyDescent="0.2">
      <c r="A1048" s="320" t="s">
        <v>3348</v>
      </c>
      <c r="B1048" t="b">
        <f>IF(ISBLANK(NeoBerLab!$K$11),"",NeoBerLab!$K$11)</f>
        <v>0</v>
      </c>
      <c r="C1048" s="320" t="b">
        <v>0</v>
      </c>
    </row>
    <row r="1049" spans="1:3" x14ac:dyDescent="0.2">
      <c r="A1049" s="320" t="s">
        <v>3349</v>
      </c>
      <c r="B1049" t="b">
        <f>IF(ISBLANK(NeoBerLab!$K$12),"",NeoBerLab!$K$12)</f>
        <v>0</v>
      </c>
      <c r="C1049" s="320" t="b">
        <v>0</v>
      </c>
    </row>
    <row r="1050" spans="1:3" x14ac:dyDescent="0.2">
      <c r="A1050" s="320" t="s">
        <v>3350</v>
      </c>
      <c r="B1050" t="b">
        <f>IF(ISBLANK(NeoBerLab!$K$13),"",NeoBerLab!$K$13)</f>
        <v>0</v>
      </c>
      <c r="C1050" s="320" t="b">
        <v>0</v>
      </c>
    </row>
    <row r="1051" spans="1:3" x14ac:dyDescent="0.2">
      <c r="A1051" s="320" t="s">
        <v>3351</v>
      </c>
      <c r="B1051" t="b">
        <f>IF(ISBLANK(NeoBerLab!$K$14),"",NeoBerLab!$K$14)</f>
        <v>0</v>
      </c>
      <c r="C1051" s="320" t="b">
        <v>0</v>
      </c>
    </row>
    <row r="1052" spans="1:3" x14ac:dyDescent="0.2">
      <c r="A1052" s="320" t="s">
        <v>3352</v>
      </c>
      <c r="B1052" t="b">
        <f>IF(ISBLANK(NeoBerLab!$K$15),"",NeoBerLab!$K$15)</f>
        <v>0</v>
      </c>
      <c r="C1052" s="320" t="b">
        <v>0</v>
      </c>
    </row>
    <row r="1053" spans="1:3" x14ac:dyDescent="0.2">
      <c r="A1053" s="320" t="s">
        <v>3353</v>
      </c>
      <c r="B1053" t="b">
        <f>IF(ISBLANK(NeoBerLab!$K$16),"",NeoBerLab!$K$16)</f>
        <v>0</v>
      </c>
      <c r="C1053" s="320" t="b">
        <v>0</v>
      </c>
    </row>
    <row r="1054" spans="1:3" x14ac:dyDescent="0.2">
      <c r="A1054" s="320" t="s">
        <v>3354</v>
      </c>
      <c r="B1054" s="320" t="b">
        <f>IF(ISBLANK(NeoBerLab!$K$17),"",NeoBerLab!$K$17)</f>
        <v>0</v>
      </c>
      <c r="C1054" s="320" t="b">
        <v>0</v>
      </c>
    </row>
    <row r="1055" spans="1:3" x14ac:dyDescent="0.2">
      <c r="A1055" s="320" t="s">
        <v>3355</v>
      </c>
      <c r="B1055" t="b">
        <f>IF(ISBLANK(NeoBerLab!$K$18),"",NeoBerLab!$K$18)</f>
        <v>0</v>
      </c>
      <c r="C1055" s="320" t="b">
        <v>0</v>
      </c>
    </row>
    <row r="1056" spans="1:3" x14ac:dyDescent="0.2">
      <c r="A1056" s="320" t="s">
        <v>3356</v>
      </c>
      <c r="B1056" t="b">
        <f>IF(ISBLANK(NeoBerLab!$K$19),"",NeoBerLab!$K$19)</f>
        <v>0</v>
      </c>
      <c r="C1056" s="320" t="b">
        <v>0</v>
      </c>
    </row>
    <row r="1057" spans="1:3" x14ac:dyDescent="0.2">
      <c r="A1057" s="320" t="s">
        <v>3357</v>
      </c>
      <c r="B1057" t="b">
        <f>IF(ISBLANK(NeoBerLab!$K$20),"",NeoBerLab!$K$20)</f>
        <v>0</v>
      </c>
      <c r="C1057" s="320" t="b">
        <v>0</v>
      </c>
    </row>
    <row r="1058" spans="1:3" x14ac:dyDescent="0.2">
      <c r="A1058" s="320" t="s">
        <v>3358</v>
      </c>
      <c r="B1058" t="b">
        <f>IF(ISBLANK(NeoBerLab!$K$21),"",NeoBerLab!$K$21)</f>
        <v>0</v>
      </c>
      <c r="C1058" s="320" t="b">
        <v>0</v>
      </c>
    </row>
    <row r="1059" spans="1:3" x14ac:dyDescent="0.2">
      <c r="A1059" s="320" t="s">
        <v>3359</v>
      </c>
      <c r="B1059" t="b">
        <f>IF(ISBLANK(NeoBerLab!$K$22),"",NeoBerLab!$K$22)</f>
        <v>0</v>
      </c>
      <c r="C1059" s="320" t="b">
        <v>0</v>
      </c>
    </row>
    <row r="1060" spans="1:3" x14ac:dyDescent="0.2">
      <c r="A1060" s="320" t="s">
        <v>3360</v>
      </c>
      <c r="B1060" t="b">
        <f>IF(ISBLANK(NeoBerLab!$K$23),"",NeoBerLab!$K$23)</f>
        <v>0</v>
      </c>
      <c r="C1060" s="320" t="b">
        <v>0</v>
      </c>
    </row>
    <row r="1061" spans="1:3" x14ac:dyDescent="0.2">
      <c r="A1061" s="320" t="s">
        <v>3361</v>
      </c>
      <c r="B1061" t="b">
        <f>IF(ISBLANK(NeoBerLab!$K$24),"",NeoBerLab!$K$24)</f>
        <v>0</v>
      </c>
      <c r="C1061" s="320" t="b">
        <v>0</v>
      </c>
    </row>
    <row r="1062" spans="1:3" x14ac:dyDescent="0.2">
      <c r="A1062" s="320" t="s">
        <v>3362</v>
      </c>
      <c r="B1062" t="b">
        <f>IF(ISBLANK(NeoBerLab!$K$25),"",NeoBerLab!$K$25)</f>
        <v>0</v>
      </c>
      <c r="C1062" s="320" t="b">
        <v>0</v>
      </c>
    </row>
    <row r="1063" spans="1:3" x14ac:dyDescent="0.2">
      <c r="A1063" s="320" t="s">
        <v>3363</v>
      </c>
      <c r="B1063" t="b">
        <f>IF(ISBLANK(NeoBerLab!$K$26),"",NeoBerLab!$K$26)</f>
        <v>0</v>
      </c>
      <c r="C1063" s="320" t="b">
        <v>0</v>
      </c>
    </row>
    <row r="1064" spans="1:3" x14ac:dyDescent="0.2">
      <c r="A1064" s="320" t="s">
        <v>3364</v>
      </c>
      <c r="B1064" t="b">
        <f>IF(ISBLANK(NeoBerLab!$K$27),"",NeoBerLab!$K$27)</f>
        <v>0</v>
      </c>
      <c r="C1064" s="320" t="b">
        <v>0</v>
      </c>
    </row>
    <row r="1065" spans="1:3" x14ac:dyDescent="0.2">
      <c r="A1065" s="320" t="s">
        <v>3365</v>
      </c>
      <c r="B1065" t="b">
        <f>IF(ISBLANK(NeoBerLab!$K$28),"",NeoBerLab!$K$28)</f>
        <v>0</v>
      </c>
      <c r="C1065" s="320" t="b">
        <v>0</v>
      </c>
    </row>
    <row r="1066" spans="1:3" x14ac:dyDescent="0.2">
      <c r="A1066" s="320" t="s">
        <v>3366</v>
      </c>
      <c r="B1066" s="320" t="b">
        <f>IF(ISBLANK(NeoBerLab!$K$29),"",NeoBerLab!$K$29)</f>
        <v>0</v>
      </c>
      <c r="C1066" s="320" t="b">
        <v>0</v>
      </c>
    </row>
    <row r="1067" spans="1:3" x14ac:dyDescent="0.2">
      <c r="A1067" s="320" t="s">
        <v>3367</v>
      </c>
      <c r="B1067" t="b">
        <f>IF(ISBLANK(NeoBerLab!$K$30),"",NeoBerLab!$K$30)</f>
        <v>0</v>
      </c>
      <c r="C1067" s="320" t="b">
        <v>0</v>
      </c>
    </row>
    <row r="1068" spans="1:3" x14ac:dyDescent="0.2">
      <c r="A1068" s="320" t="s">
        <v>3368</v>
      </c>
      <c r="B1068" t="b">
        <f>IF(ISBLANK(NeoBerLab!$K$31),"",NeoBerLab!$K$31)</f>
        <v>0</v>
      </c>
      <c r="C1068" s="320" t="b">
        <v>0</v>
      </c>
    </row>
    <row r="1069" spans="1:3" x14ac:dyDescent="0.2">
      <c r="A1069" s="320" t="s">
        <v>3369</v>
      </c>
      <c r="B1069" t="b">
        <f>IF(ISBLANK(NeoBerLab!$K$32),"",NeoBerLab!$K$32)</f>
        <v>0</v>
      </c>
      <c r="C1069" s="320" t="b">
        <v>0</v>
      </c>
    </row>
    <row r="1070" spans="1:3" x14ac:dyDescent="0.2">
      <c r="A1070" s="320" t="s">
        <v>3370</v>
      </c>
      <c r="B1070" t="b">
        <f>IF(ISBLANK(NeoBerLab!$K$33),"",NeoBerLab!$K$33)</f>
        <v>0</v>
      </c>
      <c r="C1070" s="320" t="b">
        <v>0</v>
      </c>
    </row>
    <row r="1071" spans="1:3" x14ac:dyDescent="0.2">
      <c r="A1071" s="320" t="s">
        <v>3371</v>
      </c>
      <c r="B1071" t="b">
        <f>IF(ISBLANK(NeoBerLab!$K$34),"",NeoBerLab!$K$34)</f>
        <v>0</v>
      </c>
      <c r="C1071" s="320" t="b">
        <v>0</v>
      </c>
    </row>
    <row r="1072" spans="1:3" x14ac:dyDescent="0.2">
      <c r="A1072" s="320" t="s">
        <v>3372</v>
      </c>
      <c r="B1072" t="b">
        <f>IF(ISBLANK(NeoBerLab!$O$4),"",NeoBerLab!$O$4)</f>
        <v>0</v>
      </c>
      <c r="C1072" s="320" t="b">
        <v>0</v>
      </c>
    </row>
    <row r="1073" spans="1:3" x14ac:dyDescent="0.2">
      <c r="A1073" s="320" t="s">
        <v>3373</v>
      </c>
      <c r="B1073" t="b">
        <f>IF(ISBLANK(NeoBerLab!$O$5),"",NeoBerLab!$O$5)</f>
        <v>0</v>
      </c>
      <c r="C1073" s="320" t="b">
        <v>0</v>
      </c>
    </row>
    <row r="1074" spans="1:3" x14ac:dyDescent="0.2">
      <c r="A1074" s="320" t="s">
        <v>3374</v>
      </c>
      <c r="B1074" t="b">
        <f>IF(ISBLANK(NeoBerLab!$O$6),"",NeoBerLab!$O$6)</f>
        <v>0</v>
      </c>
      <c r="C1074" s="320" t="b">
        <v>0</v>
      </c>
    </row>
    <row r="1075" spans="1:3" x14ac:dyDescent="0.2">
      <c r="A1075" s="320" t="s">
        <v>3375</v>
      </c>
      <c r="B1075" t="b">
        <f>IF(ISBLANK(NeoBerLab!$O$7),"",NeoBerLab!$O$7)</f>
        <v>0</v>
      </c>
      <c r="C1075" s="320" t="b">
        <v>0</v>
      </c>
    </row>
    <row r="1076" spans="1:3" x14ac:dyDescent="0.2">
      <c r="A1076" s="320" t="s">
        <v>3376</v>
      </c>
      <c r="B1076" t="b">
        <f>IF(ISBLANK(NeoBerLab!$O$8),"",NeoBerLab!$O$8)</f>
        <v>0</v>
      </c>
      <c r="C1076" s="320" t="b">
        <v>0</v>
      </c>
    </row>
    <row r="1077" spans="1:3" x14ac:dyDescent="0.2">
      <c r="A1077" s="320" t="s">
        <v>3377</v>
      </c>
      <c r="B1077" t="b">
        <f>IF(ISBLANK(NeoBerLab!$O$9),"",NeoBerLab!$O$9)</f>
        <v>0</v>
      </c>
      <c r="C1077" s="320" t="b">
        <v>0</v>
      </c>
    </row>
    <row r="1078" spans="1:3" x14ac:dyDescent="0.2">
      <c r="A1078" s="320" t="s">
        <v>3378</v>
      </c>
      <c r="B1078" t="b">
        <f>IF(ISBLANK(NeoBerLab!$O$10),"",NeoBerLab!$O$10)</f>
        <v>0</v>
      </c>
      <c r="C1078" s="320" t="b">
        <v>0</v>
      </c>
    </row>
    <row r="1079" spans="1:3" x14ac:dyDescent="0.2">
      <c r="A1079" s="320" t="s">
        <v>3379</v>
      </c>
      <c r="B1079" t="b">
        <f>IF(ISBLANK(NeoBerLab!$O$11),"",NeoBerLab!$O$11)</f>
        <v>0</v>
      </c>
      <c r="C1079" s="320" t="b">
        <v>0</v>
      </c>
    </row>
    <row r="1080" spans="1:3" x14ac:dyDescent="0.2">
      <c r="A1080" s="320" t="s">
        <v>3380</v>
      </c>
      <c r="B1080" t="b">
        <f>IF(ISBLANK(NeoBerLab!$O$12),"",NeoBerLab!$O$12)</f>
        <v>0</v>
      </c>
      <c r="C1080" s="320" t="b">
        <v>0</v>
      </c>
    </row>
    <row r="1081" spans="1:3" x14ac:dyDescent="0.2">
      <c r="A1081" s="320" t="s">
        <v>3381</v>
      </c>
      <c r="B1081" t="b">
        <f>IF(ISBLANK(NeoBerLab!$O$13),"",NeoBerLab!$O$13)</f>
        <v>0</v>
      </c>
      <c r="C1081" s="320" t="b">
        <v>0</v>
      </c>
    </row>
    <row r="1082" spans="1:3" x14ac:dyDescent="0.2">
      <c r="A1082" s="320" t="s">
        <v>3382</v>
      </c>
      <c r="B1082" t="b">
        <f>IF(ISBLANK(NeoBerLab!$O$14),"",NeoBerLab!$O$14)</f>
        <v>0</v>
      </c>
      <c r="C1082" s="320" t="b">
        <v>0</v>
      </c>
    </row>
    <row r="1083" spans="1:3" x14ac:dyDescent="0.2">
      <c r="A1083" s="320" t="s">
        <v>3383</v>
      </c>
      <c r="B1083" t="b">
        <f>IF(ISBLANK(NeoBerLab!$O$15),"",NeoBerLab!$O$15)</f>
        <v>0</v>
      </c>
      <c r="C1083" s="320" t="b">
        <v>0</v>
      </c>
    </row>
    <row r="1084" spans="1:3" x14ac:dyDescent="0.2">
      <c r="A1084" s="320" t="s">
        <v>3384</v>
      </c>
      <c r="B1084" t="b">
        <f>IF(ISBLANK(NeoBerLab!$O$16),"",NeoBerLab!$O$16)</f>
        <v>0</v>
      </c>
      <c r="C1084" s="320" t="b">
        <v>0</v>
      </c>
    </row>
    <row r="1085" spans="1:3" x14ac:dyDescent="0.2">
      <c r="A1085" s="320" t="s">
        <v>3385</v>
      </c>
      <c r="B1085" t="b">
        <f>IF(ISBLANK(NeoBerLab!$O$17),"",NeoBerLab!$O$17)</f>
        <v>0</v>
      </c>
      <c r="C1085" s="320" t="b">
        <v>0</v>
      </c>
    </row>
    <row r="1086" spans="1:3" x14ac:dyDescent="0.2">
      <c r="A1086" s="320" t="s">
        <v>3386</v>
      </c>
      <c r="B1086" t="b">
        <f>IF(ISBLANK(NeoBerLab!$O$18),"",NeoBerLab!$O$18)</f>
        <v>0</v>
      </c>
      <c r="C1086" s="320" t="b">
        <v>0</v>
      </c>
    </row>
    <row r="1087" spans="1:3" x14ac:dyDescent="0.2">
      <c r="A1087" s="320" t="s">
        <v>3387</v>
      </c>
      <c r="B1087" t="b">
        <f>IF(ISBLANK(NeoBerLab!$O$19),"",NeoBerLab!$O$19)</f>
        <v>0</v>
      </c>
      <c r="C1087" s="320" t="b">
        <v>0</v>
      </c>
    </row>
    <row r="1088" spans="1:3" x14ac:dyDescent="0.2">
      <c r="A1088" s="320" t="s">
        <v>3388</v>
      </c>
      <c r="B1088" t="b">
        <f>IF(ISBLANK(NeoBerLab!$O$20),"",NeoBerLab!$O$20)</f>
        <v>0</v>
      </c>
      <c r="C1088" s="320" t="b">
        <v>0</v>
      </c>
    </row>
    <row r="1089" spans="1:3" x14ac:dyDescent="0.2">
      <c r="A1089" s="320" t="s">
        <v>3389</v>
      </c>
      <c r="B1089" t="b">
        <f>IF(ISBLANK(NeoBerLab!$O$21),"",NeoBerLab!$O$21)</f>
        <v>0</v>
      </c>
      <c r="C1089" s="320" t="b">
        <v>0</v>
      </c>
    </row>
    <row r="1090" spans="1:3" x14ac:dyDescent="0.2">
      <c r="A1090" s="320" t="s">
        <v>3390</v>
      </c>
      <c r="B1090" t="b">
        <f>IF(ISBLANK(NeoBerLab!$O$22),"",NeoBerLab!$O$22)</f>
        <v>0</v>
      </c>
      <c r="C1090" s="320" t="b">
        <v>0</v>
      </c>
    </row>
    <row r="1091" spans="1:3" x14ac:dyDescent="0.2">
      <c r="A1091" s="320" t="s">
        <v>3391</v>
      </c>
      <c r="B1091" t="b">
        <f>IF(ISBLANK(NeoBerLab!$O$23),"",NeoBerLab!$O$23)</f>
        <v>0</v>
      </c>
      <c r="C1091" s="320" t="b">
        <v>0</v>
      </c>
    </row>
    <row r="1092" spans="1:3" x14ac:dyDescent="0.2">
      <c r="A1092" s="320" t="s">
        <v>3392</v>
      </c>
      <c r="B1092" t="b">
        <f>IF(ISBLANK(NeoBerLab!$O$24),"",NeoBerLab!$O$24)</f>
        <v>0</v>
      </c>
      <c r="C1092" s="320" t="b">
        <v>0</v>
      </c>
    </row>
    <row r="1093" spans="1:3" x14ac:dyDescent="0.2">
      <c r="A1093" s="320" t="s">
        <v>3393</v>
      </c>
      <c r="B1093" t="b">
        <f>IF(ISBLANK(NeoBerLab!$O$25),"",NeoBerLab!$O$25)</f>
        <v>0</v>
      </c>
      <c r="C1093" s="320" t="b">
        <v>0</v>
      </c>
    </row>
    <row r="1094" spans="1:3" x14ac:dyDescent="0.2">
      <c r="A1094" s="320" t="s">
        <v>3394</v>
      </c>
      <c r="B1094" t="b">
        <f>IF(ISBLANK(NeoBerLab!$O$26),"",NeoBerLab!$O$26)</f>
        <v>0</v>
      </c>
      <c r="C1094" s="320" t="b">
        <v>0</v>
      </c>
    </row>
    <row r="1095" spans="1:3" x14ac:dyDescent="0.2">
      <c r="A1095" s="320" t="s">
        <v>3395</v>
      </c>
      <c r="B1095" t="b">
        <f>IF(ISBLANK(NeoBerLab!$O$27),"",NeoBerLab!$O$27)</f>
        <v>0</v>
      </c>
      <c r="C1095" s="320" t="b">
        <v>0</v>
      </c>
    </row>
    <row r="1096" spans="1:3" x14ac:dyDescent="0.2">
      <c r="A1096" s="320" t="s">
        <v>3396</v>
      </c>
      <c r="B1096" t="b">
        <f>IF(ISBLANK(NeoBerLab!$O$28),"",NeoBerLab!$O$28)</f>
        <v>0</v>
      </c>
      <c r="C1096" s="320" t="b">
        <v>0</v>
      </c>
    </row>
    <row r="1097" spans="1:3" x14ac:dyDescent="0.2">
      <c r="A1097" s="320" t="s">
        <v>3397</v>
      </c>
      <c r="B1097" t="b">
        <f>IF(ISBLANK(NeoBerLab!$O$29),"",NeoBerLab!$O$29)</f>
        <v>0</v>
      </c>
      <c r="C1097" s="320" t="b">
        <v>0</v>
      </c>
    </row>
    <row r="1098" spans="1:3" x14ac:dyDescent="0.2">
      <c r="A1098" s="320" t="s">
        <v>3398</v>
      </c>
      <c r="B1098" t="b">
        <f>IF(ISBLANK(NeoBerLab!$O$30),"",NeoBerLab!$O$30)</f>
        <v>0</v>
      </c>
      <c r="C1098" s="320" t="b">
        <v>0</v>
      </c>
    </row>
    <row r="1099" spans="1:3" x14ac:dyDescent="0.2">
      <c r="A1099" s="320" t="s">
        <v>3399</v>
      </c>
      <c r="B1099" t="b">
        <f>IF(ISBLANK(NeoBerLab!$O$31),"",NeoBerLab!$O$31)</f>
        <v>0</v>
      </c>
      <c r="C1099" s="320" t="b">
        <v>0</v>
      </c>
    </row>
    <row r="1100" spans="1:3" x14ac:dyDescent="0.2">
      <c r="A1100" s="320" t="s">
        <v>3400</v>
      </c>
      <c r="B1100" t="b">
        <f>IF(ISBLANK(NeoBerLab!$O$32),"",NeoBerLab!$O$32)</f>
        <v>0</v>
      </c>
      <c r="C1100" s="320" t="b">
        <v>0</v>
      </c>
    </row>
    <row r="1101" spans="1:3" x14ac:dyDescent="0.2">
      <c r="A1101" s="320" t="s">
        <v>3401</v>
      </c>
      <c r="B1101" t="b">
        <f>IF(ISBLANK(NeoBerLab!$O$33),"",NeoBerLab!$O$33)</f>
        <v>0</v>
      </c>
      <c r="C1101" s="320" t="b">
        <v>0</v>
      </c>
    </row>
    <row r="1102" spans="1:3" x14ac:dyDescent="0.2">
      <c r="A1102" s="320" t="s">
        <v>3402</v>
      </c>
      <c r="B1102" t="b">
        <f>IF(ISBLANK(NeoBerLab!$O$34),"",NeoBerLab!$O$34)</f>
        <v>0</v>
      </c>
      <c r="C1102" s="320" t="b">
        <v>0</v>
      </c>
    </row>
    <row r="1103" spans="1:3" x14ac:dyDescent="0.2">
      <c r="A1103" s="320" t="s">
        <v>3403</v>
      </c>
      <c r="B1103" t="b">
        <f>IF(ISBLANK(NeoBerLab!$Q$4),"",NeoBerLab!$Q$4)</f>
        <v>0</v>
      </c>
      <c r="C1103" s="320" t="b">
        <v>0</v>
      </c>
    </row>
    <row r="1104" spans="1:3" x14ac:dyDescent="0.2">
      <c r="A1104" s="320" t="s">
        <v>3404</v>
      </c>
      <c r="B1104" t="b">
        <f>IF(ISBLANK(NeoBerLab!$Q$5),"",NeoBerLab!$Q$5)</f>
        <v>0</v>
      </c>
      <c r="C1104" s="320" t="b">
        <v>0</v>
      </c>
    </row>
    <row r="1105" spans="1:3" x14ac:dyDescent="0.2">
      <c r="A1105" s="320" t="s">
        <v>3405</v>
      </c>
      <c r="B1105" t="b">
        <f>IF(ISBLANK(NeoBerLab!$Q$6),"",NeoBerLab!$Q$6)</f>
        <v>0</v>
      </c>
      <c r="C1105" s="320" t="b">
        <v>0</v>
      </c>
    </row>
    <row r="1106" spans="1:3" x14ac:dyDescent="0.2">
      <c r="A1106" s="320" t="s">
        <v>3406</v>
      </c>
      <c r="B1106" t="b">
        <f>IF(ISBLANK(NeoBerLab!$Q$7),"",NeoBerLab!$Q$7)</f>
        <v>0</v>
      </c>
      <c r="C1106" s="320" t="b">
        <v>0</v>
      </c>
    </row>
    <row r="1107" spans="1:3" x14ac:dyDescent="0.2">
      <c r="A1107" s="320" t="s">
        <v>3407</v>
      </c>
      <c r="B1107" t="b">
        <f>IF(ISBLANK(NeoBerLab!$Q$8),"",NeoBerLab!$Q$8)</f>
        <v>0</v>
      </c>
      <c r="C1107" s="320" t="b">
        <v>0</v>
      </c>
    </row>
    <row r="1108" spans="1:3" x14ac:dyDescent="0.2">
      <c r="A1108" s="320" t="s">
        <v>3408</v>
      </c>
      <c r="B1108" t="b">
        <f>IF(ISBLANK(NeoBerLab!$Q$9),"",NeoBerLab!$Q$9)</f>
        <v>0</v>
      </c>
      <c r="C1108" s="320" t="b">
        <v>0</v>
      </c>
    </row>
    <row r="1109" spans="1:3" x14ac:dyDescent="0.2">
      <c r="A1109" s="320" t="s">
        <v>3409</v>
      </c>
      <c r="B1109" t="b">
        <f>IF(ISBLANK(NeoBerLab!$Q$10),"",NeoBerLab!$Q$10)</f>
        <v>0</v>
      </c>
      <c r="C1109" s="320" t="b">
        <v>0</v>
      </c>
    </row>
    <row r="1110" spans="1:3" x14ac:dyDescent="0.2">
      <c r="A1110" s="320" t="s">
        <v>3410</v>
      </c>
      <c r="B1110" t="b">
        <f>IF(ISBLANK(NeoBerLab!$Q$11),"",NeoBerLab!$Q$11)</f>
        <v>0</v>
      </c>
      <c r="C1110" s="320" t="b">
        <v>0</v>
      </c>
    </row>
    <row r="1111" spans="1:3" x14ac:dyDescent="0.2">
      <c r="A1111" s="320" t="s">
        <v>3411</v>
      </c>
      <c r="B1111" t="b">
        <f>IF(ISBLANK(NeoBerLab!$Q$12),"",NeoBerLab!$Q$12)</f>
        <v>0</v>
      </c>
      <c r="C1111" s="320" t="b">
        <v>0</v>
      </c>
    </row>
    <row r="1112" spans="1:3" x14ac:dyDescent="0.2">
      <c r="A1112" s="320" t="s">
        <v>3412</v>
      </c>
      <c r="B1112" t="b">
        <f>IF(ISBLANK(NeoBerLab!$Q$13),"",NeoBerLab!$Q$13)</f>
        <v>0</v>
      </c>
      <c r="C1112" s="320" t="b">
        <v>0</v>
      </c>
    </row>
    <row r="1113" spans="1:3" x14ac:dyDescent="0.2">
      <c r="A1113" s="320" t="s">
        <v>3413</v>
      </c>
      <c r="B1113" t="b">
        <f>IF(ISBLANK(NeoBerLab!$Q$14),"",NeoBerLab!$Q$14)</f>
        <v>0</v>
      </c>
      <c r="C1113" s="320" t="b">
        <v>0</v>
      </c>
    </row>
    <row r="1114" spans="1:3" x14ac:dyDescent="0.2">
      <c r="A1114" s="320" t="s">
        <v>3414</v>
      </c>
      <c r="B1114" t="b">
        <f>IF(ISBLANK(NeoBerLab!$Q$15),"",NeoBerLab!$Q$15)</f>
        <v>0</v>
      </c>
      <c r="C1114" s="320" t="b">
        <v>0</v>
      </c>
    </row>
    <row r="1115" spans="1:3" x14ac:dyDescent="0.2">
      <c r="A1115" s="320" t="s">
        <v>3415</v>
      </c>
      <c r="B1115" s="320" t="b">
        <f>IF(ISBLANK(NeoBerLab!$Q$16),"",NeoBerLab!$Q$16)</f>
        <v>0</v>
      </c>
      <c r="C1115" s="320" t="b">
        <v>0</v>
      </c>
    </row>
    <row r="1116" spans="1:3" x14ac:dyDescent="0.2">
      <c r="A1116" s="320" t="s">
        <v>3416</v>
      </c>
      <c r="B1116" t="b">
        <f>IF(ISBLANK(NeoBerLab!$Q$17),"",NeoBerLab!$Q$17)</f>
        <v>0</v>
      </c>
      <c r="C1116" s="320" t="b">
        <v>0</v>
      </c>
    </row>
    <row r="1117" spans="1:3" x14ac:dyDescent="0.2">
      <c r="A1117" s="320" t="s">
        <v>3417</v>
      </c>
      <c r="B1117" t="b">
        <f>IF(ISBLANK(NeoBerLab!$Q$18),"",NeoBerLab!$Q$18)</f>
        <v>0</v>
      </c>
      <c r="C1117" s="320" t="b">
        <v>0</v>
      </c>
    </row>
    <row r="1118" spans="1:3" x14ac:dyDescent="0.2">
      <c r="A1118" s="320" t="s">
        <v>3418</v>
      </c>
      <c r="B1118" t="b">
        <f>IF(ISBLANK(NeoBerLab!$Q$19),"",NeoBerLab!$Q$19)</f>
        <v>0</v>
      </c>
      <c r="C1118" s="320" t="b">
        <v>0</v>
      </c>
    </row>
    <row r="1119" spans="1:3" x14ac:dyDescent="0.2">
      <c r="A1119" s="320" t="s">
        <v>3419</v>
      </c>
      <c r="B1119" t="b">
        <f>IF(ISBLANK(NeoBerLab!$Q$20),"",NeoBerLab!$Q$20)</f>
        <v>0</v>
      </c>
      <c r="C1119" s="320" t="b">
        <v>0</v>
      </c>
    </row>
    <row r="1120" spans="1:3" x14ac:dyDescent="0.2">
      <c r="A1120" s="320" t="s">
        <v>3420</v>
      </c>
      <c r="B1120" t="b">
        <f>IF(ISBLANK(NeoBerLab!$Q$21),"",NeoBerLab!$Q$21)</f>
        <v>0</v>
      </c>
      <c r="C1120" s="320" t="b">
        <v>0</v>
      </c>
    </row>
    <row r="1121" spans="1:3" x14ac:dyDescent="0.2">
      <c r="A1121" s="320" t="s">
        <v>3421</v>
      </c>
      <c r="B1121" t="b">
        <f>IF(ISBLANK(NeoBerLab!$Q$22),"",NeoBerLab!$Q$22)</f>
        <v>0</v>
      </c>
      <c r="C1121" s="320" t="b">
        <v>0</v>
      </c>
    </row>
    <row r="1122" spans="1:3" x14ac:dyDescent="0.2">
      <c r="A1122" s="320" t="s">
        <v>3422</v>
      </c>
      <c r="B1122" t="b">
        <f>IF(ISBLANK(NeoBerLab!$Q$23),"",NeoBerLab!$Q$23)</f>
        <v>0</v>
      </c>
      <c r="C1122" s="320" t="b">
        <v>0</v>
      </c>
    </row>
    <row r="1123" spans="1:3" x14ac:dyDescent="0.2">
      <c r="A1123" s="320" t="s">
        <v>3423</v>
      </c>
      <c r="B1123" t="b">
        <f>IF(ISBLANK(NeoBerLab!$Q$24),"",NeoBerLab!$Q$24)</f>
        <v>0</v>
      </c>
      <c r="C1123" s="320" t="b">
        <v>0</v>
      </c>
    </row>
    <row r="1124" spans="1:3" x14ac:dyDescent="0.2">
      <c r="A1124" s="320" t="s">
        <v>3424</v>
      </c>
      <c r="B1124" t="b">
        <f>IF(ISBLANK(NeoBerLab!$Q$25),"",NeoBerLab!$Q$25)</f>
        <v>0</v>
      </c>
      <c r="C1124" s="320" t="b">
        <v>0</v>
      </c>
    </row>
    <row r="1125" spans="1:3" x14ac:dyDescent="0.2">
      <c r="A1125" s="320" t="s">
        <v>3425</v>
      </c>
      <c r="B1125" t="b">
        <f>IF(ISBLANK(NeoBerLab!$Q$26),"",NeoBerLab!$Q$26)</f>
        <v>0</v>
      </c>
      <c r="C1125" s="320" t="b">
        <v>0</v>
      </c>
    </row>
    <row r="1126" spans="1:3" x14ac:dyDescent="0.2">
      <c r="A1126" s="320" t="s">
        <v>3426</v>
      </c>
      <c r="B1126" t="b">
        <f>IF(ISBLANK(NeoBerLab!$Q$27),"",NeoBerLab!$Q$27)</f>
        <v>0</v>
      </c>
      <c r="C1126" s="320" t="b">
        <v>0</v>
      </c>
    </row>
    <row r="1127" spans="1:3" x14ac:dyDescent="0.2">
      <c r="A1127" s="320" t="s">
        <v>3427</v>
      </c>
      <c r="B1127" t="b">
        <f>IF(ISBLANK(NeoBerLab!$Q$28),"",NeoBerLab!$Q$28)</f>
        <v>0</v>
      </c>
      <c r="C1127" s="320" t="b">
        <v>0</v>
      </c>
    </row>
    <row r="1128" spans="1:3" x14ac:dyDescent="0.2">
      <c r="A1128" s="320" t="s">
        <v>3428</v>
      </c>
      <c r="B1128" t="b">
        <f>IF(ISBLANK(NeoBerLab!$Q$29),"",NeoBerLab!$Q$29)</f>
        <v>0</v>
      </c>
      <c r="C1128" s="320" t="b">
        <v>0</v>
      </c>
    </row>
    <row r="1129" spans="1:3" x14ac:dyDescent="0.2">
      <c r="A1129" s="320" t="s">
        <v>3429</v>
      </c>
      <c r="B1129" t="b">
        <f>IF(ISBLANK(NeoBerLab!$Q$30),"",NeoBerLab!$Q$30)</f>
        <v>0</v>
      </c>
      <c r="C1129" s="320" t="b">
        <v>0</v>
      </c>
    </row>
    <row r="1130" spans="1:3" x14ac:dyDescent="0.2">
      <c r="A1130" s="320" t="s">
        <v>3430</v>
      </c>
      <c r="B1130" t="b">
        <f>IF(ISBLANK(NeoBerLab!$Q$31),"",NeoBerLab!$Q$31)</f>
        <v>0</v>
      </c>
      <c r="C1130" s="320" t="b">
        <v>0</v>
      </c>
    </row>
    <row r="1131" spans="1:3" x14ac:dyDescent="0.2">
      <c r="A1131" s="320" t="s">
        <v>3431</v>
      </c>
      <c r="B1131" t="b">
        <f>IF(ISBLANK(NeoBerLab!$Q$32),"",NeoBerLab!$Q$32)</f>
        <v>0</v>
      </c>
      <c r="C1131" s="320" t="b">
        <v>0</v>
      </c>
    </row>
    <row r="1132" spans="1:3" x14ac:dyDescent="0.2">
      <c r="A1132" s="320" t="s">
        <v>3432</v>
      </c>
      <c r="B1132" t="b">
        <f>IF(ISBLANK(NeoBerLab!$Q$33),"",NeoBerLab!$Q$33)</f>
        <v>0</v>
      </c>
      <c r="C1132" s="320" t="b">
        <v>0</v>
      </c>
    </row>
    <row r="1133" spans="1:3" x14ac:dyDescent="0.2">
      <c r="A1133" s="320" t="s">
        <v>3433</v>
      </c>
      <c r="B1133" t="b">
        <f>IF(ISBLANK(NeoBerLab!$Q$34),"",NeoBerLab!$Q$34)</f>
        <v>0</v>
      </c>
      <c r="C1133" s="320" t="b">
        <v>0</v>
      </c>
    </row>
    <row r="1134" spans="1:3" x14ac:dyDescent="0.2">
      <c r="A1134" s="320" t="s">
        <v>3434</v>
      </c>
      <c r="B1134" t="b">
        <f>IF(ISBLANK(NeoBerLab!$S$4),"",NeoBerLab!$S$4)</f>
        <v>0</v>
      </c>
      <c r="C1134" s="320" t="b">
        <v>0</v>
      </c>
    </row>
    <row r="1135" spans="1:3" x14ac:dyDescent="0.2">
      <c r="A1135" s="320" t="s">
        <v>3435</v>
      </c>
      <c r="B1135" t="b">
        <f>IF(ISBLANK(NeoBerLab!$S$5),"",NeoBerLab!$S$5)</f>
        <v>0</v>
      </c>
      <c r="C1135" s="320" t="b">
        <v>0</v>
      </c>
    </row>
    <row r="1136" spans="1:3" x14ac:dyDescent="0.2">
      <c r="A1136" s="320" t="s">
        <v>3436</v>
      </c>
      <c r="B1136" t="b">
        <f>IF(ISBLANK(NeoBerLab!$S$6),"",NeoBerLab!$S$6)</f>
        <v>0</v>
      </c>
      <c r="C1136" s="320" t="b">
        <v>0</v>
      </c>
    </row>
    <row r="1137" spans="1:3" x14ac:dyDescent="0.2">
      <c r="A1137" s="320" t="s">
        <v>3437</v>
      </c>
      <c r="B1137" t="b">
        <f>IF(ISBLANK(NeoBerLab!$S$7),"",NeoBerLab!$S$7)</f>
        <v>0</v>
      </c>
      <c r="C1137" s="320" t="b">
        <v>0</v>
      </c>
    </row>
    <row r="1138" spans="1:3" x14ac:dyDescent="0.2">
      <c r="A1138" s="320" t="s">
        <v>3438</v>
      </c>
      <c r="B1138" t="b">
        <f>IF(ISBLANK(NeoBerLab!$S$8),"",NeoBerLab!$S$8)</f>
        <v>0</v>
      </c>
      <c r="C1138" s="320" t="b">
        <v>0</v>
      </c>
    </row>
    <row r="1139" spans="1:3" x14ac:dyDescent="0.2">
      <c r="A1139" s="320" t="s">
        <v>3439</v>
      </c>
      <c r="B1139" t="b">
        <f>IF(ISBLANK(NeoBerLab!$S$9),"",NeoBerLab!$S$9)</f>
        <v>0</v>
      </c>
      <c r="C1139" s="320" t="b">
        <v>0</v>
      </c>
    </row>
    <row r="1140" spans="1:3" x14ac:dyDescent="0.2">
      <c r="A1140" s="320" t="s">
        <v>3440</v>
      </c>
      <c r="B1140" t="b">
        <f>IF(ISBLANK(NeoBerLab!$S$10),"",NeoBerLab!$S$10)</f>
        <v>0</v>
      </c>
      <c r="C1140" s="320" t="b">
        <v>0</v>
      </c>
    </row>
    <row r="1141" spans="1:3" x14ac:dyDescent="0.2">
      <c r="A1141" s="320" t="s">
        <v>3441</v>
      </c>
      <c r="B1141" t="b">
        <f>IF(ISBLANK(NeoBerLab!$S$11),"",NeoBerLab!$S$11)</f>
        <v>0</v>
      </c>
      <c r="C1141" s="320" t="b">
        <v>0</v>
      </c>
    </row>
    <row r="1142" spans="1:3" x14ac:dyDescent="0.2">
      <c r="A1142" s="320" t="s">
        <v>3442</v>
      </c>
      <c r="B1142" t="b">
        <f>IF(ISBLANK(NeoBerLab!$S$12),"",NeoBerLab!$S$12)</f>
        <v>0</v>
      </c>
      <c r="C1142" s="320" t="b">
        <v>0</v>
      </c>
    </row>
    <row r="1143" spans="1:3" x14ac:dyDescent="0.2">
      <c r="A1143" s="320" t="s">
        <v>3443</v>
      </c>
      <c r="B1143" t="b">
        <f>IF(ISBLANK(NeoBerLab!$S$13),"",NeoBerLab!$S$13)</f>
        <v>0</v>
      </c>
      <c r="C1143" s="320" t="b">
        <v>0</v>
      </c>
    </row>
    <row r="1144" spans="1:3" x14ac:dyDescent="0.2">
      <c r="A1144" s="320" t="s">
        <v>3444</v>
      </c>
      <c r="B1144" t="b">
        <f>IF(ISBLANK(NeoBerLab!$S$14),"",NeoBerLab!$S$14)</f>
        <v>0</v>
      </c>
      <c r="C1144" s="320" t="b">
        <v>0</v>
      </c>
    </row>
    <row r="1145" spans="1:3" x14ac:dyDescent="0.2">
      <c r="A1145" s="320" t="s">
        <v>3445</v>
      </c>
      <c r="B1145" t="b">
        <f>IF(ISBLANK(NeoBerLab!$S$15),"",NeoBerLab!$S$15)</f>
        <v>0</v>
      </c>
      <c r="C1145" s="320" t="b">
        <v>0</v>
      </c>
    </row>
    <row r="1146" spans="1:3" x14ac:dyDescent="0.2">
      <c r="A1146" s="320" t="s">
        <v>3446</v>
      </c>
      <c r="B1146" t="b">
        <f>IF(ISBLANK(NeoBerLab!$S$16),"",NeoBerLab!$S$16)</f>
        <v>0</v>
      </c>
      <c r="C1146" s="320" t="b">
        <v>0</v>
      </c>
    </row>
    <row r="1147" spans="1:3" x14ac:dyDescent="0.2">
      <c r="A1147" s="320" t="s">
        <v>3447</v>
      </c>
      <c r="B1147" t="b">
        <f>IF(ISBLANK(NeoBerLab!$S$17),"",NeoBerLab!$S$17)</f>
        <v>0</v>
      </c>
      <c r="C1147" s="320" t="b">
        <v>0</v>
      </c>
    </row>
    <row r="1148" spans="1:3" x14ac:dyDescent="0.2">
      <c r="A1148" s="320" t="s">
        <v>3448</v>
      </c>
      <c r="B1148" t="b">
        <f>IF(ISBLANK(NeoBerLab!$S$18),"",NeoBerLab!$S$18)</f>
        <v>0</v>
      </c>
      <c r="C1148" s="320" t="b">
        <v>0</v>
      </c>
    </row>
    <row r="1149" spans="1:3" x14ac:dyDescent="0.2">
      <c r="A1149" s="320" t="s">
        <v>3449</v>
      </c>
      <c r="B1149" t="b">
        <f>IF(ISBLANK(NeoBerLab!$S$19),"",NeoBerLab!$S$19)</f>
        <v>0</v>
      </c>
      <c r="C1149" s="320" t="b">
        <v>0</v>
      </c>
    </row>
    <row r="1150" spans="1:3" x14ac:dyDescent="0.2">
      <c r="A1150" s="320" t="s">
        <v>3450</v>
      </c>
      <c r="B1150" t="b">
        <f>IF(ISBLANK(NeoBerLab!$S$20),"",NeoBerLab!$S$20)</f>
        <v>0</v>
      </c>
      <c r="C1150" s="320" t="b">
        <v>0</v>
      </c>
    </row>
    <row r="1151" spans="1:3" x14ac:dyDescent="0.2">
      <c r="A1151" s="320" t="s">
        <v>3451</v>
      </c>
      <c r="B1151" t="b">
        <f>IF(ISBLANK(NeoBerLab!$S$21),"",NeoBerLab!$S$21)</f>
        <v>0</v>
      </c>
      <c r="C1151" s="320" t="b">
        <v>0</v>
      </c>
    </row>
    <row r="1152" spans="1:3" x14ac:dyDescent="0.2">
      <c r="A1152" s="320" t="s">
        <v>3452</v>
      </c>
      <c r="B1152" t="b">
        <f>IF(ISBLANK(NeoBerLab!$S$22),"",NeoBerLab!$S$22)</f>
        <v>0</v>
      </c>
      <c r="C1152" s="320" t="b">
        <v>0</v>
      </c>
    </row>
    <row r="1153" spans="1:3" x14ac:dyDescent="0.2">
      <c r="A1153" s="320" t="s">
        <v>3453</v>
      </c>
      <c r="B1153" t="b">
        <f>IF(ISBLANK(NeoBerLab!$S$23),"",NeoBerLab!$S$23)</f>
        <v>0</v>
      </c>
      <c r="C1153" s="320" t="b">
        <v>0</v>
      </c>
    </row>
    <row r="1154" spans="1:3" x14ac:dyDescent="0.2">
      <c r="A1154" s="320" t="s">
        <v>3454</v>
      </c>
      <c r="B1154" t="b">
        <f>IF(ISBLANK(NeoBerLab!$S$24),"",NeoBerLab!$S$24)</f>
        <v>0</v>
      </c>
      <c r="C1154" s="320" t="b">
        <v>0</v>
      </c>
    </row>
    <row r="1155" spans="1:3" x14ac:dyDescent="0.2">
      <c r="A1155" s="320" t="s">
        <v>3455</v>
      </c>
      <c r="B1155" t="b">
        <f>IF(ISBLANK(NeoBerLab!$S$25),"",NeoBerLab!$S$25)</f>
        <v>0</v>
      </c>
      <c r="C1155" s="320" t="b">
        <v>0</v>
      </c>
    </row>
    <row r="1156" spans="1:3" x14ac:dyDescent="0.2">
      <c r="A1156" s="320" t="s">
        <v>3456</v>
      </c>
      <c r="B1156" t="b">
        <f>IF(ISBLANK(NeoBerLab!$S$26),"",NeoBerLab!$S$26)</f>
        <v>0</v>
      </c>
      <c r="C1156" s="320" t="b">
        <v>0</v>
      </c>
    </row>
    <row r="1157" spans="1:3" x14ac:dyDescent="0.2">
      <c r="A1157" s="320" t="s">
        <v>3457</v>
      </c>
      <c r="B1157" t="b">
        <f>IF(ISBLANK(NeoBerLab!$S$27),"",NeoBerLab!$S$27)</f>
        <v>0</v>
      </c>
      <c r="C1157" s="320" t="b">
        <v>0</v>
      </c>
    </row>
    <row r="1158" spans="1:3" x14ac:dyDescent="0.2">
      <c r="A1158" s="320" t="s">
        <v>3458</v>
      </c>
      <c r="B1158" t="b">
        <f>IF(ISBLANK(NeoBerLab!$S$28),"",NeoBerLab!$S$28)</f>
        <v>0</v>
      </c>
      <c r="C1158" s="320" t="b">
        <v>0</v>
      </c>
    </row>
    <row r="1159" spans="1:3" x14ac:dyDescent="0.2">
      <c r="A1159" s="320" t="s">
        <v>3459</v>
      </c>
      <c r="B1159" t="b">
        <f>IF(ISBLANK(NeoBerLab!$S$29),"",NeoBerLab!$S$29)</f>
        <v>0</v>
      </c>
      <c r="C1159" s="320" t="b">
        <v>0</v>
      </c>
    </row>
    <row r="1160" spans="1:3" x14ac:dyDescent="0.2">
      <c r="A1160" s="320" t="s">
        <v>3460</v>
      </c>
      <c r="B1160" t="b">
        <f>IF(ISBLANK(NeoBerLab!$S$30),"",NeoBerLab!$S$30)</f>
        <v>0</v>
      </c>
      <c r="C1160" s="320" t="b">
        <v>0</v>
      </c>
    </row>
    <row r="1161" spans="1:3" x14ac:dyDescent="0.2">
      <c r="A1161" s="320" t="s">
        <v>3461</v>
      </c>
      <c r="B1161" t="b">
        <f>IF(ISBLANK(NeoBerLab!$S$31),"",NeoBerLab!$S$31)</f>
        <v>0</v>
      </c>
      <c r="C1161" s="320" t="b">
        <v>0</v>
      </c>
    </row>
    <row r="1162" spans="1:3" x14ac:dyDescent="0.2">
      <c r="A1162" s="320" t="s">
        <v>3462</v>
      </c>
      <c r="B1162" t="b">
        <f>IF(ISBLANK(NeoBerLab!$S$32),"",NeoBerLab!$S$32)</f>
        <v>0</v>
      </c>
      <c r="C1162" s="320" t="b">
        <v>0</v>
      </c>
    </row>
    <row r="1163" spans="1:3" x14ac:dyDescent="0.2">
      <c r="A1163" s="320" t="s">
        <v>3463</v>
      </c>
      <c r="B1163" t="b">
        <f>IF(ISBLANK(NeoBerLab!$S$33),"",NeoBerLab!$S$33)</f>
        <v>0</v>
      </c>
      <c r="C1163" s="320" t="b">
        <v>0</v>
      </c>
    </row>
    <row r="1164" spans="1:3" x14ac:dyDescent="0.2">
      <c r="A1164" s="320" t="s">
        <v>3464</v>
      </c>
      <c r="B1164" t="b">
        <f>IF(ISBLANK(NeoBerLab!$S$34),"",NeoBerLab!$S$34)</f>
        <v>0</v>
      </c>
      <c r="C1164" s="320" t="b">
        <v>0</v>
      </c>
    </row>
    <row r="1165" spans="1:3" x14ac:dyDescent="0.2">
      <c r="A1165" s="320" t="s">
        <v>3465</v>
      </c>
      <c r="B1165" t="str">
        <f>IF(ISBLANK(NeoBerLab!$D$38),"",NeoBerLab!$D$38)</f>
        <v/>
      </c>
      <c r="C1165" s="134"/>
    </row>
    <row r="1166" spans="1:3" x14ac:dyDescent="0.2">
      <c r="A1166" s="320" t="s">
        <v>3466</v>
      </c>
      <c r="B1166" t="b">
        <f>IF(ISBLANK(NeoBerLab!$C$4),"",NeoBerLab!$C$4)</f>
        <v>0</v>
      </c>
      <c r="C1166" s="320" t="b">
        <v>0</v>
      </c>
    </row>
    <row r="1167" spans="1:3" x14ac:dyDescent="0.2">
      <c r="A1167" s="320" t="s">
        <v>3467</v>
      </c>
      <c r="B1167" t="b">
        <f>IF(ISBLANK(NeoBerLab!$C$5),"",NeoBerLab!$C$5)</f>
        <v>0</v>
      </c>
      <c r="C1167" s="320" t="b">
        <v>0</v>
      </c>
    </row>
    <row r="1168" spans="1:3" x14ac:dyDescent="0.2">
      <c r="A1168" s="320" t="s">
        <v>3468</v>
      </c>
      <c r="B1168" t="b">
        <f>IF(ISBLANK(NeoBerLab!$C$6),"",NeoBerLab!$C$6)</f>
        <v>0</v>
      </c>
      <c r="C1168" s="320" t="b">
        <v>0</v>
      </c>
    </row>
    <row r="1169" spans="1:3" x14ac:dyDescent="0.2">
      <c r="A1169" s="320" t="s">
        <v>3469</v>
      </c>
      <c r="B1169" t="b">
        <f>IF(ISBLANK(NeoBerLab!$C$7),"",NeoBerLab!$C$7)</f>
        <v>0</v>
      </c>
      <c r="C1169" s="320" t="b">
        <v>0</v>
      </c>
    </row>
    <row r="1170" spans="1:3" x14ac:dyDescent="0.2">
      <c r="A1170" s="320" t="s">
        <v>3470</v>
      </c>
      <c r="B1170" t="b">
        <f>IF(ISBLANK(NeoBerLab!$C$8),"",NeoBerLab!$C$8)</f>
        <v>0</v>
      </c>
      <c r="C1170" s="320" t="b">
        <v>0</v>
      </c>
    </row>
    <row r="1171" spans="1:3" x14ac:dyDescent="0.2">
      <c r="A1171" s="320" t="s">
        <v>3471</v>
      </c>
      <c r="B1171" t="b">
        <f>IF(ISBLANK(NeoBerLab!$C$9),"",NeoBerLab!$C$9)</f>
        <v>0</v>
      </c>
      <c r="C1171" s="320" t="b">
        <v>0</v>
      </c>
    </row>
    <row r="1172" spans="1:3" x14ac:dyDescent="0.2">
      <c r="A1172" s="320" t="s">
        <v>3472</v>
      </c>
      <c r="B1172" t="b">
        <f>IF(ISBLANK(NeoBerLab!$C$10),"",NeoBerLab!$C$10)</f>
        <v>0</v>
      </c>
      <c r="C1172" s="320" t="b">
        <v>0</v>
      </c>
    </row>
    <row r="1173" spans="1:3" x14ac:dyDescent="0.2">
      <c r="A1173" s="320" t="s">
        <v>3473</v>
      </c>
      <c r="B1173" t="b">
        <f>IF(ISBLANK(NeoBerLab!$C$11),"",NeoBerLab!$C$11)</f>
        <v>0</v>
      </c>
      <c r="C1173" s="320" t="b">
        <v>0</v>
      </c>
    </row>
    <row r="1174" spans="1:3" x14ac:dyDescent="0.2">
      <c r="A1174" s="320" t="s">
        <v>3474</v>
      </c>
      <c r="B1174" t="b">
        <f>IF(ISBLANK(NeoBerLab!$C$12),"",NeoBerLab!$C$12)</f>
        <v>0</v>
      </c>
      <c r="C1174" s="320" t="b">
        <v>0</v>
      </c>
    </row>
    <row r="1175" spans="1:3" x14ac:dyDescent="0.2">
      <c r="A1175" s="320" t="s">
        <v>3475</v>
      </c>
      <c r="B1175" t="b">
        <f>IF(ISBLANK(NeoBerLab!$C$13),"",NeoBerLab!$C$13)</f>
        <v>0</v>
      </c>
      <c r="C1175" s="320" t="b">
        <v>0</v>
      </c>
    </row>
    <row r="1176" spans="1:3" x14ac:dyDescent="0.2">
      <c r="A1176" s="320" t="s">
        <v>3476</v>
      </c>
      <c r="B1176" t="b">
        <f>IF(ISBLANK(NeoBerLab!$C$14),"",NeoBerLab!$C$14)</f>
        <v>0</v>
      </c>
      <c r="C1176" s="320" t="b">
        <v>0</v>
      </c>
    </row>
    <row r="1177" spans="1:3" x14ac:dyDescent="0.2">
      <c r="A1177" s="320" t="s">
        <v>3477</v>
      </c>
      <c r="B1177" t="b">
        <f>IF(ISBLANK(NeoBerLab!$C$15),"",NeoBerLab!$C$15)</f>
        <v>0</v>
      </c>
      <c r="C1177" s="320" t="b">
        <v>0</v>
      </c>
    </row>
    <row r="1178" spans="1:3" x14ac:dyDescent="0.2">
      <c r="A1178" s="320" t="s">
        <v>3478</v>
      </c>
      <c r="B1178" t="b">
        <f>IF(ISBLANK(NeoBerLab!$C$16),"",NeoBerLab!$C$16)</f>
        <v>0</v>
      </c>
      <c r="C1178" s="320" t="b">
        <v>0</v>
      </c>
    </row>
    <row r="1179" spans="1:3" x14ac:dyDescent="0.2">
      <c r="A1179" s="320" t="s">
        <v>3479</v>
      </c>
      <c r="B1179" t="b">
        <f>IF(ISBLANK(NeoBerLab!$C$17),"",NeoBerLab!$C$17)</f>
        <v>0</v>
      </c>
      <c r="C1179" s="320" t="b">
        <v>0</v>
      </c>
    </row>
    <row r="1180" spans="1:3" x14ac:dyDescent="0.2">
      <c r="A1180" s="320" t="s">
        <v>3480</v>
      </c>
      <c r="B1180" t="b">
        <f>IF(ISBLANK(NeoBerLab!$C$18),"",NeoBerLab!$C$18)</f>
        <v>0</v>
      </c>
      <c r="C1180" s="320" t="b">
        <v>0</v>
      </c>
    </row>
    <row r="1181" spans="1:3" x14ac:dyDescent="0.2">
      <c r="A1181" s="320" t="s">
        <v>3481</v>
      </c>
      <c r="B1181" t="b">
        <f>IF(ISBLANK(NeoBerLab!$C$19),"",NeoBerLab!$C$19)</f>
        <v>0</v>
      </c>
      <c r="C1181" s="320" t="b">
        <v>0</v>
      </c>
    </row>
    <row r="1182" spans="1:3" x14ac:dyDescent="0.2">
      <c r="A1182" s="320" t="s">
        <v>3482</v>
      </c>
      <c r="B1182" t="b">
        <f>IF(ISBLANK(NeoBerLab!$C$20),"",NeoBerLab!$C$20)</f>
        <v>0</v>
      </c>
      <c r="C1182" s="320" t="b">
        <v>0</v>
      </c>
    </row>
    <row r="1183" spans="1:3" x14ac:dyDescent="0.2">
      <c r="A1183" s="320" t="s">
        <v>3483</v>
      </c>
      <c r="B1183" t="b">
        <f>IF(ISBLANK(NeoBerLab!$C$21),"",NeoBerLab!$C$21)</f>
        <v>0</v>
      </c>
      <c r="C1183" s="320" t="b">
        <v>0</v>
      </c>
    </row>
    <row r="1184" spans="1:3" x14ac:dyDescent="0.2">
      <c r="A1184" s="320" t="s">
        <v>3484</v>
      </c>
      <c r="B1184" t="b">
        <f>IF(ISBLANK(NeoBerLab!$C$22),"",NeoBerLab!$C$22)</f>
        <v>0</v>
      </c>
      <c r="C1184" s="320" t="b">
        <v>0</v>
      </c>
    </row>
    <row r="1185" spans="1:3" x14ac:dyDescent="0.2">
      <c r="A1185" s="320" t="s">
        <v>3485</v>
      </c>
      <c r="B1185" t="b">
        <f>IF(ISBLANK(NeoBerLab!$C$23),"",NeoBerLab!$C$23)</f>
        <v>0</v>
      </c>
      <c r="C1185" s="320" t="b">
        <v>0</v>
      </c>
    </row>
    <row r="1186" spans="1:3" x14ac:dyDescent="0.2">
      <c r="A1186" s="320" t="s">
        <v>3486</v>
      </c>
      <c r="B1186" t="b">
        <f>IF(ISBLANK(NeoBerLab!$C$24),"",NeoBerLab!$C$24)</f>
        <v>0</v>
      </c>
      <c r="C1186" s="320" t="b">
        <v>0</v>
      </c>
    </row>
    <row r="1187" spans="1:3" x14ac:dyDescent="0.2">
      <c r="A1187" s="320" t="s">
        <v>3487</v>
      </c>
      <c r="B1187" t="b">
        <f>IF(ISBLANK(NeoBerLab!$C$25),"",NeoBerLab!$C$25)</f>
        <v>0</v>
      </c>
      <c r="C1187" s="320" t="b">
        <v>0</v>
      </c>
    </row>
    <row r="1188" spans="1:3" x14ac:dyDescent="0.2">
      <c r="A1188" s="320" t="s">
        <v>3488</v>
      </c>
      <c r="B1188" t="b">
        <f>IF(ISBLANK(NeoBerLab!$C$26),"",NeoBerLab!$C$26)</f>
        <v>0</v>
      </c>
      <c r="C1188" s="320" t="b">
        <v>0</v>
      </c>
    </row>
    <row r="1189" spans="1:3" x14ac:dyDescent="0.2">
      <c r="A1189" s="320" t="s">
        <v>3489</v>
      </c>
      <c r="B1189" t="b">
        <f>IF(ISBLANK(NeoBerLab!$C$27),"",NeoBerLab!$C$27)</f>
        <v>0</v>
      </c>
      <c r="C1189" s="320" t="b">
        <v>0</v>
      </c>
    </row>
    <row r="1190" spans="1:3" x14ac:dyDescent="0.2">
      <c r="A1190" s="320" t="s">
        <v>3490</v>
      </c>
      <c r="B1190" t="b">
        <f>IF(ISBLANK(NeoBerLab!$C$28),"",NeoBerLab!$C$28)</f>
        <v>0</v>
      </c>
      <c r="C1190" s="320" t="b">
        <v>0</v>
      </c>
    </row>
    <row r="1191" spans="1:3" x14ac:dyDescent="0.2">
      <c r="A1191" s="320" t="s">
        <v>3491</v>
      </c>
      <c r="B1191" t="b">
        <f>IF(ISBLANK(NeoBerLab!$C$29),"",NeoBerLab!$C$29)</f>
        <v>0</v>
      </c>
      <c r="C1191" s="320" t="b">
        <v>0</v>
      </c>
    </row>
    <row r="1192" spans="1:3" x14ac:dyDescent="0.2">
      <c r="A1192" s="320" t="s">
        <v>3492</v>
      </c>
      <c r="B1192" t="b">
        <f>IF(ISBLANK(NeoBerLab!$C$30),"",NeoBerLab!$C$30)</f>
        <v>0</v>
      </c>
      <c r="C1192" s="320" t="b">
        <v>0</v>
      </c>
    </row>
    <row r="1193" spans="1:3" x14ac:dyDescent="0.2">
      <c r="A1193" s="320" t="s">
        <v>3493</v>
      </c>
      <c r="B1193" t="b">
        <f>IF(ISBLANK(NeoBerLab!$C$31),"",NeoBerLab!$C$31)</f>
        <v>0</v>
      </c>
      <c r="C1193" s="320" t="b">
        <v>0</v>
      </c>
    </row>
    <row r="1194" spans="1:3" x14ac:dyDescent="0.2">
      <c r="A1194" s="320" t="s">
        <v>3494</v>
      </c>
      <c r="B1194" t="b">
        <f>IF(ISBLANK(NeoBerLab!$C$32),"",NeoBerLab!$C$32)</f>
        <v>0</v>
      </c>
      <c r="C1194" s="320" t="b">
        <v>0</v>
      </c>
    </row>
    <row r="1195" spans="1:3" x14ac:dyDescent="0.2">
      <c r="A1195" s="320" t="s">
        <v>3495</v>
      </c>
      <c r="B1195" t="b">
        <f>IF(ISBLANK(NeoBerLab!$C$33),"",NeoBerLab!$C$33)</f>
        <v>0</v>
      </c>
      <c r="C1195" s="320" t="b">
        <v>0</v>
      </c>
    </row>
    <row r="1196" spans="1:3" x14ac:dyDescent="0.2">
      <c r="A1196" s="320" t="s">
        <v>3496</v>
      </c>
      <c r="B1196" t="b">
        <f>IF(ISBLANK(NeoBerLab!$C$34),"",NeoBerLab!$C$34)</f>
        <v>0</v>
      </c>
      <c r="C1196" s="320" t="b">
        <v>0</v>
      </c>
    </row>
    <row r="1197" spans="1:3" x14ac:dyDescent="0.2">
      <c r="A1197" s="320" t="s">
        <v>3497</v>
      </c>
      <c r="B1197" t="b">
        <f>IF(ISBLANK(NeoBerLab!$C$35),"",NeoBerLab!$C$35)</f>
        <v>0</v>
      </c>
      <c r="C1197" s="320" t="b">
        <v>0</v>
      </c>
    </row>
    <row r="1198" spans="1:3" s="320" customFormat="1" x14ac:dyDescent="0.2">
      <c r="A1198" s="320" t="s">
        <v>4551</v>
      </c>
      <c r="B1198" s="320">
        <v>0</v>
      </c>
      <c r="C1198" s="322">
        <v>0</v>
      </c>
    </row>
    <row r="1199" spans="1:3" x14ac:dyDescent="0.2">
      <c r="A1199" s="320" t="s">
        <v>3800</v>
      </c>
      <c r="B1199">
        <f>IF(ISBLANK(PatDetails!$B$6),"",PatDetails!$B$6)</f>
        <v>0</v>
      </c>
      <c r="C1199" s="322">
        <v>0</v>
      </c>
    </row>
    <row r="1200" spans="1:3" x14ac:dyDescent="0.2">
      <c r="A1200" s="320" t="s">
        <v>3801</v>
      </c>
      <c r="B1200">
        <f>IF(ISBLANK(PatDetails!$B$7),"",PatDetails!$B$7)</f>
        <v>0</v>
      </c>
      <c r="C1200" s="322">
        <v>0</v>
      </c>
    </row>
    <row r="1201" spans="1:4" x14ac:dyDescent="0.2">
      <c r="A1201" s="320" t="s">
        <v>3798</v>
      </c>
      <c r="B1201">
        <f>IF(ISBLANK(NeoBerInfB!$D$5),"",NeoBerInfB!$D$5)</f>
        <v>0</v>
      </c>
      <c r="C1201" s="322">
        <v>0</v>
      </c>
    </row>
    <row r="1202" spans="1:4" x14ac:dyDescent="0.2">
      <c r="A1202" s="320" t="s">
        <v>3797</v>
      </c>
      <c r="B1202" s="26">
        <f>IF(ISBLANK(PatDetails!$B$9),"",PatDetails!$B$9)</f>
        <v>1462</v>
      </c>
      <c r="C1202" s="132">
        <f>EmptyDate()</f>
        <v>1462</v>
      </c>
      <c r="D1202" s="132"/>
    </row>
    <row r="1203" spans="1:4" x14ac:dyDescent="0.2">
      <c r="A1203" s="320" t="s">
        <v>3799</v>
      </c>
      <c r="B1203">
        <f>IF(ISBLANK(NeoBerInfB!$D$4),"",NeoBerInfB!$D$4)</f>
        <v>0</v>
      </c>
      <c r="C1203" s="322">
        <v>0</v>
      </c>
    </row>
    <row r="1204" spans="1:4" x14ac:dyDescent="0.2">
      <c r="A1204" s="320" t="s">
        <v>2304</v>
      </c>
      <c r="B1204" t="b">
        <f>IF(ISBLANK(PedBerAfspr!$D$11),"",PedBerAfspr!$D$11)</f>
        <v>0</v>
      </c>
      <c r="C1204" t="b">
        <v>0</v>
      </c>
    </row>
    <row r="1205" spans="1:4" x14ac:dyDescent="0.2">
      <c r="A1205" s="320" t="s">
        <v>2305</v>
      </c>
      <c r="B1205" t="b">
        <f>IF(ISBLANK(PedBerAfspr!$D$12),"",PedBerAfspr!$D$12)</f>
        <v>0</v>
      </c>
      <c r="C1205" s="320" t="b">
        <v>0</v>
      </c>
    </row>
    <row r="1206" spans="1:4" x14ac:dyDescent="0.2">
      <c r="A1206" s="320" t="s">
        <v>2306</v>
      </c>
      <c r="B1206" t="b">
        <f>IF(ISBLANK(PedBerAfspr!$D$13),"",PedBerAfspr!$D$13)</f>
        <v>0</v>
      </c>
      <c r="C1206" s="320" t="b">
        <v>0</v>
      </c>
    </row>
    <row r="1207" spans="1:4" x14ac:dyDescent="0.2">
      <c r="A1207" s="320" t="s">
        <v>2307</v>
      </c>
      <c r="B1207" t="b">
        <f>IF(ISBLANK(PedBerAfspr!$D$14),"",PedBerAfspr!$D$14)</f>
        <v>0</v>
      </c>
      <c r="C1207" s="320" t="b">
        <v>0</v>
      </c>
    </row>
    <row r="1208" spans="1:4" x14ac:dyDescent="0.2">
      <c r="A1208" s="320" t="s">
        <v>2308</v>
      </c>
      <c r="B1208" t="b">
        <f>IF(ISBLANK(PedBerAfspr!$B$10),"",PedBerAfspr!$B$10)</f>
        <v>0</v>
      </c>
      <c r="C1208" s="320" t="b">
        <v>0</v>
      </c>
    </row>
    <row r="1209" spans="1:4" x14ac:dyDescent="0.2">
      <c r="A1209" s="320" t="s">
        <v>2309</v>
      </c>
      <c r="B1209" t="b">
        <f>IF(ISBLANK(PedBerAfspr!$F$7),"",PedBerAfspr!$F$7)</f>
        <v>0</v>
      </c>
      <c r="C1209" s="320" t="b">
        <v>0</v>
      </c>
    </row>
    <row r="1210" spans="1:4" x14ac:dyDescent="0.2">
      <c r="A1210" s="320" t="s">
        <v>2310</v>
      </c>
      <c r="B1210" t="b">
        <f>IF(ISBLANK(PedBerAfspr!$B$20),"",PedBerAfspr!$B$20)</f>
        <v>0</v>
      </c>
      <c r="C1210" s="320" t="b">
        <v>0</v>
      </c>
    </row>
    <row r="1211" spans="1:4" x14ac:dyDescent="0.2">
      <c r="A1211" s="320" t="s">
        <v>2311</v>
      </c>
      <c r="B1211" t="b">
        <f>IF(ISBLANK(PedBerAfspr!$F$10),"",PedBerAfspr!$F$10)</f>
        <v>0</v>
      </c>
      <c r="C1211" s="320" t="b">
        <v>0</v>
      </c>
    </row>
    <row r="1212" spans="1:4" x14ac:dyDescent="0.2">
      <c r="A1212" s="320" t="s">
        <v>2312</v>
      </c>
      <c r="B1212" t="b">
        <f>IF(ISBLANK(PedBerAfspr!$B$21),"",PedBerAfspr!$B$21)</f>
        <v>0</v>
      </c>
      <c r="C1212" s="320" t="b">
        <v>0</v>
      </c>
    </row>
    <row r="1213" spans="1:4" x14ac:dyDescent="0.2">
      <c r="A1213" s="320" t="s">
        <v>2313</v>
      </c>
      <c r="B1213" t="b">
        <f>IF(ISBLANK(PedBerAfspr!$F$12),"",PedBerAfspr!$F$12)</f>
        <v>0</v>
      </c>
      <c r="C1213" s="320" t="b">
        <v>0</v>
      </c>
    </row>
    <row r="1214" spans="1:4" x14ac:dyDescent="0.2">
      <c r="A1214" s="320" t="s">
        <v>2314</v>
      </c>
      <c r="B1214" t="b">
        <f>IF(ISBLANK(PedBerAfspr!$B$42),"",PedBerAfspr!$B$42)</f>
        <v>0</v>
      </c>
      <c r="C1214" s="320" t="b">
        <v>0</v>
      </c>
    </row>
    <row r="1215" spans="1:4" x14ac:dyDescent="0.2">
      <c r="A1215" s="320" t="s">
        <v>2315</v>
      </c>
      <c r="B1215" t="b">
        <f>IF(ISBLANK(PedBerAfspr!$B$7),"",PedBerAfspr!$B$7)</f>
        <v>0</v>
      </c>
      <c r="C1215" s="320" t="b">
        <v>0</v>
      </c>
    </row>
    <row r="1216" spans="1:4" x14ac:dyDescent="0.2">
      <c r="A1216" s="320" t="s">
        <v>2316</v>
      </c>
      <c r="B1216" t="b">
        <f>IF(ISBLANK(PedBerAfspr!$F$15),"",PedBerAfspr!$F$15)</f>
        <v>0</v>
      </c>
      <c r="C1216" s="320" t="b">
        <v>0</v>
      </c>
    </row>
    <row r="1217" spans="1:3" x14ac:dyDescent="0.2">
      <c r="A1217" s="320" t="s">
        <v>2317</v>
      </c>
      <c r="B1217" t="b">
        <f>IF(ISBLANK(PedBerAfspr!$F$13),"",PedBerAfspr!$F$13)</f>
        <v>0</v>
      </c>
      <c r="C1217" s="320" t="b">
        <v>0</v>
      </c>
    </row>
    <row r="1218" spans="1:3" x14ac:dyDescent="0.2">
      <c r="A1218" s="320" t="s">
        <v>2318</v>
      </c>
      <c r="B1218" t="b">
        <f>IF(ISBLANK(PedBerAfspr!$B$24),"",PedBerAfspr!$B$24)</f>
        <v>0</v>
      </c>
      <c r="C1218" s="320" t="b">
        <v>0</v>
      </c>
    </row>
    <row r="1219" spans="1:3" x14ac:dyDescent="0.2">
      <c r="A1219" s="320" t="s">
        <v>2319</v>
      </c>
      <c r="B1219" t="b">
        <f>IF(ISBLANK(PedBerAfspr!$B$8),"",PedBerAfspr!$B$8)</f>
        <v>0</v>
      </c>
      <c r="C1219" s="320" t="b">
        <v>0</v>
      </c>
    </row>
    <row r="1220" spans="1:3" x14ac:dyDescent="0.2">
      <c r="A1220" s="320" t="s">
        <v>2320</v>
      </c>
      <c r="B1220" t="b">
        <f>IF(ISBLANK(PedBerAfspr!$B$39),"",PedBerAfspr!$B$39)</f>
        <v>0</v>
      </c>
      <c r="C1220" s="320" t="b">
        <v>0</v>
      </c>
    </row>
    <row r="1221" spans="1:3" x14ac:dyDescent="0.2">
      <c r="A1221" s="320" t="s">
        <v>2321</v>
      </c>
      <c r="B1221" t="b">
        <f>IF(ISBLANK(PedBerAfspr!$F$16),"",PedBerAfspr!$F$16)</f>
        <v>0</v>
      </c>
      <c r="C1221" s="320" t="b">
        <v>0</v>
      </c>
    </row>
    <row r="1222" spans="1:3" x14ac:dyDescent="0.2">
      <c r="A1222" s="320" t="s">
        <v>2322</v>
      </c>
      <c r="B1222" t="b">
        <f>IF(ISBLANK(PedBerAfspr!$F$9),"",PedBerAfspr!$F$9)</f>
        <v>0</v>
      </c>
      <c r="C1222" s="320" t="b">
        <v>0</v>
      </c>
    </row>
    <row r="1223" spans="1:3" x14ac:dyDescent="0.2">
      <c r="A1223" s="320" t="s">
        <v>2323</v>
      </c>
      <c r="B1223" t="b">
        <f>IF(ISBLANK(PedBerAfspr!$B$11),"",PedBerAfspr!$B$11)</f>
        <v>0</v>
      </c>
      <c r="C1223" s="320" t="b">
        <v>0</v>
      </c>
    </row>
    <row r="1224" spans="1:3" x14ac:dyDescent="0.2">
      <c r="A1224" s="320" t="s">
        <v>2324</v>
      </c>
      <c r="B1224" t="b">
        <f>IF(ISBLANK(PedBerAfspr!$B$15),"",PedBerAfspr!$B$15)</f>
        <v>0</v>
      </c>
      <c r="C1224" s="320" t="b">
        <v>0</v>
      </c>
    </row>
    <row r="1225" spans="1:3" x14ac:dyDescent="0.2">
      <c r="A1225" s="320" t="s">
        <v>2325</v>
      </c>
      <c r="B1225" t="b">
        <f>IF(ISBLANK(PedBerAfspr!$B$22),"",PedBerAfspr!$B$22)</f>
        <v>0</v>
      </c>
      <c r="C1225" s="320" t="b">
        <v>0</v>
      </c>
    </row>
    <row r="1226" spans="1:3" x14ac:dyDescent="0.2">
      <c r="A1226" s="320" t="s">
        <v>2326</v>
      </c>
      <c r="B1226" t="b">
        <f>IF(ISBLANK(PedBerAfspr!$B$23),"",PedBerAfspr!$B$23)</f>
        <v>0</v>
      </c>
      <c r="C1226" s="320" t="b">
        <v>0</v>
      </c>
    </row>
    <row r="1227" spans="1:3" x14ac:dyDescent="0.2">
      <c r="A1227" s="320" t="s">
        <v>2327</v>
      </c>
      <c r="B1227" t="b">
        <f>IF(ISBLANK(PedBerAfspr!$F$11),"",PedBerAfspr!$F$11)</f>
        <v>0</v>
      </c>
      <c r="C1227" s="320" t="b">
        <v>0</v>
      </c>
    </row>
    <row r="1228" spans="1:3" x14ac:dyDescent="0.2">
      <c r="A1228" s="320" t="s">
        <v>2328</v>
      </c>
      <c r="B1228" t="b">
        <f>IF(ISBLANK(PedBerAfspr!$B$36),"",PedBerAfspr!$B$36)</f>
        <v>0</v>
      </c>
      <c r="C1228" s="320" t="b">
        <v>0</v>
      </c>
    </row>
    <row r="1229" spans="1:3" x14ac:dyDescent="0.2">
      <c r="A1229" s="320" t="s">
        <v>2329</v>
      </c>
      <c r="B1229" t="b">
        <f>IF(ISBLANK(PedBerAfspr!$D$36),"",PedBerAfspr!$D$36)</f>
        <v>0</v>
      </c>
      <c r="C1229" s="320" t="b">
        <v>0</v>
      </c>
    </row>
    <row r="1230" spans="1:3" x14ac:dyDescent="0.2">
      <c r="A1230" s="320" t="s">
        <v>2330</v>
      </c>
      <c r="B1230" t="b">
        <f>IF(ISBLANK(PedBerAfspr!$B$37),"",PedBerAfspr!$B$37)</f>
        <v>0</v>
      </c>
      <c r="C1230" s="320" t="b">
        <v>0</v>
      </c>
    </row>
    <row r="1231" spans="1:3" x14ac:dyDescent="0.2">
      <c r="A1231" s="320" t="s">
        <v>2331</v>
      </c>
      <c r="B1231" t="b">
        <f>IF(ISBLANK(PedBerAfspr!$D$37),"",PedBerAfspr!$D$37)</f>
        <v>0</v>
      </c>
      <c r="C1231" s="320" t="b">
        <v>0</v>
      </c>
    </row>
    <row r="1232" spans="1:3" x14ac:dyDescent="0.2">
      <c r="A1232" s="320" t="s">
        <v>2332</v>
      </c>
      <c r="B1232" t="b">
        <f>IF(ISBLANK(PedBerAfspr!$B$43),"",PedBerAfspr!$B$43)</f>
        <v>0</v>
      </c>
      <c r="C1232" s="320" t="b">
        <v>0</v>
      </c>
    </row>
    <row r="1233" spans="1:3" x14ac:dyDescent="0.2">
      <c r="A1233" s="320" t="s">
        <v>2333</v>
      </c>
      <c r="B1233" t="b">
        <f>IF(ISBLANK(PedBerAfspr!$B$38),"",PedBerAfspr!$B$38)</f>
        <v>0</v>
      </c>
      <c r="C1233" s="320" t="b">
        <v>0</v>
      </c>
    </row>
    <row r="1234" spans="1:3" x14ac:dyDescent="0.2">
      <c r="A1234" s="320" t="s">
        <v>2334</v>
      </c>
      <c r="B1234" t="b">
        <f>IF(ISBLANK(PedBerAfspr!$D$38),"",PedBerAfspr!$D$38)</f>
        <v>0</v>
      </c>
      <c r="C1234" s="320" t="b">
        <v>0</v>
      </c>
    </row>
    <row r="1235" spans="1:3" x14ac:dyDescent="0.2">
      <c r="A1235" s="320" t="s">
        <v>2335</v>
      </c>
      <c r="B1235" t="b">
        <f>IF(ISBLANK(PedBerAfspr!$B$16),"",PedBerAfspr!$B$16)</f>
        <v>0</v>
      </c>
      <c r="C1235" s="320" t="b">
        <v>0</v>
      </c>
    </row>
    <row r="1236" spans="1:3" x14ac:dyDescent="0.2">
      <c r="A1236" s="320" t="s">
        <v>2336</v>
      </c>
      <c r="B1236" t="b">
        <f>IF(ISBLANK(PedBerAfspr!$B$17),"",PedBerAfspr!$B$17)</f>
        <v>0</v>
      </c>
      <c r="C1236" s="320" t="b">
        <v>0</v>
      </c>
    </row>
    <row r="1237" spans="1:3" x14ac:dyDescent="0.2">
      <c r="A1237" s="320" t="s">
        <v>2337</v>
      </c>
      <c r="B1237" t="b">
        <f>IF(ISBLANK(PedBerAfspr!$B$9),"",PedBerAfspr!$B$9)</f>
        <v>0</v>
      </c>
      <c r="C1237" s="320" t="b">
        <v>0</v>
      </c>
    </row>
    <row r="1238" spans="1:3" x14ac:dyDescent="0.2">
      <c r="A1238" s="320" t="s">
        <v>2338</v>
      </c>
      <c r="B1238" t="b">
        <f>IF(ISBLANK(PedBerAfspr!$B$44),"",PedBerAfspr!$B$44)</f>
        <v>0</v>
      </c>
      <c r="C1238" s="320" t="b">
        <v>0</v>
      </c>
    </row>
    <row r="1239" spans="1:3" x14ac:dyDescent="0.2">
      <c r="A1239" s="320" t="s">
        <v>2339</v>
      </c>
      <c r="B1239" t="b">
        <f>IF(ISBLANK(PedBerAfspr!$B$27),"",PedBerAfspr!$B$27)</f>
        <v>0</v>
      </c>
      <c r="C1239" s="320" t="b">
        <v>0</v>
      </c>
    </row>
    <row r="1240" spans="1:3" x14ac:dyDescent="0.2">
      <c r="A1240" s="320" t="s">
        <v>2340</v>
      </c>
      <c r="B1240" t="b">
        <f>IF(ISBLANK(PedBerAfspr!$B$30),"",PedBerAfspr!$B$30)</f>
        <v>0</v>
      </c>
      <c r="C1240" s="320" t="b">
        <v>0</v>
      </c>
    </row>
    <row r="1241" spans="1:3" x14ac:dyDescent="0.2">
      <c r="A1241" s="320" t="s">
        <v>2341</v>
      </c>
      <c r="B1241" t="b">
        <f>IF(ISBLANK(PedBerAfspr!$B$33),"",PedBerAfspr!$B$33)</f>
        <v>0</v>
      </c>
      <c r="C1241" s="320" t="b">
        <v>0</v>
      </c>
    </row>
    <row r="1242" spans="1:3" x14ac:dyDescent="0.2">
      <c r="A1242" s="320" t="s">
        <v>2342</v>
      </c>
      <c r="B1242" t="b">
        <f>IF(ISBLANK(PedBerAfspr!$B$25),"",PedBerAfspr!$B$25)</f>
        <v>0</v>
      </c>
      <c r="C1242" s="320" t="b">
        <v>0</v>
      </c>
    </row>
    <row r="1243" spans="1:3" x14ac:dyDescent="0.2">
      <c r="A1243" s="320" t="s">
        <v>2343</v>
      </c>
      <c r="B1243" t="b">
        <f>IF(ISBLANK(PedBerAfspr!$F$8),"",PedBerAfspr!$F$8)</f>
        <v>0</v>
      </c>
      <c r="C1243" s="320" t="b">
        <v>0</v>
      </c>
    </row>
    <row r="1244" spans="1:3" x14ac:dyDescent="0.2">
      <c r="A1244" s="320" t="s">
        <v>2344</v>
      </c>
      <c r="B1244" t="b">
        <f>IF(ISBLANK(PedBerAfspr!$F$18),"",PedBerAfspr!$F$18)</f>
        <v>0</v>
      </c>
      <c r="C1244" s="320" t="b">
        <v>0</v>
      </c>
    </row>
    <row r="1245" spans="1:3" x14ac:dyDescent="0.2">
      <c r="A1245" s="320" t="s">
        <v>2345</v>
      </c>
      <c r="B1245" t="b">
        <f>IF(ISBLANK(PedBerAfspr!$F$14),"",PedBerAfspr!$F$14)</f>
        <v>0</v>
      </c>
      <c r="C1245" s="320" t="b">
        <v>0</v>
      </c>
    </row>
    <row r="1246" spans="1:3" x14ac:dyDescent="0.2">
      <c r="A1246" s="320" t="s">
        <v>2346</v>
      </c>
      <c r="B1246">
        <f>IF(ISBLANK(PedBerAfspr!$C$42),"",PedBerAfspr!$C$42)</f>
        <v>0</v>
      </c>
      <c r="C1246">
        <v>0</v>
      </c>
    </row>
    <row r="1247" spans="1:3" x14ac:dyDescent="0.2">
      <c r="A1247" s="320" t="s">
        <v>2347</v>
      </c>
      <c r="B1247">
        <f>IF(ISBLANK(PedBerAfspr!$C$7),"",PedBerAfspr!$C$7)</f>
        <v>0</v>
      </c>
      <c r="C1247">
        <v>0</v>
      </c>
    </row>
    <row r="1248" spans="1:3" x14ac:dyDescent="0.2">
      <c r="A1248" s="320" t="s">
        <v>2348</v>
      </c>
      <c r="B1248">
        <f>IF(ISBLANK(PedBerAfspr!$D$7),"",PedBerAfspr!$D$7)</f>
        <v>0</v>
      </c>
      <c r="C1248">
        <v>0</v>
      </c>
    </row>
    <row r="1249" spans="1:3" x14ac:dyDescent="0.2">
      <c r="A1249" s="320" t="s">
        <v>2349</v>
      </c>
      <c r="B1249">
        <f>IF(ISBLANK(PedBerAfspr!$C$8),"",PedBerAfspr!$C$8)</f>
        <v>0</v>
      </c>
      <c r="C1249">
        <v>0</v>
      </c>
    </row>
    <row r="1250" spans="1:3" x14ac:dyDescent="0.2">
      <c r="A1250" s="320" t="s">
        <v>2350</v>
      </c>
      <c r="B1250">
        <f>IF(ISBLANK(PedBerAfspr!$D$8),"",PedBerAfspr!$D$8)</f>
        <v>0</v>
      </c>
      <c r="C1250">
        <v>0</v>
      </c>
    </row>
    <row r="1251" spans="1:3" x14ac:dyDescent="0.2">
      <c r="A1251" s="320" t="s">
        <v>2351</v>
      </c>
      <c r="B1251">
        <f>IF(ISBLANK(PedBerAfspr!$D$40),"",PedBerAfspr!$D$40)</f>
        <v>0</v>
      </c>
      <c r="C1251">
        <v>0</v>
      </c>
    </row>
    <row r="1252" spans="1:3" x14ac:dyDescent="0.2">
      <c r="A1252" s="320" t="s">
        <v>2352</v>
      </c>
      <c r="B1252">
        <f>IF(ISBLANK(PedBerAfspr!$D$39),"",PedBerAfspr!$D$39)</f>
        <v>0</v>
      </c>
      <c r="C1252">
        <v>0</v>
      </c>
    </row>
    <row r="1253" spans="1:3" x14ac:dyDescent="0.2">
      <c r="A1253" s="320" t="s">
        <v>2353</v>
      </c>
      <c r="B1253">
        <f>IF(ISBLANK(PedBerAfspr!$G$16),"",PedBerAfspr!$G$16)</f>
        <v>0</v>
      </c>
      <c r="C1253">
        <v>0</v>
      </c>
    </row>
    <row r="1254" spans="1:3" x14ac:dyDescent="0.2">
      <c r="A1254" s="320" t="s">
        <v>2354</v>
      </c>
      <c r="B1254">
        <f>IF(ISBLANK(PedBerAfspr!$B$12),"",PedBerAfspr!$B$12)</f>
        <v>0</v>
      </c>
      <c r="C1254">
        <v>0</v>
      </c>
    </row>
    <row r="1255" spans="1:3" x14ac:dyDescent="0.2">
      <c r="A1255" s="320" t="s">
        <v>2355</v>
      </c>
      <c r="B1255" t="str">
        <f>IF(ISBLANK(PedBerAfspr!$F$17),"",PedBerAfspr!$F$17)</f>
        <v/>
      </c>
      <c r="C1255" s="134"/>
    </row>
    <row r="1256" spans="1:3" x14ac:dyDescent="0.2">
      <c r="A1256" s="320" t="s">
        <v>2356</v>
      </c>
      <c r="B1256">
        <f>IF(ISBLANK(PedBerAfspr!$C$9),"",PedBerAfspr!$C$9)</f>
        <v>0</v>
      </c>
      <c r="C1256">
        <v>0</v>
      </c>
    </row>
    <row r="1257" spans="1:3" x14ac:dyDescent="0.2">
      <c r="A1257" s="320" t="s">
        <v>2357</v>
      </c>
      <c r="B1257">
        <f>IF(ISBLANK(PedBerAfspr!$D$9),"",PedBerAfspr!$D$9)</f>
        <v>1</v>
      </c>
      <c r="C1257">
        <v>1</v>
      </c>
    </row>
    <row r="1258" spans="1:3" x14ac:dyDescent="0.2">
      <c r="A1258" s="320" t="s">
        <v>2358</v>
      </c>
      <c r="B1258">
        <f>IF(ISBLANK(PedBerAfspr!$D$29),"",PedBerAfspr!$D$29)</f>
        <v>1</v>
      </c>
      <c r="C1258">
        <v>1</v>
      </c>
    </row>
    <row r="1259" spans="1:3" x14ac:dyDescent="0.2">
      <c r="A1259" s="320" t="s">
        <v>2359</v>
      </c>
      <c r="B1259">
        <f>IF(ISBLANK(PedBerAfspr!$D$27),"",PedBerAfspr!$D$27)</f>
        <v>1</v>
      </c>
      <c r="C1259">
        <v>1</v>
      </c>
    </row>
    <row r="1260" spans="1:3" x14ac:dyDescent="0.2">
      <c r="A1260" s="320" t="s">
        <v>2360</v>
      </c>
      <c r="B1260">
        <f>IF(ISBLANK(PedBerAfspr!$D$28),"",PedBerAfspr!$D$28)</f>
        <v>1</v>
      </c>
      <c r="C1260">
        <v>1</v>
      </c>
    </row>
    <row r="1261" spans="1:3" x14ac:dyDescent="0.2">
      <c r="A1261" s="320" t="s">
        <v>2361</v>
      </c>
      <c r="B1261">
        <f>IF(ISBLANK(PedBerAfspr!$D$32),"",PedBerAfspr!$D$32)</f>
        <v>1</v>
      </c>
      <c r="C1261">
        <v>1</v>
      </c>
    </row>
    <row r="1262" spans="1:3" x14ac:dyDescent="0.2">
      <c r="A1262" s="320" t="s">
        <v>2362</v>
      </c>
      <c r="B1262">
        <f>IF(ISBLANK(PedBerAfspr!$D$30),"",PedBerAfspr!$D$30)</f>
        <v>1</v>
      </c>
      <c r="C1262">
        <v>1</v>
      </c>
    </row>
    <row r="1263" spans="1:3" x14ac:dyDescent="0.2">
      <c r="A1263" s="320" t="s">
        <v>2363</v>
      </c>
      <c r="B1263">
        <f>IF(ISBLANK(PedBerAfspr!$D$31),"",PedBerAfspr!$D$31)</f>
        <v>1</v>
      </c>
      <c r="C1263">
        <v>1</v>
      </c>
    </row>
    <row r="1264" spans="1:3" x14ac:dyDescent="0.2">
      <c r="A1264" s="320" t="s">
        <v>2364</v>
      </c>
      <c r="B1264">
        <f>IF(ISBLANK(PedBerAfspr!$D$35),"",PedBerAfspr!$D$35)</f>
        <v>1</v>
      </c>
      <c r="C1264">
        <v>1</v>
      </c>
    </row>
    <row r="1265" spans="1:3" x14ac:dyDescent="0.2">
      <c r="A1265" s="320" t="s">
        <v>2365</v>
      </c>
      <c r="B1265">
        <f>IF(ISBLANK(PedBerAfspr!$D$33),"",PedBerAfspr!$D$33)</f>
        <v>1</v>
      </c>
      <c r="C1265">
        <v>1</v>
      </c>
    </row>
    <row r="1266" spans="1:3" x14ac:dyDescent="0.2">
      <c r="A1266" s="320" t="s">
        <v>2366</v>
      </c>
      <c r="B1266">
        <f>IF(ISBLANK(PedBerAfspr!$D$34),"",PedBerAfspr!$D$34)</f>
        <v>1</v>
      </c>
      <c r="C1266">
        <v>1</v>
      </c>
    </row>
    <row r="1267" spans="1:3" x14ac:dyDescent="0.2">
      <c r="A1267" s="320" t="s">
        <v>3498</v>
      </c>
      <c r="B1267" t="str">
        <f>IF(ISBLANK(PedBerAfspr!$H$18),"",PedBerAfspr!$H$18)</f>
        <v/>
      </c>
      <c r="C1267">
        <v>0</v>
      </c>
    </row>
    <row r="1268" spans="1:3" x14ac:dyDescent="0.2">
      <c r="A1268" s="320" t="s">
        <v>2367</v>
      </c>
      <c r="B1268" t="str">
        <f>IF(ISBLANK(PedBerAfspr!$H$18),"",PedBerAfspr!$H$18)</f>
        <v/>
      </c>
      <c r="C1268" s="134"/>
    </row>
    <row r="1269" spans="1:3" x14ac:dyDescent="0.2">
      <c r="A1269" s="320" t="s">
        <v>2368</v>
      </c>
      <c r="B1269">
        <f>IF(ISBLANK(PedBerAfspr!$G$18),"",PedBerAfspr!$G$18)</f>
        <v>0</v>
      </c>
      <c r="C1269">
        <v>0</v>
      </c>
    </row>
    <row r="1270" spans="1:3" x14ac:dyDescent="0.2">
      <c r="A1270" s="320" t="s">
        <v>2183</v>
      </c>
      <c r="B1270" t="str">
        <f>IF(ISBLANK(PedBerAfspr!$F$17),"",PedBerAfspr!$F$17)</f>
        <v/>
      </c>
      <c r="C1270" s="134"/>
    </row>
    <row r="1271" spans="1:3" x14ac:dyDescent="0.2">
      <c r="A1271" s="320" t="s">
        <v>3499</v>
      </c>
      <c r="B1271">
        <f>IF(ISBLANK(PedBerEnt!$J$2),"",PedBerEnt!$J$2)</f>
        <v>1</v>
      </c>
      <c r="C1271">
        <v>1</v>
      </c>
    </row>
    <row r="1272" spans="1:3" x14ac:dyDescent="0.2">
      <c r="A1272" s="320" t="s">
        <v>3500</v>
      </c>
      <c r="B1272">
        <f>IF(ISBLANK(PedBerEnt!$J$3),"",PedBerEnt!$J$3)</f>
        <v>1</v>
      </c>
      <c r="C1272" s="320">
        <v>1</v>
      </c>
    </row>
    <row r="1273" spans="1:3" x14ac:dyDescent="0.2">
      <c r="A1273" s="320" t="s">
        <v>3501</v>
      </c>
      <c r="B1273">
        <f>IF(ISBLANK(PedBerEnt!$J$4),"",PedBerEnt!$J$4)</f>
        <v>1</v>
      </c>
      <c r="C1273" s="320">
        <v>1</v>
      </c>
    </row>
    <row r="1274" spans="1:3" x14ac:dyDescent="0.2">
      <c r="A1274" s="320" t="s">
        <v>3502</v>
      </c>
      <c r="B1274">
        <f>IF(ISBLANK(PedBerEnt!$J$5),"",PedBerEnt!$J$5)</f>
        <v>1</v>
      </c>
      <c r="C1274" s="320">
        <v>1</v>
      </c>
    </row>
    <row r="1275" spans="1:3" x14ac:dyDescent="0.2">
      <c r="A1275" s="320" t="s">
        <v>3503</v>
      </c>
      <c r="B1275">
        <f>IF(ISBLANK(PedBerEnt!$N$2),"",PedBerEnt!$N$2)</f>
        <v>1</v>
      </c>
      <c r="C1275" s="320">
        <v>1</v>
      </c>
    </row>
    <row r="1276" spans="1:3" x14ac:dyDescent="0.2">
      <c r="A1276" s="320" t="s">
        <v>3504</v>
      </c>
      <c r="B1276">
        <f>IF(ISBLANK(PedBerEnt!$N$3),"",PedBerEnt!$N$3)</f>
        <v>1</v>
      </c>
      <c r="C1276" s="320">
        <v>1</v>
      </c>
    </row>
    <row r="1277" spans="1:3" x14ac:dyDescent="0.2">
      <c r="A1277" s="320" t="s">
        <v>3505</v>
      </c>
      <c r="B1277">
        <f>IF(ISBLANK(PedBerEnt!$N$4),"",PedBerEnt!$N$4)</f>
        <v>1</v>
      </c>
      <c r="C1277" s="320">
        <v>1</v>
      </c>
    </row>
    <row r="1278" spans="1:3" x14ac:dyDescent="0.2">
      <c r="A1278" s="320" t="s">
        <v>3506</v>
      </c>
      <c r="B1278">
        <f>IF(ISBLANK(PedBerEnt!$N$5),"",PedBerEnt!$N$5)</f>
        <v>1</v>
      </c>
      <c r="C1278" s="320">
        <v>1</v>
      </c>
    </row>
    <row r="1279" spans="1:3" x14ac:dyDescent="0.2">
      <c r="A1279" s="320" t="s">
        <v>3507</v>
      </c>
      <c r="B1279" t="str">
        <f>IF(ISBLANK(PedBerEnt!$C$16),"",PedBerEnt!$C$16)</f>
        <v/>
      </c>
    </row>
    <row r="1280" spans="1:3" x14ac:dyDescent="0.2">
      <c r="A1280" s="320" t="s">
        <v>3508</v>
      </c>
      <c r="B1280">
        <f>IF(ISBLANK(PedBerEnt!$O$2),"",PedBerEnt!$O$2)</f>
        <v>1</v>
      </c>
      <c r="C1280">
        <v>1</v>
      </c>
    </row>
    <row r="1281" spans="1:3" x14ac:dyDescent="0.2">
      <c r="A1281" s="320" t="s">
        <v>3509</v>
      </c>
      <c r="B1281">
        <f>IF(ISBLANK(PedBerEnt!$H$2),"",PedBerEnt!$H$2)</f>
        <v>0</v>
      </c>
      <c r="C1281" s="322">
        <v>0</v>
      </c>
    </row>
    <row r="1282" spans="1:3" x14ac:dyDescent="0.2">
      <c r="A1282" s="320" t="s">
        <v>3510</v>
      </c>
      <c r="B1282">
        <f>IF(ISBLANK(PedBerEnt!$H$3),"",PedBerEnt!$H$3)</f>
        <v>0</v>
      </c>
      <c r="C1282" s="322">
        <v>0</v>
      </c>
    </row>
    <row r="1283" spans="1:3" x14ac:dyDescent="0.2">
      <c r="A1283" s="320" t="s">
        <v>3511</v>
      </c>
      <c r="B1283">
        <f>IF(ISBLANK(PedBerEnt!$H$4),"",PedBerEnt!$H$4)</f>
        <v>0</v>
      </c>
      <c r="C1283" s="322">
        <v>0</v>
      </c>
    </row>
    <row r="1284" spans="1:3" x14ac:dyDescent="0.2">
      <c r="A1284" s="320" t="s">
        <v>3512</v>
      </c>
      <c r="B1284">
        <f>IF(ISBLANK(PedBerEnt!$H$5),"",PedBerEnt!$H$5)</f>
        <v>0</v>
      </c>
      <c r="C1284" s="322">
        <v>0</v>
      </c>
    </row>
    <row r="1285" spans="1:3" x14ac:dyDescent="0.2">
      <c r="A1285" s="320" t="s">
        <v>3513</v>
      </c>
      <c r="B1285">
        <f>IF(ISBLANK(PedBerEnt!$H$6),"",PedBerEnt!$H$6)</f>
        <v>0</v>
      </c>
      <c r="C1285" s="322">
        <v>0</v>
      </c>
    </row>
    <row r="1286" spans="1:3" x14ac:dyDescent="0.2">
      <c r="A1286" s="320" t="s">
        <v>3514</v>
      </c>
      <c r="B1286">
        <f>IF(ISBLANK(PedBerEnt!$H$7),"",PedBerEnt!$H$7)</f>
        <v>0</v>
      </c>
      <c r="C1286" s="322">
        <v>0</v>
      </c>
    </row>
    <row r="1287" spans="1:3" x14ac:dyDescent="0.2">
      <c r="A1287" s="320" t="s">
        <v>3515</v>
      </c>
      <c r="B1287">
        <f>IF(ISBLANK(PedBerEnt!$H$8),"",PedBerEnt!$H$8)</f>
        <v>0</v>
      </c>
      <c r="C1287" s="322">
        <v>0</v>
      </c>
    </row>
    <row r="1288" spans="1:3" x14ac:dyDescent="0.2">
      <c r="A1288" s="320" t="s">
        <v>3516</v>
      </c>
      <c r="B1288">
        <f>IF(ISBLANK(PedBerEnt!$H$9),"",PedBerEnt!$H$9)</f>
        <v>0</v>
      </c>
      <c r="C1288" s="322">
        <v>0</v>
      </c>
    </row>
    <row r="1289" spans="1:3" x14ac:dyDescent="0.2">
      <c r="A1289" s="320" t="s">
        <v>3517</v>
      </c>
      <c r="B1289">
        <f>IF(ISBLANK(PedBerEnt!$H$10),"",PedBerEnt!$H$10)</f>
        <v>0</v>
      </c>
      <c r="C1289" s="322">
        <v>0</v>
      </c>
    </row>
    <row r="1290" spans="1:3" x14ac:dyDescent="0.2">
      <c r="A1290" s="320" t="s">
        <v>3518</v>
      </c>
      <c r="B1290">
        <f>IF(ISBLANK(PedBerEnt!$H$11),"",PedBerEnt!$H$11)</f>
        <v>0</v>
      </c>
      <c r="C1290" s="322">
        <v>0</v>
      </c>
    </row>
    <row r="1291" spans="1:3" x14ac:dyDescent="0.2">
      <c r="A1291" s="320" t="s">
        <v>3519</v>
      </c>
      <c r="B1291">
        <f>IF(ISBLANK(PedBerEnt!$H$12),"",PedBerEnt!$H$12)</f>
        <v>0</v>
      </c>
      <c r="C1291" s="322">
        <v>0</v>
      </c>
    </row>
    <row r="1292" spans="1:3" x14ac:dyDescent="0.2">
      <c r="A1292" s="320" t="s">
        <v>3520</v>
      </c>
      <c r="B1292">
        <f>IF(ISBLANK(PedBerEnt!$H$13),"",PedBerEnt!$H$13)</f>
        <v>0</v>
      </c>
      <c r="C1292" s="322">
        <v>0</v>
      </c>
    </row>
    <row r="1293" spans="1:3" x14ac:dyDescent="0.2">
      <c r="A1293" s="320" t="s">
        <v>3521</v>
      </c>
      <c r="B1293">
        <f>IF(ISBLANK(PedBerEnt!$K$2),"",PedBerEnt!$K$2)</f>
        <v>0</v>
      </c>
      <c r="C1293" s="322">
        <v>0</v>
      </c>
    </row>
    <row r="1294" spans="1:3" x14ac:dyDescent="0.2">
      <c r="A1294" s="320" t="s">
        <v>3522</v>
      </c>
      <c r="B1294">
        <f>IF(ISBLANK(PedBerEnt!$K$3),"",PedBerEnt!$K$3)</f>
        <v>0</v>
      </c>
      <c r="C1294" s="322">
        <v>0</v>
      </c>
    </row>
    <row r="1295" spans="1:3" x14ac:dyDescent="0.2">
      <c r="A1295" s="320" t="s">
        <v>3523</v>
      </c>
      <c r="B1295">
        <f>IF(ISBLANK(PedBerEnt!$K$4),"",PedBerEnt!$K$4)</f>
        <v>0</v>
      </c>
      <c r="C1295" s="322">
        <v>0</v>
      </c>
    </row>
    <row r="1296" spans="1:3" x14ac:dyDescent="0.2">
      <c r="A1296" s="320" t="s">
        <v>3524</v>
      </c>
      <c r="B1296">
        <f>IF(ISBLANK(PedBerEnt!$K$5),"",PedBerEnt!$K$5)</f>
        <v>0</v>
      </c>
      <c r="C1296" s="322">
        <v>0</v>
      </c>
    </row>
    <row r="1297" spans="1:3" x14ac:dyDescent="0.2">
      <c r="A1297" s="320" t="s">
        <v>1212</v>
      </c>
      <c r="B1297">
        <f>IF(ISBLANK(PedBerIVenPM!$B$2),"",PedBerIVenPM!$B$2)</f>
        <v>1</v>
      </c>
      <c r="C1297">
        <v>1</v>
      </c>
    </row>
    <row r="1298" spans="1:3" x14ac:dyDescent="0.2">
      <c r="A1298" s="320" t="s">
        <v>1213</v>
      </c>
      <c r="B1298">
        <f>IF(ISBLANK(PedBerIVenPM!$B$3),"",PedBerIVenPM!$B$3)</f>
        <v>1</v>
      </c>
      <c r="C1298">
        <v>1</v>
      </c>
    </row>
    <row r="1299" spans="1:3" x14ac:dyDescent="0.2">
      <c r="A1299" s="320" t="s">
        <v>1214</v>
      </c>
      <c r="B1299">
        <f>IF(ISBLANK(PedBerIVenPM!$B$4),"",PedBerIVenPM!$B$4)</f>
        <v>1</v>
      </c>
      <c r="C1299">
        <v>1</v>
      </c>
    </row>
    <row r="1300" spans="1:3" x14ac:dyDescent="0.2">
      <c r="A1300" s="320" t="s">
        <v>1215</v>
      </c>
      <c r="B1300">
        <f>IF(ISBLANK(PedBerIVenPM!$B$5),"",PedBerIVenPM!$B$5)</f>
        <v>1</v>
      </c>
      <c r="C1300">
        <v>1</v>
      </c>
    </row>
    <row r="1301" spans="1:3" x14ac:dyDescent="0.2">
      <c r="A1301" s="320" t="s">
        <v>1216</v>
      </c>
      <c r="B1301">
        <f>IF(ISBLANK(PedBerIVenPM!$B$6),"",PedBerIVenPM!$B$6)</f>
        <v>1</v>
      </c>
      <c r="C1301">
        <v>1</v>
      </c>
    </row>
    <row r="1302" spans="1:3" x14ac:dyDescent="0.2">
      <c r="A1302" s="320" t="s">
        <v>1217</v>
      </c>
      <c r="B1302">
        <f>IF(ISBLANK(PedBerIVenPM!$B$7),"",PedBerIVenPM!$B$7)</f>
        <v>1</v>
      </c>
      <c r="C1302">
        <v>1</v>
      </c>
    </row>
    <row r="1303" spans="1:3" x14ac:dyDescent="0.2">
      <c r="A1303" s="320" t="s">
        <v>3525</v>
      </c>
      <c r="B1303" t="str">
        <f>IF(ISBLANK(PedBerIVenPM!$B$9),"",PedBerIVenPM!$B$9)</f>
        <v/>
      </c>
      <c r="C1303" s="134"/>
    </row>
    <row r="1304" spans="1:3" x14ac:dyDescent="0.2">
      <c r="A1304" s="320" t="s">
        <v>3526</v>
      </c>
      <c r="B1304" t="b">
        <f>IF(ISBLANK(PedBerLab!$E$4),"",PedBerLab!$E$4)</f>
        <v>0</v>
      </c>
      <c r="C1304" t="b">
        <v>0</v>
      </c>
    </row>
    <row r="1305" spans="1:3" x14ac:dyDescent="0.2">
      <c r="A1305" s="320" t="s">
        <v>3527</v>
      </c>
      <c r="B1305" t="b">
        <f>IF(ISBLANK(PedBerLab!$E$5),"",PedBerLab!$E$5)</f>
        <v>0</v>
      </c>
      <c r="C1305" s="320" t="b">
        <v>0</v>
      </c>
    </row>
    <row r="1306" spans="1:3" x14ac:dyDescent="0.2">
      <c r="A1306" s="320" t="s">
        <v>3528</v>
      </c>
      <c r="B1306" t="b">
        <f>IF(ISBLANK(PedBerLab!$E$6),"",PedBerLab!$E$6)</f>
        <v>0</v>
      </c>
      <c r="C1306" s="320" t="b">
        <v>0</v>
      </c>
    </row>
    <row r="1307" spans="1:3" x14ac:dyDescent="0.2">
      <c r="A1307" s="320" t="s">
        <v>3529</v>
      </c>
      <c r="B1307" t="b">
        <f>IF(ISBLANK(PedBerLab!$E$7),"",PedBerLab!$E$7)</f>
        <v>0</v>
      </c>
      <c r="C1307" s="320" t="b">
        <v>0</v>
      </c>
    </row>
    <row r="1308" spans="1:3" x14ac:dyDescent="0.2">
      <c r="A1308" s="320" t="s">
        <v>3530</v>
      </c>
      <c r="B1308" t="b">
        <f>IF(ISBLANK(PedBerLab!$E$8),"",PedBerLab!$E$8)</f>
        <v>0</v>
      </c>
      <c r="C1308" s="320" t="b">
        <v>0</v>
      </c>
    </row>
    <row r="1309" spans="1:3" x14ac:dyDescent="0.2">
      <c r="A1309" s="320" t="s">
        <v>3531</v>
      </c>
      <c r="B1309" t="b">
        <f>IF(ISBLANK(PedBerLab!$E$9),"",PedBerLab!$E$9)</f>
        <v>0</v>
      </c>
      <c r="C1309" s="320" t="b">
        <v>0</v>
      </c>
    </row>
    <row r="1310" spans="1:3" x14ac:dyDescent="0.2">
      <c r="A1310" s="320" t="s">
        <v>3532</v>
      </c>
      <c r="B1310" t="b">
        <f>IF(ISBLANK(PedBerLab!$E$10),"",PedBerLab!$E$10)</f>
        <v>0</v>
      </c>
      <c r="C1310" s="320" t="b">
        <v>0</v>
      </c>
    </row>
    <row r="1311" spans="1:3" x14ac:dyDescent="0.2">
      <c r="A1311" s="320" t="s">
        <v>3533</v>
      </c>
      <c r="B1311" t="b">
        <f>IF(ISBLANK(PedBerLab!$E$11),"",PedBerLab!$E$11)</f>
        <v>0</v>
      </c>
      <c r="C1311" s="320" t="b">
        <v>0</v>
      </c>
    </row>
    <row r="1312" spans="1:3" x14ac:dyDescent="0.2">
      <c r="A1312" s="320" t="s">
        <v>3534</v>
      </c>
      <c r="B1312" t="b">
        <f>IF(ISBLANK(PedBerLab!$E$12),"",PedBerLab!$E$12)</f>
        <v>0</v>
      </c>
      <c r="C1312" s="320" t="b">
        <v>0</v>
      </c>
    </row>
    <row r="1313" spans="1:3" x14ac:dyDescent="0.2">
      <c r="A1313" s="320" t="s">
        <v>3535</v>
      </c>
      <c r="B1313" t="b">
        <f>IF(ISBLANK(PedBerLab!$E$13),"",PedBerLab!$E$13)</f>
        <v>0</v>
      </c>
      <c r="C1313" s="320" t="b">
        <v>0</v>
      </c>
    </row>
    <row r="1314" spans="1:3" x14ac:dyDescent="0.2">
      <c r="A1314" s="320" t="s">
        <v>3536</v>
      </c>
      <c r="B1314" t="b">
        <f>IF(ISBLANK(PedBerLab!$E$14),"",PedBerLab!$E$14)</f>
        <v>0</v>
      </c>
      <c r="C1314" s="320" t="b">
        <v>0</v>
      </c>
    </row>
    <row r="1315" spans="1:3" x14ac:dyDescent="0.2">
      <c r="A1315" s="320" t="s">
        <v>3537</v>
      </c>
      <c r="B1315" t="b">
        <f>IF(ISBLANK(PedBerLab!$E$15),"",PedBerLab!$E$15)</f>
        <v>0</v>
      </c>
      <c r="C1315" s="320" t="b">
        <v>0</v>
      </c>
    </row>
    <row r="1316" spans="1:3" x14ac:dyDescent="0.2">
      <c r="A1316" s="320" t="s">
        <v>3538</v>
      </c>
      <c r="B1316" t="b">
        <f>IF(ISBLANK(PedBerLab!$E$16),"",PedBerLab!$E$16)</f>
        <v>0</v>
      </c>
      <c r="C1316" s="320" t="b">
        <v>0</v>
      </c>
    </row>
    <row r="1317" spans="1:3" x14ac:dyDescent="0.2">
      <c r="A1317" s="320" t="s">
        <v>3539</v>
      </c>
      <c r="B1317" t="b">
        <f>IF(ISBLANK(PedBerLab!$E$17),"",PedBerLab!$E$17)</f>
        <v>0</v>
      </c>
      <c r="C1317" s="320" t="b">
        <v>0</v>
      </c>
    </row>
    <row r="1318" spans="1:3" x14ac:dyDescent="0.2">
      <c r="A1318" s="320" t="s">
        <v>3540</v>
      </c>
      <c r="B1318" t="b">
        <f>IF(ISBLANK(PedBerLab!$E$18),"",PedBerLab!$E$18)</f>
        <v>0</v>
      </c>
      <c r="C1318" s="320" t="b">
        <v>0</v>
      </c>
    </row>
    <row r="1319" spans="1:3" x14ac:dyDescent="0.2">
      <c r="A1319" s="320" t="s">
        <v>3541</v>
      </c>
      <c r="B1319" t="b">
        <f>IF(ISBLANK(PedBerLab!$E$19),"",PedBerLab!$E$19)</f>
        <v>0</v>
      </c>
      <c r="C1319" s="320" t="b">
        <v>0</v>
      </c>
    </row>
    <row r="1320" spans="1:3" x14ac:dyDescent="0.2">
      <c r="A1320" s="320" t="s">
        <v>3542</v>
      </c>
      <c r="B1320" t="b">
        <f>IF(ISBLANK(PedBerLab!$E$20),"",PedBerLab!$E$20)</f>
        <v>0</v>
      </c>
      <c r="C1320" s="320" t="b">
        <v>0</v>
      </c>
    </row>
    <row r="1321" spans="1:3" x14ac:dyDescent="0.2">
      <c r="A1321" s="320" t="s">
        <v>3543</v>
      </c>
      <c r="B1321" t="b">
        <f>IF(ISBLANK(PedBerLab!$E$21),"",PedBerLab!$E$21)</f>
        <v>0</v>
      </c>
      <c r="C1321" s="320" t="b">
        <v>0</v>
      </c>
    </row>
    <row r="1322" spans="1:3" x14ac:dyDescent="0.2">
      <c r="A1322" s="320" t="s">
        <v>3544</v>
      </c>
      <c r="B1322" t="b">
        <f>IF(ISBLANK(PedBerLab!$E$22),"",PedBerLab!$E$22)</f>
        <v>0</v>
      </c>
      <c r="C1322" s="320" t="b">
        <v>0</v>
      </c>
    </row>
    <row r="1323" spans="1:3" x14ac:dyDescent="0.2">
      <c r="A1323" s="320" t="s">
        <v>3545</v>
      </c>
      <c r="B1323" t="b">
        <f>IF(ISBLANK(PedBerLab!$E$23),"",PedBerLab!$E$23)</f>
        <v>0</v>
      </c>
      <c r="C1323" s="320" t="b">
        <v>0</v>
      </c>
    </row>
    <row r="1324" spans="1:3" x14ac:dyDescent="0.2">
      <c r="A1324" s="320" t="s">
        <v>3546</v>
      </c>
      <c r="B1324" t="b">
        <f>IF(ISBLANK(PedBerLab!$E$24),"",PedBerLab!$E$24)</f>
        <v>0</v>
      </c>
      <c r="C1324" s="320" t="b">
        <v>0</v>
      </c>
    </row>
    <row r="1325" spans="1:3" x14ac:dyDescent="0.2">
      <c r="A1325" s="320" t="s">
        <v>3547</v>
      </c>
      <c r="B1325" t="b">
        <f>IF(ISBLANK(PedBerLab!$E$25),"",PedBerLab!$E$25)</f>
        <v>0</v>
      </c>
      <c r="C1325" s="320" t="b">
        <v>0</v>
      </c>
    </row>
    <row r="1326" spans="1:3" x14ac:dyDescent="0.2">
      <c r="A1326" s="320" t="s">
        <v>3548</v>
      </c>
      <c r="B1326" t="b">
        <f>IF(ISBLANK(PedBerLab!$E$26),"",PedBerLab!$E$26)</f>
        <v>0</v>
      </c>
      <c r="C1326" s="320" t="b">
        <v>0</v>
      </c>
    </row>
    <row r="1327" spans="1:3" x14ac:dyDescent="0.2">
      <c r="A1327" s="320" t="s">
        <v>3549</v>
      </c>
      <c r="B1327" t="b">
        <f>IF(ISBLANK(PedBerLab!$E$27),"",PedBerLab!$E$27)</f>
        <v>0</v>
      </c>
      <c r="C1327" s="320" t="b">
        <v>0</v>
      </c>
    </row>
    <row r="1328" spans="1:3" x14ac:dyDescent="0.2">
      <c r="A1328" s="320" t="s">
        <v>3550</v>
      </c>
      <c r="B1328" t="b">
        <f>IF(ISBLANK(PedBerLab!$E$28),"",PedBerLab!$E$28)</f>
        <v>0</v>
      </c>
      <c r="C1328" s="320" t="b">
        <v>0</v>
      </c>
    </row>
    <row r="1329" spans="1:3" x14ac:dyDescent="0.2">
      <c r="A1329" s="320" t="s">
        <v>3551</v>
      </c>
      <c r="B1329" t="b">
        <f>IF(ISBLANK(PedBerLab!$E$29),"",PedBerLab!$E$29)</f>
        <v>0</v>
      </c>
      <c r="C1329" s="320" t="b">
        <v>0</v>
      </c>
    </row>
    <row r="1330" spans="1:3" x14ac:dyDescent="0.2">
      <c r="A1330" s="320" t="s">
        <v>3552</v>
      </c>
      <c r="B1330" t="b">
        <f>IF(ISBLANK(PedBerLab!$E$30),"",PedBerLab!$E$30)</f>
        <v>0</v>
      </c>
      <c r="C1330" s="320" t="b">
        <v>0</v>
      </c>
    </row>
    <row r="1331" spans="1:3" x14ac:dyDescent="0.2">
      <c r="A1331" s="320" t="s">
        <v>3553</v>
      </c>
      <c r="B1331" t="b">
        <f>IF(ISBLANK(PedBerLab!$E$31),"",PedBerLab!$E$31)</f>
        <v>0</v>
      </c>
      <c r="C1331" s="320" t="b">
        <v>0</v>
      </c>
    </row>
    <row r="1332" spans="1:3" x14ac:dyDescent="0.2">
      <c r="A1332" s="320" t="s">
        <v>3554</v>
      </c>
      <c r="B1332" t="b">
        <f>IF(ISBLANK(PedBerLab!$E$32),"",PedBerLab!$E$32)</f>
        <v>0</v>
      </c>
      <c r="C1332" s="320" t="b">
        <v>0</v>
      </c>
    </row>
    <row r="1333" spans="1:3" x14ac:dyDescent="0.2">
      <c r="A1333" s="320" t="s">
        <v>3555</v>
      </c>
      <c r="B1333" t="b">
        <f>IF(ISBLANK(PedBerLab!$E$33),"",PedBerLab!$E$33)</f>
        <v>0</v>
      </c>
      <c r="C1333" s="320" t="b">
        <v>0</v>
      </c>
    </row>
    <row r="1334" spans="1:3" x14ac:dyDescent="0.2">
      <c r="A1334" s="320" t="s">
        <v>3556</v>
      </c>
      <c r="B1334" t="b">
        <f>IF(ISBLANK(PedBerLab!$E$34),"",PedBerLab!$E$34)</f>
        <v>0</v>
      </c>
      <c r="C1334" s="320" t="b">
        <v>0</v>
      </c>
    </row>
    <row r="1335" spans="1:3" x14ac:dyDescent="0.2">
      <c r="A1335" s="320" t="s">
        <v>3557</v>
      </c>
      <c r="B1335" t="b">
        <f>IF(ISBLANK(PedBerLab!$G$4),"",PedBerLab!$G$4)</f>
        <v>0</v>
      </c>
      <c r="C1335" s="320" t="b">
        <v>0</v>
      </c>
    </row>
    <row r="1336" spans="1:3" x14ac:dyDescent="0.2">
      <c r="A1336" s="320" t="s">
        <v>3558</v>
      </c>
      <c r="B1336" t="b">
        <f>IF(ISBLANK(PedBerLab!$G$5),"",PedBerLab!$G$5)</f>
        <v>0</v>
      </c>
      <c r="C1336" s="320" t="b">
        <v>0</v>
      </c>
    </row>
    <row r="1337" spans="1:3" x14ac:dyDescent="0.2">
      <c r="A1337" s="320" t="s">
        <v>3559</v>
      </c>
      <c r="B1337" t="b">
        <f>IF(ISBLANK(PedBerLab!$G$6),"",PedBerLab!$G$6)</f>
        <v>0</v>
      </c>
      <c r="C1337" s="320" t="b">
        <v>0</v>
      </c>
    </row>
    <row r="1338" spans="1:3" x14ac:dyDescent="0.2">
      <c r="A1338" s="320" t="s">
        <v>3560</v>
      </c>
      <c r="B1338" t="b">
        <f>IF(ISBLANK(PedBerLab!$G$7),"",PedBerLab!$G$7)</f>
        <v>0</v>
      </c>
      <c r="C1338" s="320" t="b">
        <v>0</v>
      </c>
    </row>
    <row r="1339" spans="1:3" x14ac:dyDescent="0.2">
      <c r="A1339" s="320" t="s">
        <v>3561</v>
      </c>
      <c r="B1339" t="b">
        <f>IF(ISBLANK(PedBerLab!$G$8),"",PedBerLab!$G$8)</f>
        <v>0</v>
      </c>
      <c r="C1339" s="320" t="b">
        <v>0</v>
      </c>
    </row>
    <row r="1340" spans="1:3" x14ac:dyDescent="0.2">
      <c r="A1340" s="320" t="s">
        <v>3562</v>
      </c>
      <c r="B1340" t="b">
        <f>IF(ISBLANK(PedBerLab!$G$9),"",PedBerLab!$G$9)</f>
        <v>0</v>
      </c>
      <c r="C1340" s="320" t="b">
        <v>0</v>
      </c>
    </row>
    <row r="1341" spans="1:3" x14ac:dyDescent="0.2">
      <c r="A1341" s="320" t="s">
        <v>3563</v>
      </c>
      <c r="B1341" t="b">
        <f>IF(ISBLANK(PedBerLab!$G$10),"",PedBerLab!$G$10)</f>
        <v>0</v>
      </c>
      <c r="C1341" s="320" t="b">
        <v>0</v>
      </c>
    </row>
    <row r="1342" spans="1:3" x14ac:dyDescent="0.2">
      <c r="A1342" s="320" t="s">
        <v>3564</v>
      </c>
      <c r="B1342" t="b">
        <f>IF(ISBLANK(PedBerLab!$G$11),"",PedBerLab!$G$11)</f>
        <v>0</v>
      </c>
      <c r="C1342" s="320" t="b">
        <v>0</v>
      </c>
    </row>
    <row r="1343" spans="1:3" x14ac:dyDescent="0.2">
      <c r="A1343" s="320" t="s">
        <v>3565</v>
      </c>
      <c r="B1343" t="b">
        <f>IF(ISBLANK(PedBerLab!$G$12),"",PedBerLab!$G$12)</f>
        <v>0</v>
      </c>
      <c r="C1343" s="320" t="b">
        <v>0</v>
      </c>
    </row>
    <row r="1344" spans="1:3" x14ac:dyDescent="0.2">
      <c r="A1344" s="320" t="s">
        <v>3566</v>
      </c>
      <c r="B1344" t="b">
        <f>IF(ISBLANK(PedBerLab!$G$13),"",PedBerLab!$G$13)</f>
        <v>0</v>
      </c>
      <c r="C1344" s="320" t="b">
        <v>0</v>
      </c>
    </row>
    <row r="1345" spans="1:3" x14ac:dyDescent="0.2">
      <c r="A1345" s="320" t="s">
        <v>3567</v>
      </c>
      <c r="B1345" t="b">
        <f>IF(ISBLANK(PedBerLab!$G$14),"",PedBerLab!$G$14)</f>
        <v>0</v>
      </c>
      <c r="C1345" s="320" t="b">
        <v>0</v>
      </c>
    </row>
    <row r="1346" spans="1:3" x14ac:dyDescent="0.2">
      <c r="A1346" s="320" t="s">
        <v>3568</v>
      </c>
      <c r="B1346" t="b">
        <f>IF(ISBLANK(PedBerLab!$G$15),"",PedBerLab!$G$15)</f>
        <v>0</v>
      </c>
      <c r="C1346" s="320" t="b">
        <v>0</v>
      </c>
    </row>
    <row r="1347" spans="1:3" x14ac:dyDescent="0.2">
      <c r="A1347" s="320" t="s">
        <v>3569</v>
      </c>
      <c r="B1347" t="b">
        <f>IF(ISBLANK(PedBerLab!$G$16),"",PedBerLab!$G$16)</f>
        <v>0</v>
      </c>
      <c r="C1347" s="320" t="b">
        <v>0</v>
      </c>
    </row>
    <row r="1348" spans="1:3" x14ac:dyDescent="0.2">
      <c r="A1348" s="320" t="s">
        <v>3570</v>
      </c>
      <c r="B1348" t="b">
        <f>IF(ISBLANK(PedBerLab!$G$17),"",PedBerLab!$G$17)</f>
        <v>0</v>
      </c>
      <c r="C1348" s="320" t="b">
        <v>0</v>
      </c>
    </row>
    <row r="1349" spans="1:3" x14ac:dyDescent="0.2">
      <c r="A1349" s="320" t="s">
        <v>3571</v>
      </c>
      <c r="B1349" t="b">
        <f>IF(ISBLANK(PedBerLab!$G$18),"",PedBerLab!$G$18)</f>
        <v>0</v>
      </c>
      <c r="C1349" s="320" t="b">
        <v>0</v>
      </c>
    </row>
    <row r="1350" spans="1:3" x14ac:dyDescent="0.2">
      <c r="A1350" s="320" t="s">
        <v>3572</v>
      </c>
      <c r="B1350" t="b">
        <f>IF(ISBLANK(PedBerLab!$G$19),"",PedBerLab!$G$19)</f>
        <v>0</v>
      </c>
      <c r="C1350" s="320" t="b">
        <v>0</v>
      </c>
    </row>
    <row r="1351" spans="1:3" x14ac:dyDescent="0.2">
      <c r="A1351" s="320" t="s">
        <v>3573</v>
      </c>
      <c r="B1351" t="b">
        <f>IF(ISBLANK(PedBerLab!$G$20),"",PedBerLab!$G$20)</f>
        <v>0</v>
      </c>
      <c r="C1351" s="320" t="b">
        <v>0</v>
      </c>
    </row>
    <row r="1352" spans="1:3" x14ac:dyDescent="0.2">
      <c r="A1352" s="320" t="s">
        <v>3574</v>
      </c>
      <c r="B1352" t="b">
        <f>IF(ISBLANK(PedBerLab!$G$21),"",PedBerLab!$G$21)</f>
        <v>0</v>
      </c>
      <c r="C1352" s="320" t="b">
        <v>0</v>
      </c>
    </row>
    <row r="1353" spans="1:3" x14ac:dyDescent="0.2">
      <c r="A1353" s="320" t="s">
        <v>3575</v>
      </c>
      <c r="B1353" t="b">
        <f>IF(ISBLANK(PedBerLab!$G$22),"",PedBerLab!$G$22)</f>
        <v>0</v>
      </c>
      <c r="C1353" s="320" t="b">
        <v>0</v>
      </c>
    </row>
    <row r="1354" spans="1:3" x14ac:dyDescent="0.2">
      <c r="A1354" s="320" t="s">
        <v>3576</v>
      </c>
      <c r="B1354" t="b">
        <f>IF(ISBLANK(PedBerLab!$G$23),"",PedBerLab!$G$23)</f>
        <v>0</v>
      </c>
      <c r="C1354" s="320" t="b">
        <v>0</v>
      </c>
    </row>
    <row r="1355" spans="1:3" x14ac:dyDescent="0.2">
      <c r="A1355" s="320" t="s">
        <v>3577</v>
      </c>
      <c r="B1355" t="b">
        <f>IF(ISBLANK(PedBerLab!$G$24),"",PedBerLab!$G$24)</f>
        <v>0</v>
      </c>
      <c r="C1355" s="320" t="b">
        <v>0</v>
      </c>
    </row>
    <row r="1356" spans="1:3" x14ac:dyDescent="0.2">
      <c r="A1356" s="320" t="s">
        <v>3578</v>
      </c>
      <c r="B1356" t="b">
        <f>IF(ISBLANK(PedBerLab!$G$25),"",PedBerLab!$G$25)</f>
        <v>0</v>
      </c>
      <c r="C1356" s="320" t="b">
        <v>0</v>
      </c>
    </row>
    <row r="1357" spans="1:3" x14ac:dyDescent="0.2">
      <c r="A1357" s="320" t="s">
        <v>3579</v>
      </c>
      <c r="B1357" t="b">
        <f>IF(ISBLANK(PedBerLab!$G$26),"",PedBerLab!$G$26)</f>
        <v>0</v>
      </c>
      <c r="C1357" s="320" t="b">
        <v>0</v>
      </c>
    </row>
    <row r="1358" spans="1:3" x14ac:dyDescent="0.2">
      <c r="A1358" s="320" t="s">
        <v>3580</v>
      </c>
      <c r="B1358" t="b">
        <f>IF(ISBLANK(PedBerLab!$G$27),"",PedBerLab!$G$27)</f>
        <v>0</v>
      </c>
      <c r="C1358" s="320" t="b">
        <v>0</v>
      </c>
    </row>
    <row r="1359" spans="1:3" x14ac:dyDescent="0.2">
      <c r="A1359" s="320" t="s">
        <v>3581</v>
      </c>
      <c r="B1359" t="b">
        <f>IF(ISBLANK(PedBerLab!$G$28),"",PedBerLab!$G$28)</f>
        <v>0</v>
      </c>
      <c r="C1359" s="320" t="b">
        <v>0</v>
      </c>
    </row>
    <row r="1360" spans="1:3" x14ac:dyDescent="0.2">
      <c r="A1360" s="320" t="s">
        <v>3582</v>
      </c>
      <c r="B1360" t="b">
        <f>IF(ISBLANK(PedBerLab!$G$29),"",PedBerLab!$G$29)</f>
        <v>0</v>
      </c>
      <c r="C1360" s="320" t="b">
        <v>0</v>
      </c>
    </row>
    <row r="1361" spans="1:3" x14ac:dyDescent="0.2">
      <c r="A1361" s="320" t="s">
        <v>3583</v>
      </c>
      <c r="B1361" t="b">
        <f>IF(ISBLANK(PedBerLab!$G$30),"",PedBerLab!$G$30)</f>
        <v>0</v>
      </c>
      <c r="C1361" s="320" t="b">
        <v>0</v>
      </c>
    </row>
    <row r="1362" spans="1:3" x14ac:dyDescent="0.2">
      <c r="A1362" s="320" t="s">
        <v>3584</v>
      </c>
      <c r="B1362" t="b">
        <f>IF(ISBLANK(PedBerLab!$G$31),"",PedBerLab!$G$31)</f>
        <v>0</v>
      </c>
      <c r="C1362" s="320" t="b">
        <v>0</v>
      </c>
    </row>
    <row r="1363" spans="1:3" x14ac:dyDescent="0.2">
      <c r="A1363" s="320" t="s">
        <v>3585</v>
      </c>
      <c r="B1363" t="b">
        <f>IF(ISBLANK(PedBerLab!$G$32),"",PedBerLab!$G$32)</f>
        <v>0</v>
      </c>
      <c r="C1363" s="320" t="b">
        <v>0</v>
      </c>
    </row>
    <row r="1364" spans="1:3" x14ac:dyDescent="0.2">
      <c r="A1364" s="320" t="s">
        <v>3586</v>
      </c>
      <c r="B1364" t="b">
        <f>IF(ISBLANK(PedBerLab!$G$33),"",PedBerLab!$G$33)</f>
        <v>0</v>
      </c>
      <c r="C1364" s="320" t="b">
        <v>0</v>
      </c>
    </row>
    <row r="1365" spans="1:3" x14ac:dyDescent="0.2">
      <c r="A1365" s="320" t="s">
        <v>3587</v>
      </c>
      <c r="B1365" t="b">
        <f>IF(ISBLANK(PedBerLab!$G$34),"",PedBerLab!$G$34)</f>
        <v>0</v>
      </c>
      <c r="C1365" s="320" t="b">
        <v>0</v>
      </c>
    </row>
    <row r="1366" spans="1:3" x14ac:dyDescent="0.2">
      <c r="A1366" s="320" t="s">
        <v>3588</v>
      </c>
      <c r="B1366" t="b">
        <f>IF(ISBLANK(PedBerLab!$G$35),"",PedBerLab!$G$35)</f>
        <v>0</v>
      </c>
      <c r="C1366" s="320" t="b">
        <v>0</v>
      </c>
    </row>
    <row r="1367" spans="1:3" x14ac:dyDescent="0.2">
      <c r="A1367" s="320" t="s">
        <v>3589</v>
      </c>
      <c r="B1367" t="b">
        <f>IF(ISBLANK(PedBerLab!$I$4),"",PedBerLab!$I$4)</f>
        <v>0</v>
      </c>
      <c r="C1367" s="320" t="b">
        <v>0</v>
      </c>
    </row>
    <row r="1368" spans="1:3" x14ac:dyDescent="0.2">
      <c r="A1368" s="320" t="s">
        <v>3590</v>
      </c>
      <c r="B1368" t="b">
        <f>IF(ISBLANK(PedBerLab!$I$5),"",PedBerLab!$I$5)</f>
        <v>0</v>
      </c>
      <c r="C1368" s="320" t="b">
        <v>0</v>
      </c>
    </row>
    <row r="1369" spans="1:3" x14ac:dyDescent="0.2">
      <c r="A1369" s="320" t="s">
        <v>3591</v>
      </c>
      <c r="B1369" t="b">
        <f>IF(ISBLANK(PedBerLab!$I$6),"",PedBerLab!$I$6)</f>
        <v>0</v>
      </c>
      <c r="C1369" s="320" t="b">
        <v>0</v>
      </c>
    </row>
    <row r="1370" spans="1:3" x14ac:dyDescent="0.2">
      <c r="A1370" s="320" t="s">
        <v>3592</v>
      </c>
      <c r="B1370" t="b">
        <f>IF(ISBLANK(PedBerLab!$I$7),"",PedBerLab!$I$7)</f>
        <v>0</v>
      </c>
      <c r="C1370" s="320" t="b">
        <v>0</v>
      </c>
    </row>
    <row r="1371" spans="1:3" x14ac:dyDescent="0.2">
      <c r="A1371" s="320" t="s">
        <v>3593</v>
      </c>
      <c r="B1371" t="b">
        <f>IF(ISBLANK(PedBerLab!$I$8),"",PedBerLab!$I$8)</f>
        <v>0</v>
      </c>
      <c r="C1371" s="320" t="b">
        <v>0</v>
      </c>
    </row>
    <row r="1372" spans="1:3" x14ac:dyDescent="0.2">
      <c r="A1372" s="320" t="s">
        <v>3594</v>
      </c>
      <c r="B1372" t="b">
        <f>IF(ISBLANK(PedBerLab!$I$9),"",PedBerLab!$I$9)</f>
        <v>0</v>
      </c>
      <c r="C1372" s="320" t="b">
        <v>0</v>
      </c>
    </row>
    <row r="1373" spans="1:3" x14ac:dyDescent="0.2">
      <c r="A1373" s="320" t="s">
        <v>3595</v>
      </c>
      <c r="B1373" t="b">
        <f>IF(ISBLANK(PedBerLab!$I$10),"",PedBerLab!$I$10)</f>
        <v>0</v>
      </c>
      <c r="C1373" s="320" t="b">
        <v>0</v>
      </c>
    </row>
    <row r="1374" spans="1:3" x14ac:dyDescent="0.2">
      <c r="A1374" s="320" t="s">
        <v>3596</v>
      </c>
      <c r="B1374" t="b">
        <f>IF(ISBLANK(PedBerLab!$I$11),"",PedBerLab!$I$11)</f>
        <v>0</v>
      </c>
      <c r="C1374" s="320" t="b">
        <v>0</v>
      </c>
    </row>
    <row r="1375" spans="1:3" x14ac:dyDescent="0.2">
      <c r="A1375" s="320" t="s">
        <v>3597</v>
      </c>
      <c r="B1375" t="b">
        <f>IF(ISBLANK(PedBerLab!$I$12),"",PedBerLab!$I$12)</f>
        <v>0</v>
      </c>
      <c r="C1375" s="320" t="b">
        <v>0</v>
      </c>
    </row>
    <row r="1376" spans="1:3" x14ac:dyDescent="0.2">
      <c r="A1376" s="320" t="s">
        <v>3598</v>
      </c>
      <c r="B1376" t="b">
        <f>IF(ISBLANK(PedBerLab!$I$13),"",PedBerLab!$I$13)</f>
        <v>0</v>
      </c>
      <c r="C1376" s="320" t="b">
        <v>0</v>
      </c>
    </row>
    <row r="1377" spans="1:3" x14ac:dyDescent="0.2">
      <c r="A1377" s="320" t="s">
        <v>3599</v>
      </c>
      <c r="B1377" t="b">
        <f>IF(ISBLANK(PedBerLab!$I$14),"",PedBerLab!$I$14)</f>
        <v>0</v>
      </c>
      <c r="C1377" s="320" t="b">
        <v>0</v>
      </c>
    </row>
    <row r="1378" spans="1:3" x14ac:dyDescent="0.2">
      <c r="A1378" s="320" t="s">
        <v>3600</v>
      </c>
      <c r="B1378" t="b">
        <f>IF(ISBLANK(PedBerLab!$I$15),"",PedBerLab!$I$15)</f>
        <v>0</v>
      </c>
      <c r="C1378" s="320" t="b">
        <v>0</v>
      </c>
    </row>
    <row r="1379" spans="1:3" x14ac:dyDescent="0.2">
      <c r="A1379" s="320" t="s">
        <v>3601</v>
      </c>
      <c r="B1379" t="b">
        <f>IF(ISBLANK(PedBerLab!$I$16),"",PedBerLab!$I$16)</f>
        <v>0</v>
      </c>
      <c r="C1379" s="320" t="b">
        <v>0</v>
      </c>
    </row>
    <row r="1380" spans="1:3" x14ac:dyDescent="0.2">
      <c r="A1380" s="320" t="s">
        <v>3602</v>
      </c>
      <c r="B1380" t="b">
        <f>IF(ISBLANK(PedBerLab!$I$17),"",PedBerLab!$I$17)</f>
        <v>0</v>
      </c>
      <c r="C1380" s="320" t="b">
        <v>0</v>
      </c>
    </row>
    <row r="1381" spans="1:3" x14ac:dyDescent="0.2">
      <c r="A1381" s="320" t="s">
        <v>3603</v>
      </c>
      <c r="B1381" t="b">
        <f>IF(ISBLANK(PedBerLab!$I$18),"",PedBerLab!$I$18)</f>
        <v>0</v>
      </c>
      <c r="C1381" s="320" t="b">
        <v>0</v>
      </c>
    </row>
    <row r="1382" spans="1:3" x14ac:dyDescent="0.2">
      <c r="A1382" s="320" t="s">
        <v>3604</v>
      </c>
      <c r="B1382" t="b">
        <f>IF(ISBLANK(PedBerLab!$I$19),"",PedBerLab!$I$19)</f>
        <v>0</v>
      </c>
      <c r="C1382" s="320" t="b">
        <v>0</v>
      </c>
    </row>
    <row r="1383" spans="1:3" x14ac:dyDescent="0.2">
      <c r="A1383" s="320" t="s">
        <v>3605</v>
      </c>
      <c r="B1383" t="b">
        <f>IF(ISBLANK(PedBerLab!$I$20),"",PedBerLab!$I$20)</f>
        <v>0</v>
      </c>
      <c r="C1383" s="320" t="b">
        <v>0</v>
      </c>
    </row>
    <row r="1384" spans="1:3" x14ac:dyDescent="0.2">
      <c r="A1384" s="320" t="s">
        <v>3606</v>
      </c>
      <c r="B1384" t="b">
        <f>IF(ISBLANK(PedBerLab!$I$21),"",PedBerLab!$I$21)</f>
        <v>0</v>
      </c>
      <c r="C1384" s="320" t="b">
        <v>0</v>
      </c>
    </row>
    <row r="1385" spans="1:3" x14ac:dyDescent="0.2">
      <c r="A1385" s="320" t="s">
        <v>3607</v>
      </c>
      <c r="B1385" t="b">
        <f>IF(ISBLANK(PedBerLab!$I$22),"",PedBerLab!$I$22)</f>
        <v>0</v>
      </c>
      <c r="C1385" s="320" t="b">
        <v>0</v>
      </c>
    </row>
    <row r="1386" spans="1:3" x14ac:dyDescent="0.2">
      <c r="A1386" s="320" t="s">
        <v>3608</v>
      </c>
      <c r="B1386" t="b">
        <f>IF(ISBLANK(PedBerLab!$I$23),"",PedBerLab!$I$23)</f>
        <v>0</v>
      </c>
      <c r="C1386" s="320" t="b">
        <v>0</v>
      </c>
    </row>
    <row r="1387" spans="1:3" x14ac:dyDescent="0.2">
      <c r="A1387" s="320" t="s">
        <v>3609</v>
      </c>
      <c r="B1387" t="b">
        <f>IF(ISBLANK(PedBerLab!$I$24),"",PedBerLab!$I$24)</f>
        <v>0</v>
      </c>
      <c r="C1387" s="320" t="b">
        <v>0</v>
      </c>
    </row>
    <row r="1388" spans="1:3" x14ac:dyDescent="0.2">
      <c r="A1388" s="320" t="s">
        <v>3610</v>
      </c>
      <c r="B1388" t="b">
        <f>IF(ISBLANK(PedBerLab!$I$25),"",PedBerLab!$I$25)</f>
        <v>0</v>
      </c>
      <c r="C1388" s="320" t="b">
        <v>0</v>
      </c>
    </row>
    <row r="1389" spans="1:3" x14ac:dyDescent="0.2">
      <c r="A1389" s="320" t="s">
        <v>3611</v>
      </c>
      <c r="B1389" t="b">
        <f>IF(ISBLANK(PedBerLab!$I$26),"",PedBerLab!$I$26)</f>
        <v>0</v>
      </c>
      <c r="C1389" s="320" t="b">
        <v>0</v>
      </c>
    </row>
    <row r="1390" spans="1:3" x14ac:dyDescent="0.2">
      <c r="A1390" s="320" t="s">
        <v>3612</v>
      </c>
      <c r="B1390" t="b">
        <f>IF(ISBLANK(PedBerLab!$I$27),"",PedBerLab!$I$27)</f>
        <v>0</v>
      </c>
      <c r="C1390" s="320" t="b">
        <v>0</v>
      </c>
    </row>
    <row r="1391" spans="1:3" x14ac:dyDescent="0.2">
      <c r="A1391" s="320" t="s">
        <v>3613</v>
      </c>
      <c r="B1391" t="b">
        <f>IF(ISBLANK(PedBerLab!$I$28),"",PedBerLab!$I$28)</f>
        <v>0</v>
      </c>
      <c r="C1391" s="320" t="b">
        <v>0</v>
      </c>
    </row>
    <row r="1392" spans="1:3" x14ac:dyDescent="0.2">
      <c r="A1392" s="320" t="s">
        <v>3614</v>
      </c>
      <c r="B1392" t="b">
        <f>IF(ISBLANK(PedBerLab!$I$29),"",PedBerLab!$I$29)</f>
        <v>0</v>
      </c>
      <c r="C1392" s="320" t="b">
        <v>0</v>
      </c>
    </row>
    <row r="1393" spans="1:3" x14ac:dyDescent="0.2">
      <c r="A1393" s="320" t="s">
        <v>3615</v>
      </c>
      <c r="B1393" t="b">
        <f>IF(ISBLANK(PedBerLab!$I$30),"",PedBerLab!$I$30)</f>
        <v>0</v>
      </c>
      <c r="C1393" s="320" t="b">
        <v>0</v>
      </c>
    </row>
    <row r="1394" spans="1:3" x14ac:dyDescent="0.2">
      <c r="A1394" s="320" t="s">
        <v>3616</v>
      </c>
      <c r="B1394" t="b">
        <f>IF(ISBLANK(PedBerLab!$I$31),"",PedBerLab!$I$31)</f>
        <v>0</v>
      </c>
      <c r="C1394" s="320" t="b">
        <v>0</v>
      </c>
    </row>
    <row r="1395" spans="1:3" x14ac:dyDescent="0.2">
      <c r="A1395" s="320" t="s">
        <v>3617</v>
      </c>
      <c r="B1395" t="b">
        <f>IF(ISBLANK(PedBerLab!$I$32),"",PedBerLab!$I$32)</f>
        <v>0</v>
      </c>
      <c r="C1395" s="320" t="b">
        <v>0</v>
      </c>
    </row>
    <row r="1396" spans="1:3" x14ac:dyDescent="0.2">
      <c r="A1396" s="320" t="s">
        <v>3618</v>
      </c>
      <c r="B1396" t="b">
        <f>IF(ISBLANK(PedBerLab!$I$33),"",PedBerLab!$I$33)</f>
        <v>0</v>
      </c>
      <c r="C1396" s="320" t="b">
        <v>0</v>
      </c>
    </row>
    <row r="1397" spans="1:3" x14ac:dyDescent="0.2">
      <c r="A1397" s="320" t="s">
        <v>3619</v>
      </c>
      <c r="B1397" t="b">
        <f>IF(ISBLANK(PedBerLab!$I$34),"",PedBerLab!$I$34)</f>
        <v>0</v>
      </c>
      <c r="C1397" s="320" t="b">
        <v>0</v>
      </c>
    </row>
    <row r="1398" spans="1:3" x14ac:dyDescent="0.2">
      <c r="A1398" s="320" t="s">
        <v>3620</v>
      </c>
      <c r="B1398" t="b">
        <f>IF(ISBLANK(PedBerLab!$L$4),"",PedBerLab!$L$4)</f>
        <v>0</v>
      </c>
      <c r="C1398" s="320" t="b">
        <v>0</v>
      </c>
    </row>
    <row r="1399" spans="1:3" x14ac:dyDescent="0.2">
      <c r="A1399" s="320" t="s">
        <v>3621</v>
      </c>
      <c r="B1399" t="b">
        <f>IF(ISBLANK(PedBerLab!$L$5),"",PedBerLab!$L$5)</f>
        <v>0</v>
      </c>
      <c r="C1399" s="320" t="b">
        <v>0</v>
      </c>
    </row>
    <row r="1400" spans="1:3" x14ac:dyDescent="0.2">
      <c r="A1400" s="320" t="s">
        <v>3622</v>
      </c>
      <c r="B1400" t="b">
        <f>IF(ISBLANK(PedBerLab!$L$6),"",PedBerLab!$L$6)</f>
        <v>0</v>
      </c>
      <c r="C1400" s="320" t="b">
        <v>0</v>
      </c>
    </row>
    <row r="1401" spans="1:3" x14ac:dyDescent="0.2">
      <c r="A1401" s="320" t="s">
        <v>3623</v>
      </c>
      <c r="B1401" t="b">
        <f>IF(ISBLANK(PedBerLab!$L$7),"",PedBerLab!$L$7)</f>
        <v>0</v>
      </c>
      <c r="C1401" s="320" t="b">
        <v>0</v>
      </c>
    </row>
    <row r="1402" spans="1:3" x14ac:dyDescent="0.2">
      <c r="A1402" s="320" t="s">
        <v>3624</v>
      </c>
      <c r="B1402" t="b">
        <f>IF(ISBLANK(PedBerLab!$L$8),"",PedBerLab!$L$8)</f>
        <v>0</v>
      </c>
      <c r="C1402" s="320" t="b">
        <v>0</v>
      </c>
    </row>
    <row r="1403" spans="1:3" x14ac:dyDescent="0.2">
      <c r="A1403" s="320" t="s">
        <v>3625</v>
      </c>
      <c r="B1403" t="b">
        <f>IF(ISBLANK(PedBerLab!$L$9),"",PedBerLab!$L$9)</f>
        <v>0</v>
      </c>
      <c r="C1403" s="320" t="b">
        <v>0</v>
      </c>
    </row>
    <row r="1404" spans="1:3" x14ac:dyDescent="0.2">
      <c r="A1404" s="320" t="s">
        <v>3626</v>
      </c>
      <c r="B1404" t="b">
        <f>IF(ISBLANK(PedBerLab!$L$10),"",PedBerLab!$L$10)</f>
        <v>0</v>
      </c>
      <c r="C1404" s="320" t="b">
        <v>0</v>
      </c>
    </row>
    <row r="1405" spans="1:3" x14ac:dyDescent="0.2">
      <c r="A1405" s="320" t="s">
        <v>3627</v>
      </c>
      <c r="B1405" t="b">
        <f>IF(ISBLANK(PedBerLab!$L$11),"",PedBerLab!$L$11)</f>
        <v>0</v>
      </c>
      <c r="C1405" s="320" t="b">
        <v>0</v>
      </c>
    </row>
    <row r="1406" spans="1:3" x14ac:dyDescent="0.2">
      <c r="A1406" s="320" t="s">
        <v>3628</v>
      </c>
      <c r="B1406" t="b">
        <f>IF(ISBLANK(PedBerLab!$L$12),"",PedBerLab!$L$12)</f>
        <v>0</v>
      </c>
      <c r="C1406" s="320" t="b">
        <v>0</v>
      </c>
    </row>
    <row r="1407" spans="1:3" x14ac:dyDescent="0.2">
      <c r="A1407" s="320" t="s">
        <v>3629</v>
      </c>
      <c r="B1407" t="b">
        <f>IF(ISBLANK(PedBerLab!$L$13),"",PedBerLab!$L$13)</f>
        <v>0</v>
      </c>
      <c r="C1407" s="320" t="b">
        <v>0</v>
      </c>
    </row>
    <row r="1408" spans="1:3" x14ac:dyDescent="0.2">
      <c r="A1408" s="320" t="s">
        <v>3630</v>
      </c>
      <c r="B1408" t="b">
        <f>IF(ISBLANK(PedBerLab!$L$14),"",PedBerLab!$L$14)</f>
        <v>0</v>
      </c>
      <c r="C1408" s="320" t="b">
        <v>0</v>
      </c>
    </row>
    <row r="1409" spans="1:3" x14ac:dyDescent="0.2">
      <c r="A1409" s="320" t="s">
        <v>3631</v>
      </c>
      <c r="B1409" t="b">
        <f>IF(ISBLANK(PedBerLab!$L$15),"",PedBerLab!$L$15)</f>
        <v>0</v>
      </c>
      <c r="C1409" s="320" t="b">
        <v>0</v>
      </c>
    </row>
    <row r="1410" spans="1:3" x14ac:dyDescent="0.2">
      <c r="A1410" s="320" t="s">
        <v>3632</v>
      </c>
      <c r="B1410" t="b">
        <f>IF(ISBLANK(PedBerLab!$L$16),"",PedBerLab!$L$16)</f>
        <v>0</v>
      </c>
      <c r="C1410" s="320" t="b">
        <v>0</v>
      </c>
    </row>
    <row r="1411" spans="1:3" x14ac:dyDescent="0.2">
      <c r="A1411" s="320" t="s">
        <v>3633</v>
      </c>
      <c r="B1411" t="b">
        <f>IF(ISBLANK(PedBerLab!$L$17),"",PedBerLab!$L$17)</f>
        <v>0</v>
      </c>
      <c r="C1411" s="320" t="b">
        <v>0</v>
      </c>
    </row>
    <row r="1412" spans="1:3" x14ac:dyDescent="0.2">
      <c r="A1412" s="320" t="s">
        <v>3634</v>
      </c>
      <c r="B1412" t="b">
        <f>IF(ISBLANK(PedBerLab!$L$18),"",PedBerLab!$L$18)</f>
        <v>0</v>
      </c>
      <c r="C1412" s="320" t="b">
        <v>0</v>
      </c>
    </row>
    <row r="1413" spans="1:3" x14ac:dyDescent="0.2">
      <c r="A1413" s="320" t="s">
        <v>3635</v>
      </c>
      <c r="B1413" t="b">
        <f>IF(ISBLANK(PedBerLab!$L$19),"",PedBerLab!$L$19)</f>
        <v>0</v>
      </c>
      <c r="C1413" s="320" t="b">
        <v>0</v>
      </c>
    </row>
    <row r="1414" spans="1:3" x14ac:dyDescent="0.2">
      <c r="A1414" s="320" t="s">
        <v>3636</v>
      </c>
      <c r="B1414" t="b">
        <f>IF(ISBLANK(PedBerLab!$L$20),"",PedBerLab!$L$20)</f>
        <v>0</v>
      </c>
      <c r="C1414" s="320" t="b">
        <v>0</v>
      </c>
    </row>
    <row r="1415" spans="1:3" x14ac:dyDescent="0.2">
      <c r="A1415" s="320" t="s">
        <v>3637</v>
      </c>
      <c r="B1415" t="b">
        <f>IF(ISBLANK(PedBerLab!$L$21),"",PedBerLab!$L$21)</f>
        <v>0</v>
      </c>
      <c r="C1415" s="320" t="b">
        <v>0</v>
      </c>
    </row>
    <row r="1416" spans="1:3" x14ac:dyDescent="0.2">
      <c r="A1416" s="320" t="s">
        <v>3638</v>
      </c>
      <c r="B1416" t="b">
        <f>IF(ISBLANK(PedBerLab!$L$22),"",PedBerLab!$L$22)</f>
        <v>0</v>
      </c>
      <c r="C1416" s="320" t="b">
        <v>0</v>
      </c>
    </row>
    <row r="1417" spans="1:3" x14ac:dyDescent="0.2">
      <c r="A1417" s="320" t="s">
        <v>3639</v>
      </c>
      <c r="B1417" t="b">
        <f>IF(ISBLANK(PedBerLab!$L$23),"",PedBerLab!$L$23)</f>
        <v>0</v>
      </c>
      <c r="C1417" s="320" t="b">
        <v>0</v>
      </c>
    </row>
    <row r="1418" spans="1:3" x14ac:dyDescent="0.2">
      <c r="A1418" s="320" t="s">
        <v>3640</v>
      </c>
      <c r="B1418" t="b">
        <f>IF(ISBLANK(PedBerLab!$L$24),"",PedBerLab!$L$24)</f>
        <v>0</v>
      </c>
      <c r="C1418" s="320" t="b">
        <v>0</v>
      </c>
    </row>
    <row r="1419" spans="1:3" x14ac:dyDescent="0.2">
      <c r="A1419" s="320" t="s">
        <v>3641</v>
      </c>
      <c r="B1419" t="b">
        <f>IF(ISBLANK(PedBerLab!$L$25),"",PedBerLab!$L$25)</f>
        <v>0</v>
      </c>
      <c r="C1419" s="320" t="b">
        <v>0</v>
      </c>
    </row>
    <row r="1420" spans="1:3" x14ac:dyDescent="0.2">
      <c r="A1420" s="320" t="s">
        <v>3642</v>
      </c>
      <c r="B1420" t="b">
        <f>IF(ISBLANK(PedBerLab!$L$26),"",PedBerLab!$L$26)</f>
        <v>0</v>
      </c>
      <c r="C1420" s="320" t="b">
        <v>0</v>
      </c>
    </row>
    <row r="1421" spans="1:3" x14ac:dyDescent="0.2">
      <c r="A1421" s="320" t="s">
        <v>3643</v>
      </c>
      <c r="B1421" t="b">
        <f>IF(ISBLANK(PedBerLab!$L$27),"",PedBerLab!$L$27)</f>
        <v>0</v>
      </c>
      <c r="C1421" s="320" t="b">
        <v>0</v>
      </c>
    </row>
    <row r="1422" spans="1:3" x14ac:dyDescent="0.2">
      <c r="A1422" s="320" t="s">
        <v>3644</v>
      </c>
      <c r="B1422" t="b">
        <f>IF(ISBLANK(PedBerLab!$L$28),"",PedBerLab!$L$28)</f>
        <v>0</v>
      </c>
      <c r="C1422" s="320" t="b">
        <v>0</v>
      </c>
    </row>
    <row r="1423" spans="1:3" x14ac:dyDescent="0.2">
      <c r="A1423" s="320" t="s">
        <v>3645</v>
      </c>
      <c r="B1423" t="b">
        <f>IF(ISBLANK(PedBerLab!$L$29),"",PedBerLab!$L$29)</f>
        <v>0</v>
      </c>
      <c r="C1423" s="320" t="b">
        <v>0</v>
      </c>
    </row>
    <row r="1424" spans="1:3" x14ac:dyDescent="0.2">
      <c r="A1424" s="320" t="s">
        <v>3646</v>
      </c>
      <c r="B1424" t="b">
        <f>IF(ISBLANK(PedBerLab!$L$30),"",PedBerLab!$L$30)</f>
        <v>0</v>
      </c>
      <c r="C1424" s="320" t="b">
        <v>0</v>
      </c>
    </row>
    <row r="1425" spans="1:3" x14ac:dyDescent="0.2">
      <c r="A1425" s="320" t="s">
        <v>3647</v>
      </c>
      <c r="B1425" t="b">
        <f>IF(ISBLANK(PedBerLab!$L$31),"",PedBerLab!$L$31)</f>
        <v>0</v>
      </c>
      <c r="C1425" s="320" t="b">
        <v>0</v>
      </c>
    </row>
    <row r="1426" spans="1:3" x14ac:dyDescent="0.2">
      <c r="A1426" s="320" t="s">
        <v>3648</v>
      </c>
      <c r="B1426" t="b">
        <f>IF(ISBLANK(PedBerLab!$L$32),"",PedBerLab!$L$32)</f>
        <v>0</v>
      </c>
      <c r="C1426" s="320" t="b">
        <v>0</v>
      </c>
    </row>
    <row r="1427" spans="1:3" x14ac:dyDescent="0.2">
      <c r="A1427" s="320" t="s">
        <v>3649</v>
      </c>
      <c r="B1427" t="b">
        <f>IF(ISBLANK(PedBerLab!$L$33),"",PedBerLab!$L$33)</f>
        <v>0</v>
      </c>
      <c r="C1427" s="320" t="b">
        <v>0</v>
      </c>
    </row>
    <row r="1428" spans="1:3" x14ac:dyDescent="0.2">
      <c r="A1428" s="320" t="s">
        <v>3650</v>
      </c>
      <c r="B1428" t="b">
        <f>IF(ISBLANK(PedBerLab!$L$34),"",PedBerLab!$L$34)</f>
        <v>0</v>
      </c>
      <c r="C1428" s="320" t="b">
        <v>0</v>
      </c>
    </row>
    <row r="1429" spans="1:3" x14ac:dyDescent="0.2">
      <c r="A1429" s="320" t="s">
        <v>3651</v>
      </c>
      <c r="B1429" t="str">
        <f>IF(ISBLANK(GlobBerOpm!$B$5),"",GlobBerOpm!$B$5)</f>
        <v/>
      </c>
      <c r="C1429" s="134"/>
    </row>
    <row r="1430" spans="1:3" x14ac:dyDescent="0.2">
      <c r="A1430" s="320" t="s">
        <v>3652</v>
      </c>
      <c r="B1430" t="b">
        <f>IF(ISBLANK(PedBerLab!$C$4),"",PedBerLab!$C$4)</f>
        <v>0</v>
      </c>
      <c r="C1430" t="b">
        <v>0</v>
      </c>
    </row>
    <row r="1431" spans="1:3" x14ac:dyDescent="0.2">
      <c r="A1431" s="320" t="s">
        <v>3653</v>
      </c>
      <c r="B1431" t="b">
        <f>IF(ISBLANK(PedBerLab!$C$5),"",PedBerLab!$C$5)</f>
        <v>0</v>
      </c>
      <c r="C1431" s="320" t="b">
        <v>0</v>
      </c>
    </row>
    <row r="1432" spans="1:3" x14ac:dyDescent="0.2">
      <c r="A1432" s="320" t="s">
        <v>3654</v>
      </c>
      <c r="B1432" t="b">
        <f>IF(ISBLANK(PedBerLab!$C$6),"",PedBerLab!$C$6)</f>
        <v>0</v>
      </c>
      <c r="C1432" s="320" t="b">
        <v>0</v>
      </c>
    </row>
    <row r="1433" spans="1:3" x14ac:dyDescent="0.2">
      <c r="A1433" s="320" t="s">
        <v>3655</v>
      </c>
      <c r="B1433" t="b">
        <f>IF(ISBLANK(PedBerLab!$C$7),"",PedBerLab!$C$7)</f>
        <v>0</v>
      </c>
      <c r="C1433" s="320" t="b">
        <v>0</v>
      </c>
    </row>
    <row r="1434" spans="1:3" x14ac:dyDescent="0.2">
      <c r="A1434" s="320" t="s">
        <v>3656</v>
      </c>
      <c r="B1434" t="b">
        <f>IF(ISBLANK(PedBerLab!$C$8),"",PedBerLab!$C$8)</f>
        <v>0</v>
      </c>
      <c r="C1434" s="320" t="b">
        <v>0</v>
      </c>
    </row>
    <row r="1435" spans="1:3" x14ac:dyDescent="0.2">
      <c r="A1435" s="320" t="s">
        <v>3657</v>
      </c>
      <c r="B1435" t="b">
        <f>IF(ISBLANK(PedBerLab!$C$9),"",PedBerLab!$C$9)</f>
        <v>0</v>
      </c>
      <c r="C1435" s="320" t="b">
        <v>0</v>
      </c>
    </row>
    <row r="1436" spans="1:3" x14ac:dyDescent="0.2">
      <c r="A1436" s="320" t="s">
        <v>3658</v>
      </c>
      <c r="B1436" t="b">
        <f>IF(ISBLANK(PedBerLab!$C$10),"",PedBerLab!$C$10)</f>
        <v>0</v>
      </c>
      <c r="C1436" s="320" t="b">
        <v>0</v>
      </c>
    </row>
    <row r="1437" spans="1:3" x14ac:dyDescent="0.2">
      <c r="A1437" s="320" t="s">
        <v>3659</v>
      </c>
      <c r="B1437" t="b">
        <f>IF(ISBLANK(PedBerLab!$C$11),"",PedBerLab!$C$11)</f>
        <v>0</v>
      </c>
      <c r="C1437" s="320" t="b">
        <v>0</v>
      </c>
    </row>
    <row r="1438" spans="1:3" x14ac:dyDescent="0.2">
      <c r="A1438" s="320" t="s">
        <v>3660</v>
      </c>
      <c r="B1438" t="b">
        <f>IF(ISBLANK(PedBerLab!$C$12),"",PedBerLab!$C$12)</f>
        <v>0</v>
      </c>
      <c r="C1438" s="320" t="b">
        <v>0</v>
      </c>
    </row>
    <row r="1439" spans="1:3" x14ac:dyDescent="0.2">
      <c r="A1439" s="320" t="s">
        <v>3661</v>
      </c>
      <c r="B1439" t="b">
        <f>IF(ISBLANK(PedBerLab!$C$13),"",PedBerLab!$C$13)</f>
        <v>0</v>
      </c>
      <c r="C1439" s="320" t="b">
        <v>0</v>
      </c>
    </row>
    <row r="1440" spans="1:3" x14ac:dyDescent="0.2">
      <c r="A1440" s="320" t="s">
        <v>3662</v>
      </c>
      <c r="B1440" t="b">
        <f>IF(ISBLANK(PedBerLab!$C$14),"",PedBerLab!$C$14)</f>
        <v>0</v>
      </c>
      <c r="C1440" s="320" t="b">
        <v>0</v>
      </c>
    </row>
    <row r="1441" spans="1:3" x14ac:dyDescent="0.2">
      <c r="A1441" s="320" t="s">
        <v>3663</v>
      </c>
      <c r="B1441" t="b">
        <f>IF(ISBLANK(PedBerLab!$C$15),"",PedBerLab!$C$15)</f>
        <v>0</v>
      </c>
      <c r="C1441" s="320" t="b">
        <v>0</v>
      </c>
    </row>
    <row r="1442" spans="1:3" x14ac:dyDescent="0.2">
      <c r="A1442" s="320" t="s">
        <v>3664</v>
      </c>
      <c r="B1442" t="b">
        <f>IF(ISBLANK(PedBerLab!$C$16),"",PedBerLab!$C$16)</f>
        <v>0</v>
      </c>
      <c r="C1442" s="320" t="b">
        <v>0</v>
      </c>
    </row>
    <row r="1443" spans="1:3" x14ac:dyDescent="0.2">
      <c r="A1443" s="320" t="s">
        <v>3665</v>
      </c>
      <c r="B1443" t="b">
        <f>IF(ISBLANK(PedBerLab!$C$17),"",PedBerLab!$C$17)</f>
        <v>0</v>
      </c>
      <c r="C1443" s="320" t="b">
        <v>0</v>
      </c>
    </row>
    <row r="1444" spans="1:3" x14ac:dyDescent="0.2">
      <c r="A1444" s="320" t="s">
        <v>3666</v>
      </c>
      <c r="B1444" t="b">
        <f>IF(ISBLANK(PedBerLab!$C$18),"",PedBerLab!$C$18)</f>
        <v>0</v>
      </c>
      <c r="C1444" s="320" t="b">
        <v>0</v>
      </c>
    </row>
    <row r="1445" spans="1:3" x14ac:dyDescent="0.2">
      <c r="A1445" s="320" t="s">
        <v>3667</v>
      </c>
      <c r="B1445" t="b">
        <f>IF(ISBLANK(PedBerLab!$C$19),"",PedBerLab!$C$19)</f>
        <v>0</v>
      </c>
      <c r="C1445" s="320" t="b">
        <v>0</v>
      </c>
    </row>
    <row r="1446" spans="1:3" x14ac:dyDescent="0.2">
      <c r="A1446" s="320" t="s">
        <v>3668</v>
      </c>
      <c r="B1446" t="b">
        <f>IF(ISBLANK(PedBerLab!$C$20),"",PedBerLab!$C$20)</f>
        <v>0</v>
      </c>
      <c r="C1446" s="320" t="b">
        <v>0</v>
      </c>
    </row>
    <row r="1447" spans="1:3" x14ac:dyDescent="0.2">
      <c r="A1447" s="320" t="s">
        <v>3669</v>
      </c>
      <c r="B1447" t="b">
        <f>IF(ISBLANK(PedBerLab!$C$21),"",PedBerLab!$C$21)</f>
        <v>0</v>
      </c>
      <c r="C1447" s="320" t="b">
        <v>0</v>
      </c>
    </row>
    <row r="1448" spans="1:3" x14ac:dyDescent="0.2">
      <c r="A1448" s="320" t="s">
        <v>3670</v>
      </c>
      <c r="B1448" t="b">
        <f>IF(ISBLANK(PedBerLab!$C$22),"",PedBerLab!$C$22)</f>
        <v>0</v>
      </c>
      <c r="C1448" s="320" t="b">
        <v>0</v>
      </c>
    </row>
    <row r="1449" spans="1:3" x14ac:dyDescent="0.2">
      <c r="A1449" s="320" t="s">
        <v>3671</v>
      </c>
      <c r="B1449" t="b">
        <f>IF(ISBLANK(PedBerLab!$C$23),"",PedBerLab!$C$23)</f>
        <v>0</v>
      </c>
      <c r="C1449" s="320" t="b">
        <v>0</v>
      </c>
    </row>
    <row r="1450" spans="1:3" x14ac:dyDescent="0.2">
      <c r="A1450" s="320" t="s">
        <v>3672</v>
      </c>
      <c r="B1450" t="b">
        <f>IF(ISBLANK(PedBerLab!$C$24),"",PedBerLab!$C$24)</f>
        <v>0</v>
      </c>
      <c r="C1450" s="320" t="b">
        <v>0</v>
      </c>
    </row>
    <row r="1451" spans="1:3" x14ac:dyDescent="0.2">
      <c r="A1451" s="320" t="s">
        <v>3673</v>
      </c>
      <c r="B1451" t="b">
        <f>IF(ISBLANK(PedBerLab!$C$25),"",PedBerLab!$C$25)</f>
        <v>0</v>
      </c>
      <c r="C1451" s="320" t="b">
        <v>0</v>
      </c>
    </row>
    <row r="1452" spans="1:3" x14ac:dyDescent="0.2">
      <c r="A1452" s="320" t="s">
        <v>3674</v>
      </c>
      <c r="B1452" t="b">
        <f>IF(ISBLANK(PedBerLab!$C$26),"",PedBerLab!$C$26)</f>
        <v>0</v>
      </c>
      <c r="C1452" s="320" t="b">
        <v>0</v>
      </c>
    </row>
    <row r="1453" spans="1:3" x14ac:dyDescent="0.2">
      <c r="A1453" s="320" t="s">
        <v>3675</v>
      </c>
      <c r="B1453" t="b">
        <f>IF(ISBLANK(PedBerLab!$C$27),"",PedBerLab!$C$27)</f>
        <v>0</v>
      </c>
      <c r="C1453" s="320" t="b">
        <v>0</v>
      </c>
    </row>
    <row r="1454" spans="1:3" x14ac:dyDescent="0.2">
      <c r="A1454" s="320" t="s">
        <v>3676</v>
      </c>
      <c r="B1454" t="b">
        <f>IF(ISBLANK(PedBerLab!$C$28),"",PedBerLab!$C$28)</f>
        <v>0</v>
      </c>
      <c r="C1454" s="320" t="b">
        <v>0</v>
      </c>
    </row>
    <row r="1455" spans="1:3" x14ac:dyDescent="0.2">
      <c r="A1455" s="320" t="s">
        <v>3677</v>
      </c>
      <c r="B1455" t="b">
        <f>IF(ISBLANK(PedBerLab!$C$29),"",PedBerLab!$C$29)</f>
        <v>0</v>
      </c>
      <c r="C1455" s="320" t="b">
        <v>0</v>
      </c>
    </row>
    <row r="1456" spans="1:3" x14ac:dyDescent="0.2">
      <c r="A1456" s="320" t="s">
        <v>3678</v>
      </c>
      <c r="B1456" t="b">
        <f>IF(ISBLANK(PedBerLab!$C$30),"",PedBerLab!$C$30)</f>
        <v>0</v>
      </c>
      <c r="C1456" s="320" t="b">
        <v>0</v>
      </c>
    </row>
    <row r="1457" spans="1:3" x14ac:dyDescent="0.2">
      <c r="A1457" s="320" t="s">
        <v>3679</v>
      </c>
      <c r="B1457" t="b">
        <f>IF(ISBLANK(PedBerLab!$C$31),"",PedBerLab!$C$31)</f>
        <v>0</v>
      </c>
      <c r="C1457" s="320" t="b">
        <v>0</v>
      </c>
    </row>
    <row r="1458" spans="1:3" x14ac:dyDescent="0.2">
      <c r="A1458" s="320" t="s">
        <v>3680</v>
      </c>
      <c r="B1458" t="b">
        <f>IF(ISBLANK(PedBerLab!$C$32),"",PedBerLab!$C$32)</f>
        <v>0</v>
      </c>
      <c r="C1458" s="320" t="b">
        <v>0</v>
      </c>
    </row>
    <row r="1459" spans="1:3" x14ac:dyDescent="0.2">
      <c r="A1459" s="320" t="s">
        <v>3681</v>
      </c>
      <c r="B1459" t="b">
        <f>IF(ISBLANK(PedBerLab!$C$33),"",PedBerLab!$C$33)</f>
        <v>0</v>
      </c>
      <c r="C1459" s="320" t="b">
        <v>0</v>
      </c>
    </row>
    <row r="1460" spans="1:3" x14ac:dyDescent="0.2">
      <c r="A1460" s="320" t="s">
        <v>3682</v>
      </c>
      <c r="B1460" t="b">
        <f>IF(ISBLANK(PedBerLab!$C$34),"",PedBerLab!$C$34)</f>
        <v>0</v>
      </c>
      <c r="C1460" s="320" t="b">
        <v>0</v>
      </c>
    </row>
    <row r="1461" spans="1:3" x14ac:dyDescent="0.2">
      <c r="A1461" s="320" t="s">
        <v>3683</v>
      </c>
      <c r="B1461" t="b">
        <f>IF(ISBLANK(PedBerLab!$C$35),"",PedBerLab!$C$35)</f>
        <v>0</v>
      </c>
      <c r="C1461" s="320" t="b">
        <v>0</v>
      </c>
    </row>
    <row r="1462" spans="1:3" x14ac:dyDescent="0.2">
      <c r="A1462" s="320" t="s">
        <v>3684</v>
      </c>
      <c r="B1462">
        <f>IF(ISBLANK(PedBerMedIV!$B$3),"",PedBerMedIV!$B$3)</f>
        <v>1</v>
      </c>
      <c r="C1462">
        <v>1</v>
      </c>
    </row>
    <row r="1463" spans="1:3" x14ac:dyDescent="0.2">
      <c r="A1463" s="320" t="s">
        <v>3685</v>
      </c>
      <c r="B1463">
        <f>IF(ISBLANK(PedBerMedIV!$B$4),"",PedBerMedIV!$B$4)</f>
        <v>1</v>
      </c>
      <c r="C1463">
        <v>1</v>
      </c>
    </row>
    <row r="1464" spans="1:3" x14ac:dyDescent="0.2">
      <c r="A1464" s="320" t="s">
        <v>3686</v>
      </c>
      <c r="B1464">
        <f>IF(ISBLANK(PedBerMedIV!$B$5),"",PedBerMedIV!$B$5)</f>
        <v>1</v>
      </c>
      <c r="C1464">
        <v>1</v>
      </c>
    </row>
    <row r="1465" spans="1:3" x14ac:dyDescent="0.2">
      <c r="A1465" s="320" t="s">
        <v>3687</v>
      </c>
      <c r="B1465">
        <f>IF(ISBLANK(PedBerMedIV!$B$6),"",PedBerMedIV!$B$6)</f>
        <v>1</v>
      </c>
      <c r="C1465">
        <v>1</v>
      </c>
    </row>
    <row r="1466" spans="1:3" x14ac:dyDescent="0.2">
      <c r="A1466" s="320" t="s">
        <v>3688</v>
      </c>
      <c r="B1466">
        <f>IF(ISBLANK(PedBerMedIV!$B$7),"",PedBerMedIV!$B$7)</f>
        <v>1</v>
      </c>
      <c r="C1466">
        <v>1</v>
      </c>
    </row>
    <row r="1467" spans="1:3" x14ac:dyDescent="0.2">
      <c r="A1467" s="320" t="s">
        <v>3689</v>
      </c>
      <c r="B1467">
        <f>IF(ISBLANK(PedBerMedIV!$B$8),"",PedBerMedIV!$B$8)</f>
        <v>1</v>
      </c>
      <c r="C1467">
        <v>1</v>
      </c>
    </row>
    <row r="1468" spans="1:3" x14ac:dyDescent="0.2">
      <c r="A1468" s="320" t="s">
        <v>3690</v>
      </c>
      <c r="B1468">
        <f>IF(ISBLANK(PedBerMedIV!$B$9),"",PedBerMedIV!$B$9)</f>
        <v>1</v>
      </c>
      <c r="C1468">
        <v>1</v>
      </c>
    </row>
    <row r="1469" spans="1:3" x14ac:dyDescent="0.2">
      <c r="A1469" s="320" t="s">
        <v>3691</v>
      </c>
      <c r="B1469">
        <f>IF(ISBLANK(PedBerMedIV!$B$10),"",PedBerMedIV!$B$10)</f>
        <v>1</v>
      </c>
      <c r="C1469">
        <v>1</v>
      </c>
    </row>
    <row r="1470" spans="1:3" x14ac:dyDescent="0.2">
      <c r="A1470" s="320" t="s">
        <v>3692</v>
      </c>
      <c r="B1470">
        <f>IF(ISBLANK(PedBerMedIV!$B$11),"",PedBerMedIV!$B$11)</f>
        <v>1</v>
      </c>
      <c r="C1470">
        <v>1</v>
      </c>
    </row>
    <row r="1471" spans="1:3" x14ac:dyDescent="0.2">
      <c r="A1471" s="320" t="s">
        <v>3693</v>
      </c>
      <c r="B1471">
        <f>IF(ISBLANK(PedBerMedIV!$B$12),"",PedBerMedIV!$B$12)</f>
        <v>1</v>
      </c>
      <c r="C1471">
        <v>1</v>
      </c>
    </row>
    <row r="1472" spans="1:3" x14ac:dyDescent="0.2">
      <c r="A1472" s="320" t="s">
        <v>3694</v>
      </c>
      <c r="B1472">
        <f>IF(ISBLANK(PedBerMedIV!$B$13),"",PedBerMedIV!$B$13)</f>
        <v>1</v>
      </c>
      <c r="C1472" s="320">
        <v>1</v>
      </c>
    </row>
    <row r="1473" spans="1:3" x14ac:dyDescent="0.2">
      <c r="A1473" s="320" t="s">
        <v>3695</v>
      </c>
      <c r="B1473">
        <f>IF(ISBLANK(PedBerMedIV!$B$14),"",PedBerMedIV!$B$14)</f>
        <v>1</v>
      </c>
      <c r="C1473" s="320">
        <v>1</v>
      </c>
    </row>
    <row r="1474" spans="1:3" x14ac:dyDescent="0.2">
      <c r="A1474" s="320" t="s">
        <v>3696</v>
      </c>
      <c r="B1474">
        <f>IF(ISBLANK(PedBerMedIV!$B$15),"",PedBerMedIV!$B$15)</f>
        <v>1</v>
      </c>
      <c r="C1474" s="320">
        <v>1</v>
      </c>
    </row>
    <row r="1475" spans="1:3" x14ac:dyDescent="0.2">
      <c r="A1475" s="320" t="s">
        <v>3697</v>
      </c>
      <c r="B1475">
        <f>IF(ISBLANK(PedBerMedIV!$B$16),"",PedBerMedIV!$B$16)</f>
        <v>1</v>
      </c>
      <c r="C1475" s="320">
        <v>1</v>
      </c>
    </row>
    <row r="1476" spans="1:3" x14ac:dyDescent="0.2">
      <c r="A1476" s="320" t="s">
        <v>3698</v>
      </c>
      <c r="B1476">
        <f>IF(ISBLANK(PedBerMedIV!$B$17),"",PedBerMedIV!$B$17)</f>
        <v>1</v>
      </c>
      <c r="C1476" s="320">
        <v>1</v>
      </c>
    </row>
    <row r="1477" spans="1:3" s="320" customFormat="1" x14ac:dyDescent="0.2">
      <c r="A1477" s="321" t="s">
        <v>4843</v>
      </c>
      <c r="B1477" s="320" t="str">
        <f>IF(ISBLANK(PedBerMedIV!$B$18),"",PedBerMedIV!$B$18)</f>
        <v/>
      </c>
      <c r="C1477" s="134"/>
    </row>
    <row r="1478" spans="1:3" s="320" customFormat="1" x14ac:dyDescent="0.2">
      <c r="A1478" s="321" t="s">
        <v>4845</v>
      </c>
      <c r="B1478" s="320" t="str">
        <f>IF(ISBLANK(PedBerMedIV!$B$19),"",PedBerMedIV!$B$19)</f>
        <v/>
      </c>
      <c r="C1478" s="134"/>
    </row>
    <row r="1479" spans="1:3" s="320" customFormat="1" x14ac:dyDescent="0.2">
      <c r="A1479" s="321" t="s">
        <v>4847</v>
      </c>
      <c r="B1479" s="320" t="str">
        <f>IF(ISBLANK(PedBerMedIV!$B$20),"",PedBerMedIV!$B$20)</f>
        <v/>
      </c>
      <c r="C1479" s="134"/>
    </row>
    <row r="1480" spans="1:3" s="320" customFormat="1" x14ac:dyDescent="0.2">
      <c r="A1480" s="321" t="s">
        <v>4849</v>
      </c>
      <c r="B1480" s="320" t="str">
        <f>IF(ISBLANK(PedBerMedIV!$B$21),"",PedBerMedIV!$B$21)</f>
        <v/>
      </c>
      <c r="C1480" s="134"/>
    </row>
    <row r="1481" spans="1:3" s="320" customFormat="1" x14ac:dyDescent="0.2">
      <c r="A1481" s="321" t="s">
        <v>4851</v>
      </c>
      <c r="B1481" s="320" t="str">
        <f>IF(ISBLANK(PedBerMedIV!$B$22),"",PedBerMedIV!$B$22)</f>
        <v/>
      </c>
      <c r="C1481" s="134"/>
    </row>
    <row r="1482" spans="1:3" x14ac:dyDescent="0.2">
      <c r="A1482" s="320" t="s">
        <v>3699</v>
      </c>
      <c r="B1482">
        <f>IF(ISBLANK(PedBerMedIV!$I$3),"",PedBerMedIV!$I$3)</f>
        <v>1</v>
      </c>
      <c r="C1482">
        <v>1</v>
      </c>
    </row>
    <row r="1483" spans="1:3" x14ac:dyDescent="0.2">
      <c r="A1483" s="320" t="s">
        <v>3700</v>
      </c>
      <c r="B1483">
        <f>IF(ISBLANK(PedBerMedIV!$I$4),"",PedBerMedIV!$I$4)</f>
        <v>1</v>
      </c>
      <c r="C1483">
        <v>1</v>
      </c>
    </row>
    <row r="1484" spans="1:3" x14ac:dyDescent="0.2">
      <c r="A1484" s="320" t="s">
        <v>3701</v>
      </c>
      <c r="B1484">
        <f>IF(ISBLANK(PedBerMedIV!$I$5),"",PedBerMedIV!$I$5)</f>
        <v>1</v>
      </c>
      <c r="C1484">
        <v>1</v>
      </c>
    </row>
    <row r="1485" spans="1:3" x14ac:dyDescent="0.2">
      <c r="A1485" s="320" t="s">
        <v>3702</v>
      </c>
      <c r="B1485">
        <f>IF(ISBLANK(PedBerMedIV!$I$6),"",PedBerMedIV!$I$6)</f>
        <v>1</v>
      </c>
      <c r="C1485">
        <v>1</v>
      </c>
    </row>
    <row r="1486" spans="1:3" x14ac:dyDescent="0.2">
      <c r="A1486" s="320" t="s">
        <v>3703</v>
      </c>
      <c r="B1486">
        <f>IF(ISBLANK(PedBerMedIV!$I$7),"",PedBerMedIV!$I$7)</f>
        <v>1</v>
      </c>
      <c r="C1486">
        <v>1</v>
      </c>
    </row>
    <row r="1487" spans="1:3" x14ac:dyDescent="0.2">
      <c r="A1487" s="320" t="s">
        <v>3704</v>
      </c>
      <c r="B1487">
        <f>IF(ISBLANK(PedBerMedIV!$I$8),"",PedBerMedIV!$I$8)</f>
        <v>1</v>
      </c>
      <c r="C1487">
        <v>1</v>
      </c>
    </row>
    <row r="1488" spans="1:3" x14ac:dyDescent="0.2">
      <c r="A1488" s="320" t="s">
        <v>3705</v>
      </c>
      <c r="B1488">
        <f>IF(ISBLANK(PedBerMedIV!$I$9),"",PedBerMedIV!$I$9)</f>
        <v>1</v>
      </c>
      <c r="C1488">
        <v>1</v>
      </c>
    </row>
    <row r="1489" spans="1:3" x14ac:dyDescent="0.2">
      <c r="A1489" s="320" t="s">
        <v>3706</v>
      </c>
      <c r="B1489">
        <f>IF(ISBLANK(PedBerMedIV!$I$10),"",PedBerMedIV!$I$10)</f>
        <v>1</v>
      </c>
      <c r="C1489">
        <v>1</v>
      </c>
    </row>
    <row r="1490" spans="1:3" x14ac:dyDescent="0.2">
      <c r="A1490" s="320" t="s">
        <v>3707</v>
      </c>
      <c r="B1490">
        <f>IF(ISBLANK(PedBerMedIV!$I$11),"",PedBerMedIV!$I$11)</f>
        <v>1</v>
      </c>
      <c r="C1490">
        <v>1</v>
      </c>
    </row>
    <row r="1491" spans="1:3" x14ac:dyDescent="0.2">
      <c r="A1491" s="320" t="s">
        <v>3708</v>
      </c>
      <c r="B1491">
        <f>IF(ISBLANK(PedBerMedIV!$I$12),"",PedBerMedIV!$I$12)</f>
        <v>1</v>
      </c>
      <c r="C1491">
        <v>1</v>
      </c>
    </row>
    <row r="1492" spans="1:3" x14ac:dyDescent="0.2">
      <c r="A1492" s="320" t="s">
        <v>3709</v>
      </c>
      <c r="B1492">
        <f>IF(ISBLANK(PedBerMedIV!$I$13),"",PedBerMedIV!$I$13)</f>
        <v>1</v>
      </c>
      <c r="C1492">
        <v>1</v>
      </c>
    </row>
    <row r="1493" spans="1:3" x14ac:dyDescent="0.2">
      <c r="A1493" s="320" t="s">
        <v>3710</v>
      </c>
      <c r="B1493">
        <f>IF(ISBLANK(PedBerMedIV!$I$14),"",PedBerMedIV!$I$14)</f>
        <v>1</v>
      </c>
      <c r="C1493">
        <v>1</v>
      </c>
    </row>
    <row r="1494" spans="1:3" x14ac:dyDescent="0.2">
      <c r="A1494" s="320" t="s">
        <v>3711</v>
      </c>
      <c r="B1494">
        <f>IF(ISBLANK(PedBerMedIV!$I$15),"",PedBerMedIV!$I$15)</f>
        <v>1</v>
      </c>
      <c r="C1494">
        <v>1</v>
      </c>
    </row>
    <row r="1495" spans="1:3" x14ac:dyDescent="0.2">
      <c r="A1495" s="320" t="s">
        <v>3712</v>
      </c>
      <c r="B1495">
        <f>IF(ISBLANK(PedBerMedIV!$I$16),"",PedBerMedIV!$I$16)</f>
        <v>1</v>
      </c>
      <c r="C1495">
        <v>1</v>
      </c>
    </row>
    <row r="1496" spans="1:3" x14ac:dyDescent="0.2">
      <c r="A1496" s="320" t="s">
        <v>3713</v>
      </c>
      <c r="B1496">
        <f>IF(ISBLANK(PedBerMedIV!$I$17),"",PedBerMedIV!$I$17)</f>
        <v>1</v>
      </c>
      <c r="C1496">
        <v>1</v>
      </c>
    </row>
    <row r="1497" spans="1:3" s="320" customFormat="1" x14ac:dyDescent="0.2">
      <c r="A1497" s="321" t="s">
        <v>4853</v>
      </c>
      <c r="B1497" s="320">
        <f>IF(ISBLANK(PedBerMedIV!$I$18),"",PedBerMedIV!$I$18)</f>
        <v>1</v>
      </c>
      <c r="C1497" s="320">
        <v>1</v>
      </c>
    </row>
    <row r="1498" spans="1:3" s="320" customFormat="1" x14ac:dyDescent="0.2">
      <c r="A1498" s="321" t="s">
        <v>4855</v>
      </c>
      <c r="B1498" s="320">
        <f>IF(ISBLANK(PedBerMedIV!$I$19),"",PedBerMedIV!$I$19)</f>
        <v>1</v>
      </c>
      <c r="C1498" s="320">
        <v>1</v>
      </c>
    </row>
    <row r="1499" spans="1:3" s="320" customFormat="1" x14ac:dyDescent="0.2">
      <c r="A1499" s="321" t="s">
        <v>4857</v>
      </c>
      <c r="B1499" s="320">
        <f>IF(ISBLANK(PedBerMedIV!$I$20),"",PedBerMedIV!$I$20)</f>
        <v>1</v>
      </c>
      <c r="C1499" s="320">
        <v>1</v>
      </c>
    </row>
    <row r="1500" spans="1:3" s="320" customFormat="1" x14ac:dyDescent="0.2">
      <c r="A1500" s="321" t="s">
        <v>4859</v>
      </c>
      <c r="B1500" s="320">
        <f>IF(ISBLANK(PedBerMedIV!$I$21),"",PedBerMedIV!$I$21)</f>
        <v>1</v>
      </c>
      <c r="C1500" s="320">
        <v>1</v>
      </c>
    </row>
    <row r="1501" spans="1:3" s="320" customFormat="1" x14ac:dyDescent="0.2">
      <c r="A1501" s="321" t="s">
        <v>4861</v>
      </c>
      <c r="B1501" s="320">
        <f>IF(ISBLANK(PedBerMedIV!$I$22),"",PedBerMedIV!$I$22)</f>
        <v>1</v>
      </c>
      <c r="C1501" s="320">
        <v>1</v>
      </c>
    </row>
    <row r="1502" spans="1:3" x14ac:dyDescent="0.2">
      <c r="A1502" s="320" t="s">
        <v>3714</v>
      </c>
      <c r="B1502">
        <f>IF(ISBLANK(PedBerMedIV!$E$3),"",PedBerMedIV!$E$3)</f>
        <v>0</v>
      </c>
      <c r="C1502" s="322">
        <v>0</v>
      </c>
    </row>
    <row r="1503" spans="1:3" x14ac:dyDescent="0.2">
      <c r="A1503" s="320" t="s">
        <v>3715</v>
      </c>
      <c r="B1503">
        <f>IF(ISBLANK(PedBerMedIV!$E$4),"",PedBerMedIV!$E$4)</f>
        <v>0</v>
      </c>
      <c r="C1503" s="322">
        <v>0</v>
      </c>
    </row>
    <row r="1504" spans="1:3" x14ac:dyDescent="0.2">
      <c r="A1504" s="320" t="s">
        <v>3716</v>
      </c>
      <c r="B1504">
        <f>IF(ISBLANK(PedBerMedIV!$E$5),"",PedBerMedIV!$E$5)</f>
        <v>0</v>
      </c>
      <c r="C1504" s="322">
        <v>0</v>
      </c>
    </row>
    <row r="1505" spans="1:3" x14ac:dyDescent="0.2">
      <c r="A1505" s="320" t="s">
        <v>3717</v>
      </c>
      <c r="B1505">
        <f>IF(ISBLANK(PedBerMedIV!$E$6),"",PedBerMedIV!$E$6)</f>
        <v>0</v>
      </c>
      <c r="C1505" s="322">
        <v>0</v>
      </c>
    </row>
    <row r="1506" spans="1:3" x14ac:dyDescent="0.2">
      <c r="A1506" s="320" t="s">
        <v>3718</v>
      </c>
      <c r="B1506">
        <f>IF(ISBLANK(PedBerMedIV!$E$7),"",PedBerMedIV!$E$7)</f>
        <v>0</v>
      </c>
      <c r="C1506" s="322">
        <v>0</v>
      </c>
    </row>
    <row r="1507" spans="1:3" x14ac:dyDescent="0.2">
      <c r="A1507" s="320" t="s">
        <v>3719</v>
      </c>
      <c r="B1507">
        <f>IF(ISBLANK(PedBerMedIV!$E$8),"",PedBerMedIV!$E$8)</f>
        <v>0</v>
      </c>
      <c r="C1507" s="322">
        <v>0</v>
      </c>
    </row>
    <row r="1508" spans="1:3" x14ac:dyDescent="0.2">
      <c r="A1508" s="320" t="s">
        <v>3720</v>
      </c>
      <c r="B1508">
        <f>IF(ISBLANK(PedBerMedIV!$E$9),"",PedBerMedIV!$E$9)</f>
        <v>0</v>
      </c>
      <c r="C1508" s="322">
        <v>0</v>
      </c>
    </row>
    <row r="1509" spans="1:3" x14ac:dyDescent="0.2">
      <c r="A1509" s="320" t="s">
        <v>3721</v>
      </c>
      <c r="B1509">
        <f>IF(ISBLANK(PedBerMedIV!$E$10),"",PedBerMedIV!$E$10)</f>
        <v>0</v>
      </c>
      <c r="C1509" s="322">
        <v>0</v>
      </c>
    </row>
    <row r="1510" spans="1:3" x14ac:dyDescent="0.2">
      <c r="A1510" s="320" t="s">
        <v>3722</v>
      </c>
      <c r="B1510">
        <f>IF(ISBLANK(PedBerMedIV!$E$11),"",PedBerMedIV!$E$11)</f>
        <v>0</v>
      </c>
      <c r="C1510" s="322">
        <v>0</v>
      </c>
    </row>
    <row r="1511" spans="1:3" x14ac:dyDescent="0.2">
      <c r="A1511" s="320" t="s">
        <v>3723</v>
      </c>
      <c r="B1511">
        <f>IF(ISBLANK(PedBerMedIV!$E$12),"",PedBerMedIV!$E$12)</f>
        <v>0</v>
      </c>
      <c r="C1511" s="322">
        <v>0</v>
      </c>
    </row>
    <row r="1512" spans="1:3" x14ac:dyDescent="0.2">
      <c r="A1512" s="320" t="s">
        <v>3724</v>
      </c>
      <c r="B1512">
        <f>IF(ISBLANK(PedBerMedIV!$E$13),"",PedBerMedIV!$E$13)</f>
        <v>0</v>
      </c>
      <c r="C1512" s="322">
        <v>0</v>
      </c>
    </row>
    <row r="1513" spans="1:3" x14ac:dyDescent="0.2">
      <c r="A1513" s="320" t="s">
        <v>3725</v>
      </c>
      <c r="B1513">
        <f>IF(ISBLANK(PedBerMedIV!$E$14),"",PedBerMedIV!$E$14)</f>
        <v>0</v>
      </c>
      <c r="C1513" s="322">
        <v>0</v>
      </c>
    </row>
    <row r="1514" spans="1:3" x14ac:dyDescent="0.2">
      <c r="A1514" s="320" t="s">
        <v>3726</v>
      </c>
      <c r="B1514">
        <f>IF(ISBLANK(PedBerMedIV!$E$15),"",PedBerMedIV!$E$15)</f>
        <v>0</v>
      </c>
      <c r="C1514" s="322">
        <v>0</v>
      </c>
    </row>
    <row r="1515" spans="1:3" x14ac:dyDescent="0.2">
      <c r="A1515" s="320" t="s">
        <v>3727</v>
      </c>
      <c r="B1515">
        <f>IF(ISBLANK(PedBerMedIV!$E$16),"",PedBerMedIV!$E$16)</f>
        <v>0</v>
      </c>
      <c r="C1515" s="322">
        <v>0</v>
      </c>
    </row>
    <row r="1516" spans="1:3" x14ac:dyDescent="0.2">
      <c r="A1516" s="320" t="s">
        <v>3728</v>
      </c>
      <c r="B1516">
        <f>IF(ISBLANK(PedBerMedIV!$E$17),"",PedBerMedIV!$E$17)</f>
        <v>0</v>
      </c>
      <c r="C1516" s="322">
        <v>0</v>
      </c>
    </row>
    <row r="1517" spans="1:3" s="320" customFormat="1" x14ac:dyDescent="0.2">
      <c r="A1517" s="321" t="s">
        <v>4863</v>
      </c>
      <c r="B1517" s="320">
        <f>IF(ISBLANK(PedBerMedIV!$E$18),"",PedBerMedIV!$E$18)</f>
        <v>0</v>
      </c>
      <c r="C1517" s="322">
        <v>0</v>
      </c>
    </row>
    <row r="1518" spans="1:3" s="320" customFormat="1" x14ac:dyDescent="0.2">
      <c r="A1518" s="321" t="s">
        <v>4865</v>
      </c>
      <c r="B1518" s="320">
        <f>IF(ISBLANK(PedBerMedIV!$E$19),"",PedBerMedIV!$E$19)</f>
        <v>0</v>
      </c>
      <c r="C1518" s="322">
        <v>0</v>
      </c>
    </row>
    <row r="1519" spans="1:3" s="320" customFormat="1" x14ac:dyDescent="0.2">
      <c r="A1519" s="321" t="s">
        <v>4867</v>
      </c>
      <c r="B1519" s="320">
        <f>IF(ISBLANK(PedBerMedIV!$E$20),"",PedBerMedIV!$E$20)</f>
        <v>0</v>
      </c>
      <c r="C1519" s="322">
        <v>0</v>
      </c>
    </row>
    <row r="1520" spans="1:3" s="320" customFormat="1" x14ac:dyDescent="0.2">
      <c r="A1520" s="321" t="s">
        <v>4869</v>
      </c>
      <c r="B1520" s="320">
        <f>IF(ISBLANK(PedBerMedIV!$E$21),"",PedBerMedIV!$E$21)</f>
        <v>0</v>
      </c>
      <c r="C1520" s="322">
        <v>0</v>
      </c>
    </row>
    <row r="1521" spans="1:3" s="320" customFormat="1" x14ac:dyDescent="0.2">
      <c r="A1521" s="321" t="s">
        <v>4871</v>
      </c>
      <c r="B1521" s="320">
        <f>IF(ISBLANK(PedBerMedIV!$E$22),"",PedBerMedIV!$E$22)</f>
        <v>0</v>
      </c>
      <c r="C1521" s="322">
        <v>0</v>
      </c>
    </row>
    <row r="1522" spans="1:3" x14ac:dyDescent="0.2">
      <c r="A1522" s="320" t="s">
        <v>3729</v>
      </c>
      <c r="B1522" t="str">
        <f>IF(ISBLANK(GlobBerOpm!$B$3),"",GlobBerOpm!$B$3)</f>
        <v/>
      </c>
      <c r="C1522" s="134"/>
    </row>
    <row r="1523" spans="1:3" x14ac:dyDescent="0.2">
      <c r="A1523" s="320" t="s">
        <v>3730</v>
      </c>
      <c r="B1523">
        <f>IF(ISBLANK(PedBerMedIV!$J$3),"",PedBerMedIV!$J$3)</f>
        <v>0</v>
      </c>
      <c r="C1523" s="322">
        <v>0</v>
      </c>
    </row>
    <row r="1524" spans="1:3" x14ac:dyDescent="0.2">
      <c r="A1524" s="320" t="s">
        <v>3731</v>
      </c>
      <c r="B1524">
        <f>IF(ISBLANK(PedBerMedIV!$J$4),"",PedBerMedIV!$J$4)</f>
        <v>0</v>
      </c>
      <c r="C1524" s="322">
        <v>0</v>
      </c>
    </row>
    <row r="1525" spans="1:3" x14ac:dyDescent="0.2">
      <c r="A1525" s="320" t="s">
        <v>3732</v>
      </c>
      <c r="B1525">
        <f>IF(ISBLANK(PedBerMedIV!$J$5),"",PedBerMedIV!$J$5)</f>
        <v>0</v>
      </c>
      <c r="C1525" s="322">
        <v>0</v>
      </c>
    </row>
    <row r="1526" spans="1:3" x14ac:dyDescent="0.2">
      <c r="A1526" s="320" t="s">
        <v>3733</v>
      </c>
      <c r="B1526">
        <f>IF(ISBLANK(PedBerMedIV!$J$6),"",PedBerMedIV!$J$6)</f>
        <v>0</v>
      </c>
      <c r="C1526" s="322">
        <v>0</v>
      </c>
    </row>
    <row r="1527" spans="1:3" x14ac:dyDescent="0.2">
      <c r="A1527" s="320" t="s">
        <v>3734</v>
      </c>
      <c r="B1527">
        <f>IF(ISBLANK(PedBerMedIV!$J$7),"",PedBerMedIV!$J$7)</f>
        <v>0</v>
      </c>
      <c r="C1527" s="322">
        <v>0</v>
      </c>
    </row>
    <row r="1528" spans="1:3" x14ac:dyDescent="0.2">
      <c r="A1528" s="320" t="s">
        <v>3735</v>
      </c>
      <c r="B1528">
        <f>IF(ISBLANK(PedBerMedIV!$J$8),"",PedBerMedIV!$J$8)</f>
        <v>0</v>
      </c>
      <c r="C1528" s="322">
        <v>0</v>
      </c>
    </row>
    <row r="1529" spans="1:3" x14ac:dyDescent="0.2">
      <c r="A1529" s="320" t="s">
        <v>3736</v>
      </c>
      <c r="B1529">
        <f>IF(ISBLANK(PedBerMedIV!$J$9),"",PedBerMedIV!$J$9)</f>
        <v>0</v>
      </c>
      <c r="C1529" s="322">
        <v>0</v>
      </c>
    </row>
    <row r="1530" spans="1:3" x14ac:dyDescent="0.2">
      <c r="A1530" s="320" t="s">
        <v>3737</v>
      </c>
      <c r="B1530">
        <f>IF(ISBLANK(PedBerMedIV!$J$10),"",PedBerMedIV!$J$10)</f>
        <v>0</v>
      </c>
      <c r="C1530" s="322">
        <v>0</v>
      </c>
    </row>
    <row r="1531" spans="1:3" x14ac:dyDescent="0.2">
      <c r="A1531" s="320" t="s">
        <v>3738</v>
      </c>
      <c r="B1531">
        <f>IF(ISBLANK(PedBerMedIV!$J$11),"",PedBerMedIV!$J$11)</f>
        <v>0</v>
      </c>
      <c r="C1531" s="322">
        <v>0</v>
      </c>
    </row>
    <row r="1532" spans="1:3" x14ac:dyDescent="0.2">
      <c r="A1532" s="320" t="s">
        <v>3739</v>
      </c>
      <c r="B1532">
        <f>IF(ISBLANK(PedBerMedIV!$J$12),"",PedBerMedIV!$J$12)</f>
        <v>0</v>
      </c>
      <c r="C1532" s="322">
        <v>0</v>
      </c>
    </row>
    <row r="1533" spans="1:3" x14ac:dyDescent="0.2">
      <c r="A1533" s="320" t="s">
        <v>3740</v>
      </c>
      <c r="B1533">
        <f>IF(ISBLANK(PedBerMedIV!$J$13),"",PedBerMedIV!$J$13)</f>
        <v>0</v>
      </c>
      <c r="C1533" s="322">
        <v>0</v>
      </c>
    </row>
    <row r="1534" spans="1:3" x14ac:dyDescent="0.2">
      <c r="A1534" s="320" t="s">
        <v>3741</v>
      </c>
      <c r="B1534">
        <f>IF(ISBLANK(PedBerMedIV!$J$14),"",PedBerMedIV!$J$14)</f>
        <v>0</v>
      </c>
      <c r="C1534" s="322">
        <v>0</v>
      </c>
    </row>
    <row r="1535" spans="1:3" x14ac:dyDescent="0.2">
      <c r="A1535" s="320" t="s">
        <v>3742</v>
      </c>
      <c r="B1535">
        <f>IF(ISBLANK(PedBerMedIV!$J$15),"",PedBerMedIV!$J$15)</f>
        <v>0</v>
      </c>
      <c r="C1535" s="322">
        <v>0</v>
      </c>
    </row>
    <row r="1536" spans="1:3" x14ac:dyDescent="0.2">
      <c r="A1536" s="320" t="s">
        <v>3743</v>
      </c>
      <c r="B1536">
        <f>IF(ISBLANK(PedBerMedIV!$J$16),"",PedBerMedIV!$J$16)</f>
        <v>0</v>
      </c>
      <c r="C1536" s="322">
        <v>0</v>
      </c>
    </row>
    <row r="1537" spans="1:3" x14ac:dyDescent="0.2">
      <c r="A1537" s="320" t="s">
        <v>3744</v>
      </c>
      <c r="B1537">
        <f>IF(ISBLANK(PedBerMedIV!$J$17),"",PedBerMedIV!$J$17)</f>
        <v>0</v>
      </c>
      <c r="C1537" s="322">
        <v>0</v>
      </c>
    </row>
    <row r="1538" spans="1:3" s="320" customFormat="1" x14ac:dyDescent="0.2">
      <c r="A1538" s="321" t="s">
        <v>4873</v>
      </c>
      <c r="B1538" s="320">
        <f>IF(ISBLANK(PedBerMedIV!$J$18),"",PedBerMedIV!$J$18)</f>
        <v>0</v>
      </c>
      <c r="C1538" s="322">
        <v>0</v>
      </c>
    </row>
    <row r="1539" spans="1:3" s="320" customFormat="1" x14ac:dyDescent="0.2">
      <c r="A1539" s="321" t="s">
        <v>4875</v>
      </c>
      <c r="B1539" s="320">
        <f>IF(ISBLANK(PedBerMedIV!$J$19),"",PedBerMedIV!$J$19)</f>
        <v>0</v>
      </c>
      <c r="C1539" s="322">
        <v>0</v>
      </c>
    </row>
    <row r="1540" spans="1:3" s="320" customFormat="1" x14ac:dyDescent="0.2">
      <c r="A1540" s="321" t="s">
        <v>4877</v>
      </c>
      <c r="B1540" s="320">
        <f>IF(ISBLANK(PedBerMedIV!$J$20),"",PedBerMedIV!$J$20)</f>
        <v>0</v>
      </c>
      <c r="C1540" s="322">
        <v>0</v>
      </c>
    </row>
    <row r="1541" spans="1:3" s="320" customFormat="1" x14ac:dyDescent="0.2">
      <c r="A1541" s="321" t="s">
        <v>4879</v>
      </c>
      <c r="B1541" s="320">
        <f>IF(ISBLANK(PedBerMedIV!$J$21),"",PedBerMedIV!$J$21)</f>
        <v>0</v>
      </c>
      <c r="C1541" s="322">
        <v>0</v>
      </c>
    </row>
    <row r="1542" spans="1:3" s="320" customFormat="1" x14ac:dyDescent="0.2">
      <c r="A1542" s="321" t="s">
        <v>4881</v>
      </c>
      <c r="B1542" s="320">
        <f>IF(ISBLANK(PedBerMedIV!$J$22),"",PedBerMedIV!$J$22)</f>
        <v>0</v>
      </c>
      <c r="C1542" s="322">
        <v>0</v>
      </c>
    </row>
    <row r="1543" spans="1:3" x14ac:dyDescent="0.2">
      <c r="A1543" s="320" t="s">
        <v>3745</v>
      </c>
      <c r="B1543">
        <f>IF(ISBLANK(PedBerMedIV!$D$3),"",PedBerMedIV!$D$3)</f>
        <v>0</v>
      </c>
      <c r="C1543" s="322">
        <v>0</v>
      </c>
    </row>
    <row r="1544" spans="1:3" x14ac:dyDescent="0.2">
      <c r="A1544" s="320" t="s">
        <v>3746</v>
      </c>
      <c r="B1544">
        <f>IF(ISBLANK(PedBerMedIV!$D$4),"",PedBerMedIV!$D$4)</f>
        <v>0</v>
      </c>
      <c r="C1544" s="322">
        <v>0</v>
      </c>
    </row>
    <row r="1545" spans="1:3" x14ac:dyDescent="0.2">
      <c r="A1545" s="320" t="s">
        <v>3747</v>
      </c>
      <c r="B1545">
        <f>IF(ISBLANK(PedBerMedIV!$D$5),"",PedBerMedIV!$D$5)</f>
        <v>0</v>
      </c>
      <c r="C1545" s="322">
        <v>0</v>
      </c>
    </row>
    <row r="1546" spans="1:3" x14ac:dyDescent="0.2">
      <c r="A1546" s="320" t="s">
        <v>3748</v>
      </c>
      <c r="B1546">
        <f>IF(ISBLANK(PedBerMedIV!$D$6),"",PedBerMedIV!$D$6)</f>
        <v>0</v>
      </c>
      <c r="C1546" s="322">
        <v>0</v>
      </c>
    </row>
    <row r="1547" spans="1:3" x14ac:dyDescent="0.2">
      <c r="A1547" s="320" t="s">
        <v>3749</v>
      </c>
      <c r="B1547">
        <f>IF(ISBLANK(PedBerMedIV!$D$7),"",PedBerMedIV!$D$7)</f>
        <v>0</v>
      </c>
      <c r="C1547" s="322">
        <v>0</v>
      </c>
    </row>
    <row r="1548" spans="1:3" x14ac:dyDescent="0.2">
      <c r="A1548" s="320" t="s">
        <v>3750</v>
      </c>
      <c r="B1548">
        <f>IF(ISBLANK(PedBerMedIV!$D$8),"",PedBerMedIV!$D$8)</f>
        <v>0</v>
      </c>
      <c r="C1548" s="322">
        <v>0</v>
      </c>
    </row>
    <row r="1549" spans="1:3" x14ac:dyDescent="0.2">
      <c r="A1549" s="320" t="s">
        <v>3751</v>
      </c>
      <c r="B1549">
        <f>IF(ISBLANK(PedBerMedIV!$D$9),"",PedBerMedIV!$D$9)</f>
        <v>0</v>
      </c>
      <c r="C1549" s="322">
        <v>0</v>
      </c>
    </row>
    <row r="1550" spans="1:3" x14ac:dyDescent="0.2">
      <c r="A1550" s="320" t="s">
        <v>3752</v>
      </c>
      <c r="B1550">
        <f>IF(ISBLANK(PedBerMedIV!$D$10),"",PedBerMedIV!$D$10)</f>
        <v>0</v>
      </c>
      <c r="C1550" s="322">
        <v>0</v>
      </c>
    </row>
    <row r="1551" spans="1:3" x14ac:dyDescent="0.2">
      <c r="A1551" s="320" t="s">
        <v>3753</v>
      </c>
      <c r="B1551">
        <f>IF(ISBLANK(PedBerMedIV!$D$11),"",PedBerMedIV!$D$11)</f>
        <v>0</v>
      </c>
      <c r="C1551" s="322">
        <v>0</v>
      </c>
    </row>
    <row r="1552" spans="1:3" x14ac:dyDescent="0.2">
      <c r="A1552" s="320" t="s">
        <v>3754</v>
      </c>
      <c r="B1552">
        <f>IF(ISBLANK(PedBerMedIV!$D$12),"",PedBerMedIV!$D$12)</f>
        <v>0</v>
      </c>
      <c r="C1552" s="322">
        <v>0</v>
      </c>
    </row>
    <row r="1553" spans="1:3" x14ac:dyDescent="0.2">
      <c r="A1553" s="320" t="s">
        <v>3755</v>
      </c>
      <c r="B1553">
        <f>IF(ISBLANK(PedBerMedIV!$D$13),"",PedBerMedIV!$D$13)</f>
        <v>0</v>
      </c>
      <c r="C1553" s="322">
        <v>0</v>
      </c>
    </row>
    <row r="1554" spans="1:3" x14ac:dyDescent="0.2">
      <c r="A1554" s="320" t="s">
        <v>3756</v>
      </c>
      <c r="B1554">
        <f>IF(ISBLANK(PedBerMedIV!$D$14),"",PedBerMedIV!$D$14)</f>
        <v>0</v>
      </c>
      <c r="C1554" s="322">
        <v>0</v>
      </c>
    </row>
    <row r="1555" spans="1:3" x14ac:dyDescent="0.2">
      <c r="A1555" s="320" t="s">
        <v>3757</v>
      </c>
      <c r="B1555">
        <f>IF(ISBLANK(PedBerMedIV!$D$15),"",PedBerMedIV!$D$15)</f>
        <v>0</v>
      </c>
      <c r="C1555" s="322">
        <v>0</v>
      </c>
    </row>
    <row r="1556" spans="1:3" x14ac:dyDescent="0.2">
      <c r="A1556" s="320" t="s">
        <v>3758</v>
      </c>
      <c r="B1556">
        <f>IF(ISBLANK(PedBerMedIV!$D$16),"",PedBerMedIV!$D$16)</f>
        <v>0</v>
      </c>
      <c r="C1556" s="322">
        <v>0</v>
      </c>
    </row>
    <row r="1557" spans="1:3" x14ac:dyDescent="0.2">
      <c r="A1557" s="320" t="s">
        <v>3759</v>
      </c>
      <c r="B1557">
        <f>IF(ISBLANK(PedBerMedIV!$D$17),"",PedBerMedIV!$D$17)</f>
        <v>0</v>
      </c>
      <c r="C1557" s="322">
        <v>0</v>
      </c>
    </row>
    <row r="1558" spans="1:3" s="320" customFormat="1" x14ac:dyDescent="0.2">
      <c r="A1558" s="321" t="s">
        <v>4883</v>
      </c>
      <c r="B1558" s="320">
        <f>IF(ISBLANK(PedBerMedIV!$D$18),"",PedBerMedIV!$D$18)</f>
        <v>0</v>
      </c>
      <c r="C1558" s="322">
        <v>0</v>
      </c>
    </row>
    <row r="1559" spans="1:3" s="320" customFormat="1" x14ac:dyDescent="0.2">
      <c r="A1559" s="321" t="s">
        <v>4885</v>
      </c>
      <c r="B1559" s="320">
        <f>IF(ISBLANK(PedBerMedIV!$D$19),"",PedBerMedIV!$D$19)</f>
        <v>0</v>
      </c>
      <c r="C1559" s="322">
        <v>0</v>
      </c>
    </row>
    <row r="1560" spans="1:3" s="320" customFormat="1" x14ac:dyDescent="0.2">
      <c r="A1560" s="321" t="s">
        <v>4887</v>
      </c>
      <c r="B1560" s="320">
        <f>IF(ISBLANK(PedBerMedIV!$D$20),"",PedBerMedIV!$D$20)</f>
        <v>0</v>
      </c>
      <c r="C1560" s="322">
        <v>0</v>
      </c>
    </row>
    <row r="1561" spans="1:3" s="320" customFormat="1" x14ac:dyDescent="0.2">
      <c r="A1561" s="321" t="s">
        <v>4889</v>
      </c>
      <c r="B1561" s="320">
        <f>IF(ISBLANK(PedBerMedIV!$D$21),"",PedBerMedIV!$D$21)</f>
        <v>0</v>
      </c>
      <c r="C1561" s="322">
        <v>0</v>
      </c>
    </row>
    <row r="1562" spans="1:3" s="320" customFormat="1" x14ac:dyDescent="0.2">
      <c r="A1562" s="321" t="s">
        <v>4891</v>
      </c>
      <c r="B1562" s="320">
        <f>IF(ISBLANK(PedBerMedIV!$D$22),"",PedBerMedIV!$D$22)</f>
        <v>0</v>
      </c>
      <c r="C1562" s="322">
        <v>0</v>
      </c>
    </row>
    <row r="1563" spans="1:3" x14ac:dyDescent="0.2">
      <c r="A1563" s="320" t="s">
        <v>3760</v>
      </c>
      <c r="B1563">
        <f>IF(ISBLANK(PedBerIVenPM!$H$2),"",PedBerIVenPM!$H$2)</f>
        <v>1</v>
      </c>
      <c r="C1563">
        <v>1</v>
      </c>
    </row>
    <row r="1564" spans="1:3" x14ac:dyDescent="0.2">
      <c r="A1564" s="320" t="s">
        <v>3761</v>
      </c>
      <c r="B1564">
        <f>IF(ISBLANK(PedBerIVenPM!$K$2),"",PedBerIVenPM!$K$2)</f>
        <v>1</v>
      </c>
      <c r="C1564">
        <v>1</v>
      </c>
    </row>
    <row r="1565" spans="1:3" x14ac:dyDescent="0.2">
      <c r="A1565" s="320" t="s">
        <v>3762</v>
      </c>
      <c r="B1565">
        <f>IF(ISBLANK(PedBerIVenPM!$K$5),"",PedBerIVenPM!$K$5)</f>
        <v>2</v>
      </c>
      <c r="C1565">
        <v>2</v>
      </c>
    </row>
    <row r="1566" spans="1:3" x14ac:dyDescent="0.2">
      <c r="A1566" s="320" t="s">
        <v>3763</v>
      </c>
      <c r="B1566">
        <f>IF(ISBLANK(PedBerIVenPM!$K$4),"",PedBerIVenPM!$K$4)</f>
        <v>20</v>
      </c>
      <c r="C1566">
        <v>20</v>
      </c>
    </row>
    <row r="1567" spans="1:3" x14ac:dyDescent="0.2">
      <c r="A1567" s="320" t="s">
        <v>3764</v>
      </c>
      <c r="B1567">
        <f>IF(ISBLANK(PedBerIVenPM!$K$1),"",PedBerIVenPM!$K$1)</f>
        <v>30</v>
      </c>
      <c r="C1567">
        <v>30</v>
      </c>
    </row>
    <row r="1568" spans="1:3" x14ac:dyDescent="0.2">
      <c r="A1568" s="320" t="s">
        <v>3765</v>
      </c>
      <c r="B1568">
        <f>IF(ISBLANK(PedBerIVenPM!$I$2),"",PedBerIVenPM!$I$2)</f>
        <v>1</v>
      </c>
      <c r="C1568">
        <v>1</v>
      </c>
    </row>
    <row r="1569" spans="1:3" x14ac:dyDescent="0.2">
      <c r="A1569" s="320" t="s">
        <v>3766</v>
      </c>
      <c r="B1569">
        <f>IF(ISBLANK(PedBerIVenPM!$K$3),"",PedBerIVenPM!$K$3)</f>
        <v>1</v>
      </c>
      <c r="C1569">
        <v>1</v>
      </c>
    </row>
    <row r="1570" spans="1:3" x14ac:dyDescent="0.2">
      <c r="A1570" s="320" t="s">
        <v>3767</v>
      </c>
      <c r="B1570">
        <f>IF(ISBLANK(PedBerIVenPM!$K$6),"",PedBerIVenPM!$K$6)</f>
        <v>10</v>
      </c>
      <c r="C1570">
        <v>10</v>
      </c>
    </row>
    <row r="1571" spans="1:3" x14ac:dyDescent="0.2">
      <c r="A1571" s="320" t="s">
        <v>3768</v>
      </c>
      <c r="B1571" t="b">
        <f>IF(ISBLANK(PedBerTPN!$C$9),"",PedBerTPN!$C$9)</f>
        <v>0</v>
      </c>
      <c r="C1571" t="b">
        <v>0</v>
      </c>
    </row>
    <row r="1572" spans="1:3" x14ac:dyDescent="0.2">
      <c r="A1572" s="320" t="s">
        <v>3769</v>
      </c>
      <c r="B1572">
        <f>IF(ISBLANK(PedBerTPN!$E$9),"",PedBerTPN!$E$9)</f>
        <v>0</v>
      </c>
      <c r="C1572" s="322">
        <v>0</v>
      </c>
    </row>
    <row r="1573" spans="1:3" x14ac:dyDescent="0.2">
      <c r="A1573" s="320" t="s">
        <v>3770</v>
      </c>
      <c r="B1573" t="b">
        <f>IF(ISBLANK(PedBerTPN!$C$8),"",PedBerTPN!$C$8)</f>
        <v>0</v>
      </c>
      <c r="C1573" t="b">
        <v>0</v>
      </c>
    </row>
    <row r="1574" spans="1:3" x14ac:dyDescent="0.2">
      <c r="A1574" s="320" t="s">
        <v>3771</v>
      </c>
      <c r="B1574" t="b">
        <f>IF(ISBLANK(PedBerTPN!$C$22),"",PedBerTPN!$C$22)</f>
        <v>0</v>
      </c>
      <c r="C1574" t="b">
        <v>0</v>
      </c>
    </row>
    <row r="1575" spans="1:3" x14ac:dyDescent="0.2">
      <c r="A1575" s="320" t="s">
        <v>3772</v>
      </c>
      <c r="B1575">
        <f>IF(ISBLANK(PedBerTPN!$E$8),"",PedBerTPN!$E$8)</f>
        <v>0</v>
      </c>
      <c r="C1575" s="322">
        <v>0</v>
      </c>
    </row>
    <row r="1576" spans="1:3" x14ac:dyDescent="0.2">
      <c r="A1576" s="320" t="s">
        <v>3773</v>
      </c>
      <c r="B1576">
        <f>IF(ISBLANK(PedBerTPN!$E$22),"",PedBerTPN!$E$22)</f>
        <v>0</v>
      </c>
      <c r="C1576" s="322">
        <v>0</v>
      </c>
    </row>
    <row r="1577" spans="1:3" x14ac:dyDescent="0.2">
      <c r="A1577" s="320" t="s">
        <v>3774</v>
      </c>
      <c r="B1577">
        <f>IF(ISBLANK(PedBerTPN!$B$4),"",PedBerTPN!$B$4)</f>
        <v>1</v>
      </c>
      <c r="C1577">
        <v>1</v>
      </c>
    </row>
    <row r="1578" spans="1:3" x14ac:dyDescent="0.2">
      <c r="A1578" s="320" t="s">
        <v>3775</v>
      </c>
      <c r="B1578" t="b">
        <f>IF(ISBLANK(PedBerTPN!$C$11),"",PedBerTPN!$C$11)</f>
        <v>0</v>
      </c>
      <c r="C1578" t="b">
        <v>0</v>
      </c>
    </row>
    <row r="1579" spans="1:3" x14ac:dyDescent="0.2">
      <c r="A1579" s="320" t="s">
        <v>3776</v>
      </c>
      <c r="B1579">
        <f>IF(ISBLANK(PedBerTPN!$E$11),"",PedBerTPN!$E$11)</f>
        <v>0</v>
      </c>
      <c r="C1579" s="322">
        <v>0</v>
      </c>
    </row>
    <row r="1580" spans="1:3" x14ac:dyDescent="0.2">
      <c r="A1580" s="320" t="s">
        <v>3777</v>
      </c>
      <c r="B1580">
        <f>IF(ISBLANK(PedBerTPN!$D$12),"",PedBerTPN!$D$12)</f>
        <v>0</v>
      </c>
      <c r="C1580" s="322">
        <v>0</v>
      </c>
    </row>
    <row r="1581" spans="1:3" x14ac:dyDescent="0.2">
      <c r="A1581" s="320" t="s">
        <v>3778</v>
      </c>
      <c r="B1581" t="b">
        <f>IF(ISBLANK(PedBerTPN!$C$10),"",PedBerTPN!$C$10)</f>
        <v>0</v>
      </c>
      <c r="C1581" t="b">
        <v>0</v>
      </c>
    </row>
    <row r="1582" spans="1:3" x14ac:dyDescent="0.2">
      <c r="A1582" s="320" t="s">
        <v>3779</v>
      </c>
      <c r="B1582">
        <f>IF(ISBLANK(PedBerTPN!$E$10),"",PedBerTPN!$E$10)</f>
        <v>0</v>
      </c>
      <c r="C1582" s="322">
        <v>0</v>
      </c>
    </row>
    <row r="1583" spans="1:3" x14ac:dyDescent="0.2">
      <c r="A1583" s="320" t="s">
        <v>3780</v>
      </c>
      <c r="B1583" t="b">
        <f>IF(ISBLANK(PedBerTPN!$C$7),"",PedBerTPN!$C$7)</f>
        <v>0</v>
      </c>
      <c r="C1583" t="b">
        <v>0</v>
      </c>
    </row>
    <row r="1584" spans="1:3" x14ac:dyDescent="0.2">
      <c r="A1584" s="320" t="s">
        <v>3781</v>
      </c>
      <c r="B1584" t="b">
        <f>IF(ISBLANK(PedBerTPN!$C$21),"",PedBerTPN!$C$21)</f>
        <v>0</v>
      </c>
      <c r="C1584" s="320" t="b">
        <v>0</v>
      </c>
    </row>
    <row r="1585" spans="1:3" x14ac:dyDescent="0.2">
      <c r="A1585" s="320" t="s">
        <v>3782</v>
      </c>
      <c r="B1585">
        <f>IF(ISBLANK(PedBerTPN!$E$7),"",PedBerTPN!$E$7)</f>
        <v>0</v>
      </c>
      <c r="C1585" s="322">
        <v>0</v>
      </c>
    </row>
    <row r="1586" spans="1:3" x14ac:dyDescent="0.2">
      <c r="A1586" s="320" t="s">
        <v>3783</v>
      </c>
      <c r="B1586">
        <f>IF(ISBLANK(PedBerTPN!$E$21),"",PedBerTPN!$E$21)</f>
        <v>0</v>
      </c>
      <c r="C1586" s="322">
        <v>0</v>
      </c>
    </row>
    <row r="1587" spans="1:3" x14ac:dyDescent="0.2">
      <c r="A1587" s="320" t="s">
        <v>3784</v>
      </c>
      <c r="B1587">
        <f>IF(ISBLANK(GlobBerOpm!$B$4),"",GlobBerOpm!$B$4)</f>
        <v>0</v>
      </c>
      <c r="C1587" s="322">
        <v>0</v>
      </c>
    </row>
    <row r="1588" spans="1:3" x14ac:dyDescent="0.2">
      <c r="A1588" s="320" t="s">
        <v>3785</v>
      </c>
      <c r="B1588">
        <f>IF(ISBLANK(PedBerTPN!$E$5),"",PedBerTPN!$E$5)</f>
        <v>0</v>
      </c>
      <c r="C1588" s="322">
        <v>0</v>
      </c>
    </row>
    <row r="1589" spans="1:3" x14ac:dyDescent="0.2">
      <c r="A1589" s="320" t="s">
        <v>3786</v>
      </c>
      <c r="B1589">
        <f>IF(ISBLANK(PedBerTPN!$C$16),"",PedBerTPN!$C$16)</f>
        <v>0</v>
      </c>
      <c r="C1589" s="322">
        <v>0</v>
      </c>
    </row>
    <row r="1590" spans="1:3" x14ac:dyDescent="0.2">
      <c r="A1590" s="320" t="s">
        <v>3787</v>
      </c>
      <c r="B1590" t="b">
        <f>IF(ISBLANK(PedBerTPN!$C$15),"",PedBerTPN!$C$15)</f>
        <v>0</v>
      </c>
      <c r="C1590" t="b">
        <v>0</v>
      </c>
    </row>
    <row r="1591" spans="1:3" x14ac:dyDescent="0.2">
      <c r="A1591" s="320" t="s">
        <v>3788</v>
      </c>
      <c r="B1591">
        <f>IF(ISBLANK(PedBerTPN!$E$15),"",PedBerTPN!$E$15)</f>
        <v>1</v>
      </c>
      <c r="C1591">
        <v>1</v>
      </c>
    </row>
    <row r="1592" spans="1:3" x14ac:dyDescent="0.2">
      <c r="A1592" s="320" t="s">
        <v>3789</v>
      </c>
      <c r="B1592">
        <f>IF(ISBLANK(PedBerTPN!$B$6),"",PedBerTPN!$B$6)</f>
        <v>1</v>
      </c>
      <c r="C1592">
        <v>1</v>
      </c>
    </row>
    <row r="1593" spans="1:3" x14ac:dyDescent="0.2">
      <c r="A1593" s="320" t="s">
        <v>3790</v>
      </c>
      <c r="B1593">
        <f>IF(ISBLANK(PedBerTPN!$D$3),"",PedBerTPN!$D$3)</f>
        <v>0</v>
      </c>
      <c r="C1593" s="322">
        <v>0</v>
      </c>
    </row>
    <row r="1594" spans="1:3" x14ac:dyDescent="0.2">
      <c r="A1594" s="320" t="s">
        <v>3791</v>
      </c>
      <c r="B1594">
        <f>IF(ISBLANK(PedBerTPN!$B$20),"",PedBerTPN!$B$20)</f>
        <v>1</v>
      </c>
      <c r="C1594">
        <v>1</v>
      </c>
    </row>
    <row r="1595" spans="1:3" x14ac:dyDescent="0.2">
      <c r="A1595" s="320" t="s">
        <v>3792</v>
      </c>
      <c r="B1595">
        <f>IF(ISBLANK(PedBerTPN!$D$19),"",PedBerTPN!$D$19)</f>
        <v>0</v>
      </c>
      <c r="C1595" s="322">
        <v>0</v>
      </c>
    </row>
    <row r="1596" spans="1:3" x14ac:dyDescent="0.2">
      <c r="A1596" s="320" t="s">
        <v>3793</v>
      </c>
      <c r="B1596" t="b">
        <f>IF(ISBLANK(PedBerTPN!$C$14),"",PedBerTPN!$C$14)</f>
        <v>0</v>
      </c>
      <c r="C1596" t="b">
        <v>0</v>
      </c>
    </row>
    <row r="1597" spans="1:3" x14ac:dyDescent="0.2">
      <c r="A1597" s="320" t="s">
        <v>3794</v>
      </c>
      <c r="B1597">
        <f>IF(ISBLANK(PedBerTPN!$E$14),"",PedBerTPN!$E$14)</f>
        <v>1</v>
      </c>
      <c r="C1597">
        <v>1</v>
      </c>
    </row>
    <row r="1598" spans="1:3" x14ac:dyDescent="0.2">
      <c r="A1598" s="320" t="s">
        <v>3795</v>
      </c>
      <c r="B1598">
        <f>IF(ISBLANK(PedBerTPN!$E$4),"",PedBerTPN!$E$4)</f>
        <v>0</v>
      </c>
      <c r="C1598" s="322"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8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G32"/>
  <sheetViews>
    <sheetView workbookViewId="0">
      <selection activeCell="E27" sqref="E27"/>
    </sheetView>
  </sheetViews>
  <sheetFormatPr defaultRowHeight="12.75" x14ac:dyDescent="0.2"/>
  <cols>
    <col min="1" max="1" width="20.140625" customWidth="1"/>
    <col min="2" max="2" width="27.140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361" t="s">
        <v>389</v>
      </c>
    </row>
    <row r="2" spans="1:7" x14ac:dyDescent="0.2">
      <c r="A2" s="321" t="s">
        <v>535</v>
      </c>
    </row>
    <row r="3" spans="1:7" s="320" customFormat="1" x14ac:dyDescent="0.2">
      <c r="A3" t="s">
        <v>222</v>
      </c>
      <c r="B3"/>
    </row>
    <row r="4" spans="1:7" s="320" customFormat="1" x14ac:dyDescent="0.2">
      <c r="A4" t="s">
        <v>223</v>
      </c>
      <c r="B4"/>
    </row>
    <row r="5" spans="1:7" x14ac:dyDescent="0.2">
      <c r="A5" s="321" t="s">
        <v>3956</v>
      </c>
      <c r="B5" s="26">
        <v>1462</v>
      </c>
      <c r="C5" s="6"/>
      <c r="D5" s="6"/>
      <c r="E5" s="6"/>
      <c r="G5" s="6"/>
    </row>
    <row r="6" spans="1:7" x14ac:dyDescent="0.2">
      <c r="A6" t="s">
        <v>286</v>
      </c>
      <c r="B6" s="126">
        <v>0</v>
      </c>
      <c r="C6" s="6"/>
      <c r="D6" s="6"/>
      <c r="E6" s="6"/>
      <c r="G6" s="6"/>
    </row>
    <row r="7" spans="1:7" x14ac:dyDescent="0.2">
      <c r="A7" t="s">
        <v>136</v>
      </c>
      <c r="B7">
        <v>0</v>
      </c>
    </row>
    <row r="8" spans="1:7" x14ac:dyDescent="0.2">
      <c r="A8" s="321" t="s">
        <v>3955</v>
      </c>
      <c r="B8">
        <v>0</v>
      </c>
    </row>
    <row r="9" spans="1:7" x14ac:dyDescent="0.2">
      <c r="A9" s="321" t="s">
        <v>3954</v>
      </c>
      <c r="B9" s="19">
        <v>1462</v>
      </c>
      <c r="E9" s="132"/>
    </row>
    <row r="10" spans="1:7" x14ac:dyDescent="0.2">
      <c r="E10" s="155"/>
    </row>
    <row r="11" spans="1:7" x14ac:dyDescent="0.2">
      <c r="A11" t="s">
        <v>221</v>
      </c>
      <c r="B11" s="26">
        <f ca="1" xml:space="preserve"> TODAY()</f>
        <v>42748</v>
      </c>
    </row>
    <row r="12" spans="1:7" x14ac:dyDescent="0.2">
      <c r="A12" t="s">
        <v>458</v>
      </c>
      <c r="B12" s="132"/>
      <c r="E12" s="155"/>
    </row>
    <row r="13" spans="1:7" s="320" customFormat="1" x14ac:dyDescent="0.2">
      <c r="A13" s="321" t="s">
        <v>4912</v>
      </c>
      <c r="B13" s="132" t="str">
        <f>IF(IsEmptyDate(_Pat_OpnDatum),"",DateToString(_Pat_OpnDatum)&amp;" "&amp;B20)</f>
        <v/>
      </c>
      <c r="E13" s="155"/>
    </row>
    <row r="14" spans="1:7" s="320" customFormat="1" x14ac:dyDescent="0.2">
      <c r="A14" s="321" t="s">
        <v>3956</v>
      </c>
      <c r="B14" s="132" t="str">
        <f ca="1">IF(NOW()-__4_GebDatum&gt;100,"",TEXT(__4_GebDatum,"dd-mmm-yy"))</f>
        <v/>
      </c>
      <c r="E14" s="155"/>
    </row>
    <row r="15" spans="1:7" s="320" customFormat="1" x14ac:dyDescent="0.2">
      <c r="A15" s="321" t="s">
        <v>4913</v>
      </c>
      <c r="B15" s="19" t="str">
        <f>IF(__0_PatNum&gt;0,__0_PatNum,"")</f>
        <v/>
      </c>
      <c r="E15" s="155"/>
    </row>
    <row r="16" spans="1:7" x14ac:dyDescent="0.2">
      <c r="A16" s="321" t="s">
        <v>4908</v>
      </c>
      <c r="B16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17" spans="1:2" s="320" customFormat="1" x14ac:dyDescent="0.2">
      <c r="A17" s="321" t="s">
        <v>4909</v>
      </c>
      <c r="B17" s="320" t="str">
        <f ca="1">IF(((Var_AfspraakDatum-__4_GebDatum)/365)&gt;100,"",TRUNC((Var_AfspraakDatum-__4_GebDatum)/52,0)&amp;" weken en "&amp;TRUNC(((Var_AfspraakDatum-__4_GebDatum)-52*TRUNC((Var_AfspraakDatum-__4_GebDatum)/52,0))/7,0)&amp;" dag(-en)")</f>
        <v/>
      </c>
    </row>
    <row r="18" spans="1:2" s="320" customFormat="1" x14ac:dyDescent="0.2">
      <c r="A18" s="321" t="s">
        <v>3953</v>
      </c>
      <c r="B18" s="320" t="str">
        <f ca="1">IF(Var_AfspraakDatum-__4_GebDatum&lt;=28,B17,B16)</f>
        <v/>
      </c>
    </row>
    <row r="19" spans="1:2" x14ac:dyDescent="0.2">
      <c r="A19" s="321" t="s">
        <v>4907</v>
      </c>
      <c r="B19" t="str">
        <f>IF(__2_AchterNaam="","",__2_AchterNaam&amp;", "&amp;__3_VoorNaam)</f>
        <v/>
      </c>
    </row>
    <row r="20" spans="1:2" x14ac:dyDescent="0.2">
      <c r="A20" s="321" t="s">
        <v>4910</v>
      </c>
      <c r="B20" t="str">
        <f ca="1">IF(AND(__4_GebDatum&gt;0,_Pat_OpnDatum&gt;0),"(dag "&amp;Var_AfspraakDatum-_Pat_OpnDatum+1&amp;")", "")</f>
        <v>(dag 41287)</v>
      </c>
    </row>
    <row r="21" spans="1:2" x14ac:dyDescent="0.2">
      <c r="A21" s="321" t="s">
        <v>286</v>
      </c>
      <c r="B21" t="str">
        <f>IF(_Pat_Gewicht&gt;0,"Gewicht: "&amp;_Pat_Gewicht/10&amp;" kg", "Gewicht:")</f>
        <v>Gewicht:</v>
      </c>
    </row>
    <row r="22" spans="1:2" x14ac:dyDescent="0.2">
      <c r="A22" s="321" t="s">
        <v>4911</v>
      </c>
      <c r="B22" t="str">
        <f>IF(_Pat_Lengte&gt;0,"Lengte: "&amp;_Pat_Lengte&amp;" cm","Lengte:")</f>
        <v>Lengte:</v>
      </c>
    </row>
    <row r="23" spans="1:2" x14ac:dyDescent="0.2">
      <c r="A23" s="321" t="s">
        <v>53</v>
      </c>
      <c r="B23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  <row r="27" spans="1:2" x14ac:dyDescent="0.2">
      <c r="B27" s="132"/>
    </row>
    <row r="28" spans="1:2" x14ac:dyDescent="0.2">
      <c r="B28" s="132"/>
    </row>
    <row r="32" spans="1:2" x14ac:dyDescent="0.2">
      <c r="B32" s="132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8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F50"/>
  <sheetViews>
    <sheetView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752" customWidth="1"/>
    <col min="2" max="2" width="6" style="752" customWidth="1"/>
    <col min="3" max="3" width="7.5703125" style="752" customWidth="1"/>
    <col min="4" max="4" width="4.28515625" style="752" customWidth="1"/>
    <col min="5" max="5" width="27" style="752" customWidth="1"/>
    <col min="6" max="6" width="13.42578125" style="752" customWidth="1"/>
    <col min="7" max="7" width="11.140625" style="752" customWidth="1"/>
    <col min="8" max="8" width="16.7109375" style="752" customWidth="1"/>
    <col min="9" max="9" width="16.5703125" style="752" customWidth="1"/>
    <col min="10" max="10" width="20.140625" style="752" customWidth="1"/>
    <col min="11" max="11" width="13.28515625" style="752" customWidth="1"/>
    <col min="12" max="12" width="9.140625" style="752"/>
    <col min="13" max="13" width="12.7109375" style="752" customWidth="1"/>
    <col min="14" max="15" width="9.140625" style="752"/>
    <col min="16" max="17" width="9.42578125" style="752" bestFit="1" customWidth="1"/>
    <col min="18" max="16384" width="9.140625" style="752"/>
  </cols>
  <sheetData>
    <row r="1" spans="1:84" s="748" customFormat="1" ht="17.25" customHeight="1" x14ac:dyDescent="0.2">
      <c r="A1" s="713"/>
      <c r="B1" s="978"/>
      <c r="C1" s="978"/>
      <c r="D1" s="978"/>
      <c r="E1" s="978"/>
      <c r="F1" s="978"/>
      <c r="G1" s="978"/>
      <c r="H1" s="978"/>
      <c r="I1" s="978"/>
      <c r="J1" s="978"/>
      <c r="K1" s="978"/>
      <c r="L1" s="978"/>
      <c r="M1" s="978"/>
      <c r="N1" s="978"/>
      <c r="P1" s="749"/>
      <c r="Q1" s="749"/>
      <c r="R1" s="749"/>
    </row>
    <row r="2" spans="1:84" s="748" customFormat="1" ht="17.25" customHeight="1" x14ac:dyDescent="0.2">
      <c r="B2" s="781"/>
      <c r="C2" s="781"/>
      <c r="D2" s="781"/>
      <c r="E2" s="736" t="s">
        <v>316</v>
      </c>
      <c r="F2" s="737">
        <f ca="1">Var_AfspraakDatum</f>
        <v>42748</v>
      </c>
      <c r="G2" s="738"/>
      <c r="H2" s="736" t="s">
        <v>5114</v>
      </c>
      <c r="I2" s="739" t="str">
        <f>PatDetails!B13</f>
        <v/>
      </c>
      <c r="J2" s="740" t="str">
        <f>PatDetails!B21</f>
        <v>Gewicht:</v>
      </c>
      <c r="K2" s="781"/>
      <c r="L2" s="736" t="s">
        <v>536</v>
      </c>
      <c r="M2" s="736">
        <f>__1_Bed</f>
        <v>0</v>
      </c>
      <c r="N2" s="781"/>
      <c r="P2" s="749"/>
      <c r="Q2" s="749"/>
      <c r="R2" s="749"/>
    </row>
    <row r="3" spans="1:84" s="748" customFormat="1" ht="17.25" customHeight="1" x14ac:dyDescent="0.2">
      <c r="B3" s="781"/>
      <c r="C3" s="781"/>
      <c r="D3" s="704"/>
      <c r="E3" s="736" t="s">
        <v>28</v>
      </c>
      <c r="F3" s="741" t="str">
        <f>PatDetails!B19</f>
        <v/>
      </c>
      <c r="G3" s="741"/>
      <c r="H3" s="736" t="s">
        <v>5115</v>
      </c>
      <c r="I3" s="739" t="str">
        <f ca="1">PatDetails!B14</f>
        <v/>
      </c>
      <c r="J3" s="740" t="str">
        <f>PatDetails!B22</f>
        <v>Lengte:</v>
      </c>
      <c r="K3" s="781"/>
      <c r="L3" s="736"/>
      <c r="M3" s="736"/>
      <c r="N3" s="781"/>
      <c r="P3" s="749"/>
      <c r="Q3" s="749"/>
      <c r="R3" s="749"/>
    </row>
    <row r="4" spans="1:84" s="748" customFormat="1" ht="17.25" customHeight="1" x14ac:dyDescent="0.2">
      <c r="B4" s="781"/>
      <c r="C4" s="744"/>
      <c r="D4" s="744"/>
      <c r="E4" s="742" t="s">
        <v>5108</v>
      </c>
      <c r="F4" s="743" t="str">
        <f>PatDetails!B15</f>
        <v/>
      </c>
      <c r="G4" s="738"/>
      <c r="H4" s="736" t="s">
        <v>287</v>
      </c>
      <c r="I4" s="744" t="str">
        <f ca="1">PatDetails!B18</f>
        <v/>
      </c>
      <c r="J4" s="745" t="str">
        <f>PatDetails!B23</f>
        <v>Lichamelijk oppervlak:</v>
      </c>
      <c r="K4" s="781"/>
      <c r="L4" s="736"/>
      <c r="M4" s="736"/>
      <c r="N4" s="744"/>
      <c r="P4" s="750"/>
      <c r="Q4" s="750"/>
      <c r="R4" s="750"/>
      <c r="U4" s="751"/>
      <c r="V4" s="751"/>
      <c r="W4" s="751"/>
      <c r="X4" s="751"/>
      <c r="Y4" s="751"/>
      <c r="Z4" s="751"/>
      <c r="AA4" s="751"/>
    </row>
    <row r="5" spans="1:84" s="748" customFormat="1" ht="8.1" customHeight="1" x14ac:dyDescent="0.2">
      <c r="B5" s="781"/>
      <c r="C5" s="744"/>
      <c r="D5" s="744"/>
      <c r="E5" s="736"/>
      <c r="F5" s="736"/>
      <c r="G5" s="738"/>
      <c r="H5" s="736"/>
      <c r="I5" s="744"/>
      <c r="J5" s="745"/>
      <c r="K5" s="736"/>
      <c r="L5" s="736"/>
      <c r="M5" s="736"/>
      <c r="N5" s="744"/>
      <c r="P5" s="750"/>
      <c r="Q5" s="750"/>
      <c r="R5" s="750"/>
      <c r="U5" s="751"/>
      <c r="V5" s="751"/>
      <c r="W5" s="751"/>
      <c r="X5" s="751"/>
      <c r="Y5" s="751"/>
      <c r="Z5" s="751"/>
      <c r="AA5" s="751"/>
    </row>
    <row r="6" spans="1:84" ht="8.1" customHeight="1" x14ac:dyDescent="0.2">
      <c r="C6" s="753"/>
      <c r="D6" s="754"/>
      <c r="E6" s="755"/>
      <c r="F6" s="756"/>
      <c r="G6" s="757"/>
      <c r="H6" s="755"/>
      <c r="I6" s="758"/>
      <c r="J6" s="755"/>
      <c r="K6" s="755"/>
      <c r="L6" s="755"/>
      <c r="M6" s="755"/>
      <c r="N6" s="755"/>
      <c r="O6" s="754"/>
      <c r="P6" s="750"/>
      <c r="Q6" s="750"/>
      <c r="R6" s="750"/>
      <c r="S6" s="754"/>
      <c r="T6" s="754"/>
      <c r="U6" s="754"/>
      <c r="V6" s="754"/>
      <c r="W6" s="754"/>
      <c r="X6" s="754"/>
      <c r="Y6" s="754"/>
      <c r="Z6" s="754"/>
      <c r="AA6" s="754"/>
      <c r="AB6" s="759"/>
      <c r="AC6" s="759"/>
      <c r="AD6" s="760"/>
      <c r="AE6" s="760"/>
      <c r="AF6" s="759"/>
      <c r="AG6" s="759"/>
      <c r="AH6" s="759"/>
      <c r="AI6" s="759"/>
      <c r="AJ6" s="759"/>
      <c r="AK6" s="759"/>
      <c r="AL6" s="759"/>
      <c r="AM6" s="759"/>
      <c r="AN6" s="759"/>
      <c r="AO6" s="759"/>
      <c r="AP6" s="759"/>
      <c r="AQ6" s="759"/>
      <c r="AR6" s="759"/>
      <c r="AS6" s="759"/>
      <c r="AT6" s="759"/>
      <c r="AU6" s="759"/>
      <c r="AV6" s="759"/>
      <c r="AW6" s="759"/>
      <c r="AX6" s="759"/>
      <c r="AY6" s="759"/>
      <c r="AZ6" s="759"/>
      <c r="BA6" s="759"/>
      <c r="BB6" s="759"/>
      <c r="BC6" s="759"/>
      <c r="BD6" s="759"/>
      <c r="BE6" s="759"/>
      <c r="BF6" s="759"/>
      <c r="BG6" s="759"/>
      <c r="BH6" s="759"/>
      <c r="BI6" s="759"/>
      <c r="BJ6" s="759"/>
      <c r="BK6" s="759"/>
      <c r="BL6" s="759"/>
      <c r="BM6" s="759"/>
      <c r="BN6" s="759"/>
      <c r="BO6" s="759"/>
      <c r="BP6" s="759"/>
      <c r="BQ6" s="759"/>
      <c r="BR6" s="759"/>
      <c r="BS6" s="759"/>
      <c r="BT6" s="759"/>
      <c r="BU6" s="759"/>
      <c r="BV6" s="759"/>
      <c r="BW6" s="759"/>
      <c r="BX6" s="759"/>
      <c r="BY6" s="759"/>
      <c r="BZ6" s="759"/>
      <c r="CA6" s="759"/>
      <c r="CB6" s="759"/>
      <c r="CC6" s="759"/>
      <c r="CD6" s="759"/>
      <c r="CE6" s="759"/>
      <c r="CF6" s="759"/>
    </row>
    <row r="7" spans="1:84" ht="20.100000000000001" customHeight="1" x14ac:dyDescent="0.2">
      <c r="B7" s="776" t="s">
        <v>4903</v>
      </c>
      <c r="C7" s="776"/>
      <c r="D7" s="776"/>
      <c r="E7" s="777" t="s">
        <v>343</v>
      </c>
      <c r="F7" s="776" t="s">
        <v>215</v>
      </c>
      <c r="G7" s="778" t="s">
        <v>323</v>
      </c>
      <c r="H7" s="778" t="s">
        <v>159</v>
      </c>
      <c r="I7" s="778" t="s">
        <v>52</v>
      </c>
      <c r="J7" s="778" t="s">
        <v>344</v>
      </c>
      <c r="K7" s="778" t="s">
        <v>4895</v>
      </c>
      <c r="L7" s="778" t="s">
        <v>323</v>
      </c>
      <c r="M7" s="778" t="s">
        <v>340</v>
      </c>
      <c r="N7" s="779"/>
      <c r="O7" s="761"/>
      <c r="P7" s="750"/>
      <c r="Q7" s="750"/>
      <c r="R7" s="750"/>
      <c r="S7" s="761"/>
      <c r="T7" s="761"/>
      <c r="U7" s="761"/>
      <c r="V7" s="750"/>
      <c r="W7" s="750"/>
      <c r="X7" s="750"/>
      <c r="Y7" s="750"/>
      <c r="Z7" s="750"/>
      <c r="AA7" s="750"/>
      <c r="AC7" s="759"/>
      <c r="AH7" s="759"/>
      <c r="AI7" s="759"/>
      <c r="AJ7" s="759"/>
      <c r="AK7" s="759"/>
      <c r="AL7" s="759"/>
      <c r="AM7" s="759"/>
      <c r="AN7" s="759"/>
      <c r="AO7" s="759"/>
      <c r="AP7" s="759"/>
      <c r="AQ7" s="759"/>
      <c r="AR7" s="759"/>
      <c r="AS7" s="759"/>
      <c r="AT7" s="759"/>
      <c r="AU7" s="759"/>
      <c r="AV7" s="759"/>
      <c r="AW7" s="759"/>
      <c r="AX7" s="759"/>
      <c r="AY7" s="759"/>
      <c r="AZ7" s="759"/>
      <c r="BA7" s="759"/>
      <c r="BB7" s="759"/>
      <c r="BC7" s="759"/>
      <c r="BD7" s="759"/>
      <c r="BE7" s="759"/>
      <c r="BF7" s="759"/>
      <c r="BG7" s="759"/>
      <c r="BH7" s="759"/>
      <c r="BI7" s="759"/>
      <c r="BJ7" s="759"/>
      <c r="BK7" s="759"/>
      <c r="BL7" s="759"/>
      <c r="BM7" s="759"/>
      <c r="BN7" s="759"/>
      <c r="BO7" s="759"/>
      <c r="BP7" s="759"/>
      <c r="BQ7" s="759"/>
      <c r="BR7" s="759"/>
      <c r="BS7" s="759"/>
      <c r="BT7" s="759"/>
      <c r="BU7" s="759"/>
      <c r="BV7" s="759"/>
      <c r="BW7" s="759"/>
      <c r="BX7" s="759"/>
      <c r="BY7" s="759"/>
      <c r="BZ7" s="759"/>
      <c r="CA7" s="759"/>
      <c r="CB7" s="759"/>
      <c r="CC7" s="759"/>
      <c r="CD7" s="759"/>
      <c r="CE7" s="759"/>
      <c r="CF7" s="759"/>
    </row>
    <row r="8" spans="1:84" ht="8.1" customHeight="1" x14ac:dyDescent="0.2">
      <c r="C8" s="762"/>
      <c r="D8" s="754"/>
      <c r="E8" s="754"/>
      <c r="F8" s="754"/>
      <c r="G8" s="754"/>
      <c r="H8" s="754"/>
      <c r="I8" s="754"/>
      <c r="J8" s="754"/>
      <c r="K8" s="754"/>
      <c r="L8" s="754"/>
      <c r="M8" s="754"/>
      <c r="N8" s="754"/>
      <c r="O8" s="754"/>
      <c r="P8" s="749"/>
      <c r="Q8" s="749"/>
      <c r="R8" s="749"/>
      <c r="S8" s="754"/>
      <c r="T8" s="754"/>
      <c r="U8" s="754"/>
      <c r="V8" s="754"/>
      <c r="W8" s="754"/>
      <c r="X8" s="754"/>
      <c r="Y8" s="754"/>
      <c r="Z8" s="754"/>
      <c r="AA8" s="754"/>
      <c r="AC8" s="759"/>
      <c r="AH8" s="759"/>
      <c r="AI8" s="759"/>
      <c r="AJ8" s="759"/>
      <c r="AK8" s="759"/>
      <c r="AL8" s="759"/>
      <c r="AM8" s="759"/>
      <c r="AN8" s="759"/>
      <c r="AO8" s="759"/>
      <c r="AP8" s="759"/>
      <c r="AQ8" s="759"/>
      <c r="AR8" s="759"/>
      <c r="AS8" s="759"/>
      <c r="AT8" s="759"/>
      <c r="AU8" s="759"/>
      <c r="AV8" s="759"/>
      <c r="AW8" s="759"/>
      <c r="AX8" s="759"/>
      <c r="AY8" s="759"/>
      <c r="AZ8" s="759"/>
      <c r="BA8" s="759"/>
      <c r="BB8" s="759"/>
      <c r="BC8" s="759"/>
      <c r="BD8" s="759"/>
      <c r="BE8" s="759"/>
      <c r="BF8" s="759"/>
      <c r="BG8" s="759"/>
      <c r="BH8" s="759"/>
      <c r="BI8" s="759"/>
      <c r="BJ8" s="759"/>
      <c r="BK8" s="759"/>
      <c r="BL8" s="759"/>
      <c r="BM8" s="759"/>
      <c r="BN8" s="759"/>
      <c r="BO8" s="759"/>
      <c r="BP8" s="759"/>
      <c r="BQ8" s="759"/>
      <c r="BR8" s="759"/>
      <c r="BS8" s="759"/>
      <c r="BT8" s="759"/>
      <c r="BU8" s="759"/>
      <c r="BV8" s="759"/>
      <c r="BW8" s="759"/>
      <c r="BX8" s="759"/>
      <c r="BY8" s="759"/>
      <c r="BZ8" s="759"/>
      <c r="CA8" s="759"/>
      <c r="CB8" s="759"/>
      <c r="CC8" s="759"/>
      <c r="CD8" s="759"/>
      <c r="CE8" s="759"/>
      <c r="CF8" s="759"/>
    </row>
    <row r="9" spans="1:84" ht="20.100000000000001" customHeight="1" thickBot="1" x14ac:dyDescent="0.25">
      <c r="B9" s="763" t="str">
        <f>PedBerMedIV!S3</f>
        <v/>
      </c>
      <c r="C9" s="763" t="str">
        <f>PedBerMedIV!T3</f>
        <v/>
      </c>
      <c r="D9" s="732">
        <v>1</v>
      </c>
      <c r="E9" s="714">
        <f>PedBerMedIV!B3</f>
        <v>1</v>
      </c>
      <c r="F9" s="715" t="str">
        <f>PedBerMedIV!V3</f>
        <v/>
      </c>
      <c r="G9" s="715" t="str">
        <f>PedBerMedIV!W3</f>
        <v/>
      </c>
      <c r="H9" s="716"/>
      <c r="I9" s="716" t="str">
        <f>PedBerMedIV!Y3</f>
        <v/>
      </c>
      <c r="J9" s="716" t="str">
        <f>PedBerMedIV!Z3</f>
        <v/>
      </c>
      <c r="K9" s="716" t="str">
        <f>PedBerMedIV!AA3</f>
        <v/>
      </c>
      <c r="L9" s="716" t="str">
        <f>PedBerMedIV!AB3</f>
        <v/>
      </c>
      <c r="M9" s="716" t="str">
        <f>PedBerMedIV!AC3</f>
        <v/>
      </c>
      <c r="N9" s="717"/>
      <c r="O9" s="754"/>
      <c r="P9" s="750"/>
      <c r="Q9" s="750"/>
      <c r="R9" s="750"/>
      <c r="S9" s="754"/>
      <c r="T9" s="754"/>
      <c r="U9" s="754"/>
      <c r="V9" s="754"/>
      <c r="W9" s="754"/>
      <c r="X9" s="754"/>
      <c r="Y9" s="754"/>
      <c r="Z9" s="754"/>
      <c r="AA9" s="754"/>
      <c r="AC9" s="759"/>
      <c r="AD9" s="752">
        <f>IF(E9&lt;&gt;0,INDEX(tblMedicationContIV,PedBerMedIV!$B3,6)*(PedBerMedIV!J3/10))</f>
        <v>0</v>
      </c>
      <c r="AE9" s="752">
        <f>IF(AD9&gt;=10,0,IF(AD9&gt;=1,1,IF(AD9&gt;=0,2,IF(AD9&gt;=0.1,3,IF(AD9&gt;=0.01,4,5)))))</f>
        <v>2</v>
      </c>
      <c r="AF9" s="752">
        <f>ROUND(AD9,AE9)</f>
        <v>0</v>
      </c>
      <c r="AH9" s="759"/>
      <c r="AI9" s="759"/>
      <c r="AJ9" s="759"/>
      <c r="AK9" s="759"/>
      <c r="AL9" s="759"/>
      <c r="AM9" s="759"/>
      <c r="AN9" s="759"/>
      <c r="AO9" s="759"/>
      <c r="AP9" s="759"/>
      <c r="AQ9" s="759"/>
      <c r="AR9" s="759"/>
      <c r="AS9" s="759"/>
      <c r="AT9" s="759"/>
      <c r="AU9" s="759"/>
      <c r="AV9" s="759"/>
      <c r="AW9" s="759"/>
      <c r="AX9" s="759"/>
      <c r="AY9" s="759"/>
      <c r="AZ9" s="759"/>
      <c r="BA9" s="759"/>
      <c r="BB9" s="759"/>
      <c r="BC9" s="759"/>
      <c r="BD9" s="759"/>
      <c r="BE9" s="759"/>
      <c r="BF9" s="759"/>
      <c r="BG9" s="759"/>
      <c r="BH9" s="759"/>
      <c r="BI9" s="759"/>
      <c r="BJ9" s="759"/>
      <c r="BK9" s="759"/>
      <c r="BL9" s="759"/>
      <c r="BM9" s="759"/>
      <c r="BN9" s="759"/>
      <c r="BO9" s="759"/>
      <c r="BP9" s="759"/>
      <c r="BQ9" s="759"/>
      <c r="BR9" s="759"/>
      <c r="BS9" s="759"/>
      <c r="BT9" s="759"/>
      <c r="BU9" s="759"/>
      <c r="BV9" s="759"/>
      <c r="BW9" s="759"/>
      <c r="BX9" s="759"/>
      <c r="BY9" s="759"/>
      <c r="BZ9" s="759"/>
      <c r="CA9" s="759"/>
      <c r="CB9" s="759"/>
      <c r="CC9" s="759"/>
      <c r="CD9" s="759"/>
      <c r="CE9" s="759"/>
      <c r="CF9" s="759"/>
    </row>
    <row r="10" spans="1:84" ht="20.100000000000001" customHeight="1" thickTop="1" thickBot="1" x14ac:dyDescent="0.25">
      <c r="B10" s="763" t="str">
        <f>PedBerMedIV!S4</f>
        <v/>
      </c>
      <c r="C10" s="763" t="str">
        <f>PedBerMedIV!T4</f>
        <v/>
      </c>
      <c r="D10" s="732">
        <v>2</v>
      </c>
      <c r="E10" s="718">
        <f>PedBerMedIV!B4</f>
        <v>1</v>
      </c>
      <c r="F10" s="719" t="str">
        <f>PedBerMedIV!V4</f>
        <v/>
      </c>
      <c r="G10" s="719" t="str">
        <f>PedBerMedIV!W4</f>
        <v/>
      </c>
      <c r="H10" s="720"/>
      <c r="I10" s="720" t="str">
        <f>PedBerMedIV!Y4</f>
        <v/>
      </c>
      <c r="J10" s="720" t="str">
        <f>PedBerMedIV!Z4</f>
        <v/>
      </c>
      <c r="K10" s="720" t="str">
        <f>PedBerMedIV!AA4</f>
        <v/>
      </c>
      <c r="L10" s="720" t="str">
        <f>PedBerMedIV!AB4</f>
        <v/>
      </c>
      <c r="M10" s="720" t="str">
        <f>PedBerMedIV!AC4</f>
        <v/>
      </c>
      <c r="N10" s="721"/>
      <c r="O10" s="754"/>
      <c r="P10" s="749"/>
      <c r="Q10" s="749"/>
      <c r="R10" s="749"/>
      <c r="S10" s="754"/>
      <c r="T10" s="754"/>
      <c r="U10" s="754"/>
      <c r="V10" s="754"/>
      <c r="W10" s="754"/>
      <c r="X10" s="754"/>
      <c r="Y10" s="754"/>
      <c r="Z10" s="754"/>
      <c r="AA10" s="754"/>
      <c r="AC10" s="759"/>
      <c r="AD10" s="752">
        <f>IF(E10&lt;&gt;0,INDEX(tblMedicationContIV,PedBerMedIV!$B4,6)*(PedBerMedIV!J4/10))</f>
        <v>0</v>
      </c>
      <c r="AE10" s="752">
        <f t="shared" ref="AE10:AE18" si="0">IF(AD10&gt;=10,0,IF(AD10&gt;=1,1,IF(AD10&gt;=0,2,IF(AD10&gt;=0.1,3,IF(AD10&gt;=0.01,4,5)))))</f>
        <v>2</v>
      </c>
      <c r="AF10" s="752">
        <f t="shared" ref="AF10:AF18" si="1">ROUND(AD10,AE10)</f>
        <v>0</v>
      </c>
      <c r="AH10" s="759"/>
      <c r="AI10" s="759"/>
      <c r="AJ10" s="759"/>
      <c r="AK10" s="759"/>
      <c r="AL10" s="759"/>
      <c r="AM10" s="759"/>
      <c r="AN10" s="759"/>
      <c r="AO10" s="759"/>
      <c r="AP10" s="759"/>
      <c r="AQ10" s="759"/>
      <c r="AR10" s="759"/>
      <c r="AS10" s="759"/>
      <c r="AT10" s="759"/>
      <c r="AU10" s="759"/>
      <c r="AV10" s="759"/>
      <c r="AW10" s="759"/>
      <c r="AX10" s="759"/>
      <c r="AY10" s="759"/>
      <c r="AZ10" s="759"/>
      <c r="BA10" s="759"/>
      <c r="BB10" s="759"/>
      <c r="BC10" s="759"/>
      <c r="BD10" s="759"/>
      <c r="BE10" s="759"/>
      <c r="BF10" s="759"/>
      <c r="BG10" s="759"/>
      <c r="BH10" s="759"/>
      <c r="BI10" s="759"/>
      <c r="BJ10" s="759"/>
      <c r="BK10" s="759"/>
      <c r="BL10" s="759"/>
      <c r="BM10" s="759"/>
      <c r="BN10" s="759"/>
      <c r="BO10" s="759"/>
      <c r="BP10" s="759"/>
      <c r="BQ10" s="759"/>
      <c r="BR10" s="759"/>
      <c r="BS10" s="759"/>
      <c r="BT10" s="759"/>
      <c r="BU10" s="759"/>
      <c r="BV10" s="759"/>
      <c r="BW10" s="759"/>
      <c r="BX10" s="759"/>
      <c r="BY10" s="759"/>
      <c r="BZ10" s="759"/>
      <c r="CA10" s="759"/>
      <c r="CB10" s="759"/>
      <c r="CC10" s="759"/>
      <c r="CD10" s="759"/>
      <c r="CE10" s="759"/>
      <c r="CF10" s="759"/>
    </row>
    <row r="11" spans="1:84" ht="20.100000000000001" customHeight="1" thickTop="1" thickBot="1" x14ac:dyDescent="0.25">
      <c r="B11" s="763" t="str">
        <f>PedBerMedIV!S5</f>
        <v/>
      </c>
      <c r="C11" s="763" t="str">
        <f>PedBerMedIV!T5</f>
        <v/>
      </c>
      <c r="D11" s="732">
        <v>3</v>
      </c>
      <c r="E11" s="718">
        <f>PedBerMedIV!B5</f>
        <v>1</v>
      </c>
      <c r="F11" s="719" t="str">
        <f>PedBerMedIV!V5</f>
        <v/>
      </c>
      <c r="G11" s="719" t="str">
        <f>PedBerMedIV!W5</f>
        <v/>
      </c>
      <c r="H11" s="720"/>
      <c r="I11" s="720" t="str">
        <f>PedBerMedIV!Y5</f>
        <v/>
      </c>
      <c r="J11" s="720" t="str">
        <f>PedBerMedIV!Z5</f>
        <v/>
      </c>
      <c r="K11" s="720" t="str">
        <f>PedBerMedIV!AA5</f>
        <v/>
      </c>
      <c r="L11" s="720" t="str">
        <f>PedBerMedIV!AB5</f>
        <v/>
      </c>
      <c r="M11" s="720" t="str">
        <f>PedBerMedIV!AC5</f>
        <v/>
      </c>
      <c r="N11" s="721"/>
      <c r="O11" s="754"/>
      <c r="P11" s="749"/>
      <c r="Q11" s="749"/>
      <c r="R11" s="749"/>
      <c r="S11" s="754"/>
      <c r="T11" s="754"/>
      <c r="U11" s="754"/>
      <c r="V11" s="754"/>
      <c r="W11" s="754"/>
      <c r="X11" s="754"/>
      <c r="Y11" s="754"/>
      <c r="Z11" s="754"/>
      <c r="AA11" s="754"/>
      <c r="AC11" s="759"/>
      <c r="AD11" s="752">
        <f>IF(E11&lt;&gt;0,INDEX(tblMedicationContIV,PedBerMedIV!$B5,6)*(PedBerMedIV!J5/10))</f>
        <v>0</v>
      </c>
      <c r="AE11" s="752">
        <f t="shared" si="0"/>
        <v>2</v>
      </c>
      <c r="AF11" s="752">
        <f t="shared" si="1"/>
        <v>0</v>
      </c>
      <c r="AH11" s="759"/>
      <c r="AI11" s="759"/>
      <c r="AJ11" s="759"/>
      <c r="AK11" s="759"/>
      <c r="AL11" s="759"/>
      <c r="AM11" s="759"/>
      <c r="AN11" s="759"/>
      <c r="AO11" s="759"/>
      <c r="AP11" s="759"/>
      <c r="AQ11" s="759"/>
      <c r="AR11" s="759"/>
      <c r="AS11" s="759"/>
      <c r="AT11" s="759"/>
      <c r="AU11" s="759"/>
      <c r="AV11" s="759"/>
      <c r="AW11" s="759"/>
      <c r="AX11" s="759"/>
      <c r="AY11" s="759"/>
      <c r="AZ11" s="759"/>
      <c r="BA11" s="759"/>
      <c r="BB11" s="759"/>
      <c r="BC11" s="759"/>
      <c r="BD11" s="759"/>
      <c r="BE11" s="759"/>
      <c r="BF11" s="759"/>
      <c r="BG11" s="759"/>
      <c r="BH11" s="759"/>
      <c r="BI11" s="759"/>
      <c r="BJ11" s="759"/>
      <c r="BK11" s="759"/>
      <c r="BL11" s="759"/>
      <c r="BM11" s="759"/>
      <c r="BN11" s="759"/>
      <c r="BO11" s="759"/>
      <c r="BP11" s="759"/>
      <c r="BQ11" s="759"/>
      <c r="BR11" s="759"/>
      <c r="BS11" s="759"/>
      <c r="BT11" s="759"/>
      <c r="BU11" s="759"/>
      <c r="BV11" s="759"/>
      <c r="BW11" s="759"/>
      <c r="BX11" s="759"/>
      <c r="BY11" s="759"/>
      <c r="BZ11" s="759"/>
      <c r="CA11" s="759"/>
      <c r="CB11" s="759"/>
      <c r="CC11" s="759"/>
      <c r="CD11" s="759"/>
      <c r="CE11" s="759"/>
      <c r="CF11" s="759"/>
    </row>
    <row r="12" spans="1:84" ht="20.100000000000001" customHeight="1" thickTop="1" thickBot="1" x14ac:dyDescent="0.25">
      <c r="B12" s="763" t="str">
        <f>PedBerMedIV!S6</f>
        <v/>
      </c>
      <c r="C12" s="763" t="str">
        <f>PedBerMedIV!T6</f>
        <v/>
      </c>
      <c r="D12" s="732">
        <v>4</v>
      </c>
      <c r="E12" s="718">
        <f>PedBerMedIV!B6</f>
        <v>1</v>
      </c>
      <c r="F12" s="719" t="str">
        <f>PedBerMedIV!V6</f>
        <v/>
      </c>
      <c r="G12" s="719" t="str">
        <f>PedBerMedIV!W6</f>
        <v/>
      </c>
      <c r="H12" s="720"/>
      <c r="I12" s="720" t="str">
        <f>PedBerMedIV!Y6</f>
        <v/>
      </c>
      <c r="J12" s="720" t="str">
        <f>PedBerMedIV!Z6</f>
        <v/>
      </c>
      <c r="K12" s="720" t="str">
        <f>PedBerMedIV!AA6</f>
        <v/>
      </c>
      <c r="L12" s="720" t="str">
        <f>PedBerMedIV!AB6</f>
        <v/>
      </c>
      <c r="M12" s="720" t="str">
        <f>PedBerMedIV!AC6</f>
        <v/>
      </c>
      <c r="N12" s="721"/>
      <c r="O12" s="754"/>
      <c r="P12" s="754"/>
      <c r="Q12" s="754"/>
      <c r="R12" s="754"/>
      <c r="S12" s="754"/>
      <c r="T12" s="754"/>
      <c r="U12" s="754"/>
      <c r="V12" s="754"/>
      <c r="W12" s="754"/>
      <c r="X12" s="754"/>
      <c r="Y12" s="754"/>
      <c r="Z12" s="754"/>
      <c r="AA12" s="754"/>
      <c r="AC12" s="759"/>
      <c r="AD12" s="752">
        <f>IF(E12&lt;&gt;0,INDEX(tblMedicationContIV,PedBerMedIV!$B6,6)*(PedBerMedIV!J6/10))</f>
        <v>0</v>
      </c>
      <c r="AE12" s="752">
        <f t="shared" si="0"/>
        <v>2</v>
      </c>
      <c r="AF12" s="752">
        <f t="shared" si="1"/>
        <v>0</v>
      </c>
      <c r="AH12" s="759"/>
      <c r="AI12" s="759"/>
      <c r="AJ12" s="759"/>
      <c r="AK12" s="759"/>
      <c r="AL12" s="759"/>
      <c r="AM12" s="759"/>
      <c r="AN12" s="759"/>
      <c r="AO12" s="759"/>
      <c r="AP12" s="759"/>
      <c r="AQ12" s="759"/>
      <c r="AR12" s="759"/>
      <c r="AS12" s="759"/>
      <c r="AT12" s="759"/>
      <c r="AU12" s="759"/>
      <c r="AV12" s="759"/>
      <c r="AW12" s="759"/>
      <c r="AX12" s="759"/>
      <c r="AY12" s="759"/>
      <c r="AZ12" s="759"/>
      <c r="BA12" s="759"/>
      <c r="BB12" s="759"/>
      <c r="BC12" s="759"/>
      <c r="BD12" s="759"/>
      <c r="BE12" s="759"/>
      <c r="BF12" s="759"/>
      <c r="BG12" s="759"/>
      <c r="BH12" s="759"/>
      <c r="BI12" s="759"/>
      <c r="BJ12" s="759"/>
      <c r="BK12" s="759"/>
      <c r="BL12" s="759"/>
      <c r="BM12" s="759"/>
      <c r="BN12" s="759"/>
      <c r="BO12" s="759"/>
      <c r="BP12" s="759"/>
      <c r="BQ12" s="759"/>
      <c r="BR12" s="759"/>
      <c r="BS12" s="759"/>
      <c r="BT12" s="759"/>
      <c r="BU12" s="759"/>
      <c r="BV12" s="759"/>
      <c r="BW12" s="759"/>
      <c r="BX12" s="759"/>
      <c r="BY12" s="759"/>
      <c r="BZ12" s="759"/>
      <c r="CA12" s="759"/>
      <c r="CB12" s="759"/>
      <c r="CC12" s="759"/>
      <c r="CD12" s="759"/>
      <c r="CE12" s="759"/>
      <c r="CF12" s="759"/>
    </row>
    <row r="13" spans="1:84" ht="20.100000000000001" customHeight="1" thickTop="1" thickBot="1" x14ac:dyDescent="0.25">
      <c r="B13" s="763" t="str">
        <f>PedBerMedIV!S7</f>
        <v/>
      </c>
      <c r="C13" s="763" t="str">
        <f>PedBerMedIV!T7</f>
        <v/>
      </c>
      <c r="D13" s="732">
        <v>5</v>
      </c>
      <c r="E13" s="718">
        <f>PedBerMedIV!B7</f>
        <v>1</v>
      </c>
      <c r="F13" s="719" t="str">
        <f>PedBerMedIV!V7</f>
        <v/>
      </c>
      <c r="G13" s="719" t="str">
        <f>PedBerMedIV!W7</f>
        <v/>
      </c>
      <c r="H13" s="720"/>
      <c r="I13" s="720" t="str">
        <f>PedBerMedIV!Y7</f>
        <v/>
      </c>
      <c r="J13" s="720" t="str">
        <f>PedBerMedIV!Z7</f>
        <v/>
      </c>
      <c r="K13" s="720" t="str">
        <f>PedBerMedIV!AA7</f>
        <v/>
      </c>
      <c r="L13" s="720" t="str">
        <f>PedBerMedIV!AB7</f>
        <v/>
      </c>
      <c r="M13" s="720" t="str">
        <f>PedBerMedIV!AC7</f>
        <v/>
      </c>
      <c r="N13" s="721"/>
      <c r="O13" s="754"/>
      <c r="P13" s="754"/>
      <c r="Q13" s="754"/>
      <c r="R13" s="754"/>
      <c r="S13" s="754"/>
      <c r="T13" s="754"/>
      <c r="U13" s="754"/>
      <c r="V13" s="754"/>
      <c r="W13" s="754"/>
      <c r="X13" s="754"/>
      <c r="Y13" s="754"/>
      <c r="Z13" s="754"/>
      <c r="AA13" s="754"/>
      <c r="AC13" s="759"/>
      <c r="AD13" s="752">
        <f>IF(E13&lt;&gt;0,INDEX(tblMedicationContIV,PedBerMedIV!$B7,6)*(PedBerMedIV!J7/10))</f>
        <v>0</v>
      </c>
      <c r="AE13" s="752">
        <f t="shared" si="0"/>
        <v>2</v>
      </c>
      <c r="AF13" s="752">
        <f t="shared" si="1"/>
        <v>0</v>
      </c>
      <c r="AH13" s="759"/>
      <c r="AI13" s="759"/>
      <c r="AJ13" s="759"/>
      <c r="AK13" s="759"/>
      <c r="AL13" s="759"/>
      <c r="AM13" s="759"/>
      <c r="AN13" s="759"/>
      <c r="AO13" s="759"/>
      <c r="AP13" s="759"/>
      <c r="AQ13" s="759"/>
      <c r="AR13" s="759"/>
      <c r="AS13" s="759"/>
      <c r="AT13" s="759"/>
      <c r="AU13" s="759"/>
      <c r="AV13" s="759"/>
      <c r="AW13" s="759"/>
      <c r="AX13" s="759"/>
      <c r="AY13" s="759"/>
      <c r="AZ13" s="759"/>
      <c r="BA13" s="759"/>
      <c r="BB13" s="759"/>
      <c r="BC13" s="759"/>
      <c r="BD13" s="759"/>
      <c r="BE13" s="759"/>
      <c r="BF13" s="759"/>
      <c r="BG13" s="759"/>
      <c r="BH13" s="759"/>
      <c r="BI13" s="759"/>
      <c r="BJ13" s="759"/>
      <c r="BK13" s="759"/>
      <c r="BL13" s="759"/>
      <c r="BM13" s="759"/>
      <c r="BN13" s="759"/>
      <c r="BO13" s="759"/>
      <c r="BP13" s="759"/>
      <c r="BQ13" s="759"/>
      <c r="BR13" s="759"/>
      <c r="BS13" s="759"/>
      <c r="BT13" s="759"/>
      <c r="BU13" s="759"/>
      <c r="BV13" s="759"/>
      <c r="BW13" s="759"/>
      <c r="BX13" s="759"/>
      <c r="BY13" s="759"/>
      <c r="BZ13" s="759"/>
      <c r="CA13" s="759"/>
      <c r="CB13" s="759"/>
      <c r="CC13" s="759"/>
      <c r="CD13" s="759"/>
      <c r="CE13" s="759"/>
      <c r="CF13" s="759"/>
    </row>
    <row r="14" spans="1:84" ht="20.100000000000001" customHeight="1" thickTop="1" thickBot="1" x14ac:dyDescent="0.25">
      <c r="B14" s="763" t="str">
        <f>PedBerMedIV!S8</f>
        <v/>
      </c>
      <c r="C14" s="763" t="str">
        <f>PedBerMedIV!T8</f>
        <v/>
      </c>
      <c r="D14" s="732">
        <v>6</v>
      </c>
      <c r="E14" s="718">
        <f>PedBerMedIV!B8</f>
        <v>1</v>
      </c>
      <c r="F14" s="719" t="str">
        <f>PedBerMedIV!V8</f>
        <v/>
      </c>
      <c r="G14" s="719" t="str">
        <f>PedBerMedIV!W8</f>
        <v/>
      </c>
      <c r="H14" s="720"/>
      <c r="I14" s="720" t="str">
        <f>PedBerMedIV!Y8</f>
        <v/>
      </c>
      <c r="J14" s="720" t="str">
        <f>PedBerMedIV!Z8</f>
        <v/>
      </c>
      <c r="K14" s="720" t="str">
        <f>PedBerMedIV!AA8</f>
        <v/>
      </c>
      <c r="L14" s="720" t="str">
        <f>PedBerMedIV!AB8</f>
        <v/>
      </c>
      <c r="M14" s="720" t="str">
        <f>PedBerMedIV!AC8</f>
        <v/>
      </c>
      <c r="N14" s="721"/>
      <c r="O14" s="754"/>
      <c r="P14" s="754"/>
      <c r="Q14" s="754"/>
      <c r="R14" s="754"/>
      <c r="S14" s="754"/>
      <c r="T14" s="754"/>
      <c r="U14" s="754"/>
      <c r="V14" s="754"/>
      <c r="W14" s="754"/>
      <c r="X14" s="754"/>
      <c r="Y14" s="754"/>
      <c r="Z14" s="754"/>
      <c r="AA14" s="754"/>
      <c r="AC14" s="759"/>
      <c r="AD14" s="752">
        <f>IF(E14&lt;&gt;0,INDEX(tblMedicationContIV,PedBerMedIV!$B8,6)*(PedBerMedIV!J8/10))</f>
        <v>0</v>
      </c>
      <c r="AE14" s="752">
        <f t="shared" si="0"/>
        <v>2</v>
      </c>
      <c r="AF14" s="752">
        <f t="shared" si="1"/>
        <v>0</v>
      </c>
      <c r="AH14" s="759"/>
      <c r="AI14" s="759"/>
      <c r="AJ14" s="759"/>
      <c r="AK14" s="759"/>
      <c r="AL14" s="759"/>
      <c r="AM14" s="759"/>
      <c r="AN14" s="759"/>
      <c r="AO14" s="759"/>
      <c r="AP14" s="759"/>
      <c r="AQ14" s="759"/>
      <c r="AR14" s="759"/>
      <c r="AS14" s="759"/>
      <c r="AT14" s="759"/>
      <c r="AU14" s="759"/>
      <c r="AV14" s="759"/>
      <c r="AW14" s="759"/>
      <c r="AX14" s="759"/>
      <c r="AY14" s="759"/>
      <c r="AZ14" s="759"/>
      <c r="BA14" s="759"/>
      <c r="BB14" s="759"/>
      <c r="BC14" s="759"/>
      <c r="BD14" s="759"/>
      <c r="BE14" s="759"/>
      <c r="BF14" s="759"/>
      <c r="BG14" s="759"/>
      <c r="BH14" s="759"/>
      <c r="BI14" s="759"/>
      <c r="BJ14" s="759"/>
      <c r="BK14" s="759"/>
      <c r="BL14" s="759"/>
      <c r="BM14" s="759"/>
      <c r="BN14" s="759"/>
      <c r="BO14" s="759"/>
      <c r="BP14" s="759"/>
      <c r="BQ14" s="759"/>
      <c r="BR14" s="759"/>
      <c r="BS14" s="759"/>
      <c r="BT14" s="759"/>
      <c r="BU14" s="759"/>
      <c r="BV14" s="759"/>
      <c r="BW14" s="759"/>
      <c r="BX14" s="759"/>
      <c r="BY14" s="759"/>
      <c r="BZ14" s="759"/>
      <c r="CA14" s="759"/>
      <c r="CB14" s="759"/>
      <c r="CC14" s="759"/>
      <c r="CD14" s="759"/>
      <c r="CE14" s="759"/>
      <c r="CF14" s="759"/>
    </row>
    <row r="15" spans="1:84" ht="20.100000000000001" customHeight="1" thickTop="1" thickBot="1" x14ac:dyDescent="0.25">
      <c r="B15" s="763" t="str">
        <f>PedBerMedIV!S9</f>
        <v/>
      </c>
      <c r="C15" s="763" t="str">
        <f>PedBerMedIV!T9</f>
        <v/>
      </c>
      <c r="D15" s="732">
        <v>7</v>
      </c>
      <c r="E15" s="718">
        <f>PedBerMedIV!B9</f>
        <v>1</v>
      </c>
      <c r="F15" s="719" t="str">
        <f>PedBerMedIV!V9</f>
        <v/>
      </c>
      <c r="G15" s="719" t="str">
        <f>PedBerMedIV!W9</f>
        <v/>
      </c>
      <c r="H15" s="720"/>
      <c r="I15" s="720" t="str">
        <f>PedBerMedIV!Y9</f>
        <v/>
      </c>
      <c r="J15" s="720" t="str">
        <f>PedBerMedIV!Z9</f>
        <v/>
      </c>
      <c r="K15" s="720" t="str">
        <f>PedBerMedIV!AA9</f>
        <v/>
      </c>
      <c r="L15" s="720" t="str">
        <f>PedBerMedIV!AB9</f>
        <v/>
      </c>
      <c r="M15" s="720" t="str">
        <f>PedBerMedIV!AC9</f>
        <v/>
      </c>
      <c r="N15" s="721"/>
      <c r="O15" s="754"/>
      <c r="P15" s="754"/>
      <c r="Q15" s="754"/>
      <c r="R15" s="754"/>
      <c r="S15" s="754"/>
      <c r="T15" s="754"/>
      <c r="U15" s="754"/>
      <c r="V15" s="754"/>
      <c r="W15" s="754"/>
      <c r="X15" s="754"/>
      <c r="Y15" s="754"/>
      <c r="Z15" s="754"/>
      <c r="AA15" s="754"/>
      <c r="AC15" s="759"/>
      <c r="AD15" s="752">
        <f>IF(E15&lt;&gt;0,INDEX(tblMedicationContIV,PedBerMedIV!$B9,6)*(PedBerMedIV!J9/10))</f>
        <v>0</v>
      </c>
      <c r="AE15" s="752">
        <f t="shared" si="0"/>
        <v>2</v>
      </c>
      <c r="AF15" s="752">
        <f t="shared" si="1"/>
        <v>0</v>
      </c>
      <c r="AH15" s="759"/>
      <c r="AI15" s="759"/>
      <c r="AJ15" s="759"/>
      <c r="AK15" s="759"/>
      <c r="AL15" s="759"/>
      <c r="AM15" s="759"/>
      <c r="AN15" s="759"/>
      <c r="AO15" s="759"/>
      <c r="AP15" s="759"/>
      <c r="AQ15" s="759"/>
      <c r="AR15" s="759"/>
      <c r="AS15" s="759"/>
      <c r="AT15" s="759"/>
      <c r="AU15" s="759"/>
      <c r="AV15" s="759"/>
      <c r="AW15" s="759"/>
      <c r="AX15" s="759"/>
      <c r="AY15" s="759"/>
      <c r="AZ15" s="759"/>
      <c r="BA15" s="759"/>
      <c r="BB15" s="759"/>
      <c r="BC15" s="759"/>
      <c r="BD15" s="759"/>
      <c r="BE15" s="759"/>
      <c r="BF15" s="759"/>
      <c r="BG15" s="759"/>
      <c r="BH15" s="759"/>
      <c r="BI15" s="759"/>
      <c r="BJ15" s="759"/>
      <c r="BK15" s="759"/>
      <c r="BL15" s="759"/>
      <c r="BM15" s="759"/>
      <c r="BN15" s="759"/>
      <c r="BO15" s="759"/>
      <c r="BP15" s="759"/>
      <c r="BQ15" s="759"/>
      <c r="BR15" s="759"/>
      <c r="BS15" s="759"/>
      <c r="BT15" s="759"/>
      <c r="BU15" s="759"/>
      <c r="BV15" s="759"/>
      <c r="BW15" s="759"/>
      <c r="BX15" s="759"/>
      <c r="BY15" s="759"/>
      <c r="BZ15" s="759"/>
      <c r="CA15" s="759"/>
      <c r="CB15" s="759"/>
      <c r="CC15" s="759"/>
      <c r="CD15" s="759"/>
      <c r="CE15" s="759"/>
      <c r="CF15" s="759"/>
    </row>
    <row r="16" spans="1:84" ht="20.100000000000001" customHeight="1" thickTop="1" thickBot="1" x14ac:dyDescent="0.25">
      <c r="B16" s="763" t="str">
        <f>PedBerMedIV!S10</f>
        <v/>
      </c>
      <c r="C16" s="763" t="str">
        <f>PedBerMedIV!T10</f>
        <v/>
      </c>
      <c r="D16" s="732">
        <v>8</v>
      </c>
      <c r="E16" s="718">
        <f>PedBerMedIV!B10</f>
        <v>1</v>
      </c>
      <c r="F16" s="719" t="str">
        <f>PedBerMedIV!V10</f>
        <v/>
      </c>
      <c r="G16" s="719" t="str">
        <f>PedBerMedIV!W10</f>
        <v/>
      </c>
      <c r="H16" s="720"/>
      <c r="I16" s="720" t="str">
        <f>PedBerMedIV!Y10</f>
        <v/>
      </c>
      <c r="J16" s="720" t="str">
        <f>PedBerMedIV!Z10</f>
        <v/>
      </c>
      <c r="K16" s="720" t="str">
        <f>PedBerMedIV!AA10</f>
        <v/>
      </c>
      <c r="L16" s="720" t="str">
        <f>PedBerMedIV!AB10</f>
        <v/>
      </c>
      <c r="M16" s="720" t="str">
        <f>PedBerMedIV!AC10</f>
        <v/>
      </c>
      <c r="N16" s="721"/>
      <c r="O16" s="754"/>
      <c r="P16" s="754"/>
      <c r="Q16" s="754"/>
      <c r="R16" s="754"/>
      <c r="S16" s="754"/>
      <c r="T16" s="754"/>
      <c r="U16" s="754"/>
      <c r="V16" s="754"/>
      <c r="W16" s="754"/>
      <c r="X16" s="754"/>
      <c r="Y16" s="754"/>
      <c r="Z16" s="754"/>
      <c r="AA16" s="754"/>
      <c r="AC16" s="759"/>
      <c r="AD16" s="752">
        <f>IF(E16&lt;&gt;0,INDEX(tblMedicationContIV,PedBerMedIV!$B10,6)*(PedBerMedIV!J10/10))</f>
        <v>0</v>
      </c>
      <c r="AE16" s="752">
        <f t="shared" si="0"/>
        <v>2</v>
      </c>
      <c r="AF16" s="752">
        <f t="shared" si="1"/>
        <v>0</v>
      </c>
      <c r="AH16" s="759"/>
      <c r="AI16" s="759"/>
      <c r="AJ16" s="759"/>
      <c r="AK16" s="759"/>
      <c r="AL16" s="759"/>
      <c r="AM16" s="759"/>
      <c r="AN16" s="759"/>
      <c r="AO16" s="759"/>
      <c r="AP16" s="759"/>
      <c r="AQ16" s="759"/>
      <c r="AR16" s="759"/>
      <c r="AS16" s="759"/>
      <c r="AT16" s="759"/>
      <c r="AU16" s="759"/>
      <c r="AV16" s="759"/>
      <c r="AW16" s="759"/>
      <c r="AX16" s="759"/>
      <c r="AY16" s="759"/>
      <c r="AZ16" s="759"/>
      <c r="BA16" s="759"/>
      <c r="BB16" s="759"/>
      <c r="BC16" s="759"/>
      <c r="BD16" s="759"/>
      <c r="BE16" s="759"/>
      <c r="BF16" s="759"/>
      <c r="BG16" s="759"/>
      <c r="BH16" s="759"/>
      <c r="BI16" s="759"/>
      <c r="BJ16" s="759"/>
      <c r="BK16" s="759"/>
      <c r="BL16" s="759"/>
      <c r="BM16" s="759"/>
      <c r="BN16" s="759"/>
      <c r="BO16" s="759"/>
      <c r="BP16" s="759"/>
      <c r="BQ16" s="759"/>
      <c r="BR16" s="759"/>
      <c r="BS16" s="759"/>
      <c r="BT16" s="759"/>
      <c r="BU16" s="759"/>
      <c r="BV16" s="759"/>
      <c r="BW16" s="759"/>
      <c r="BX16" s="759"/>
      <c r="BY16" s="759"/>
      <c r="BZ16" s="759"/>
      <c r="CA16" s="759"/>
      <c r="CB16" s="759"/>
      <c r="CC16" s="759"/>
      <c r="CD16" s="759"/>
      <c r="CE16" s="759"/>
      <c r="CF16" s="759"/>
    </row>
    <row r="17" spans="2:84" ht="20.100000000000001" customHeight="1" thickTop="1" thickBot="1" x14ac:dyDescent="0.25">
      <c r="B17" s="763" t="str">
        <f>PedBerMedIV!S11</f>
        <v/>
      </c>
      <c r="C17" s="763" t="str">
        <f>PedBerMedIV!T11</f>
        <v/>
      </c>
      <c r="D17" s="732">
        <v>9</v>
      </c>
      <c r="E17" s="718">
        <f>PedBerMedIV!B11</f>
        <v>1</v>
      </c>
      <c r="F17" s="719" t="str">
        <f>PedBerMedIV!V11</f>
        <v/>
      </c>
      <c r="G17" s="719" t="str">
        <f>PedBerMedIV!W11</f>
        <v/>
      </c>
      <c r="H17" s="720"/>
      <c r="I17" s="720" t="str">
        <f>PedBerMedIV!Y11</f>
        <v/>
      </c>
      <c r="J17" s="720" t="str">
        <f>PedBerMedIV!Z11</f>
        <v/>
      </c>
      <c r="K17" s="720" t="str">
        <f>PedBerMedIV!AA11</f>
        <v/>
      </c>
      <c r="L17" s="720" t="str">
        <f>PedBerMedIV!AB11</f>
        <v/>
      </c>
      <c r="M17" s="720" t="str">
        <f>PedBerMedIV!AC11</f>
        <v/>
      </c>
      <c r="N17" s="721"/>
      <c r="O17" s="754"/>
      <c r="P17" s="754"/>
      <c r="Q17" s="754"/>
      <c r="R17" s="754"/>
      <c r="S17" s="754"/>
      <c r="T17" s="754"/>
      <c r="U17" s="754"/>
      <c r="V17" s="754"/>
      <c r="W17" s="754"/>
      <c r="X17" s="754"/>
      <c r="Y17" s="754"/>
      <c r="Z17" s="754"/>
      <c r="AA17" s="754"/>
      <c r="AC17" s="759"/>
      <c r="AD17" s="752">
        <f>IF(E17&lt;&gt;0,INDEX(tblMedicationContIV,PedBerMedIV!$B11,6)*(PedBerMedIV!J11/10))</f>
        <v>0</v>
      </c>
      <c r="AE17" s="752">
        <f t="shared" si="0"/>
        <v>2</v>
      </c>
      <c r="AF17" s="752">
        <f t="shared" si="1"/>
        <v>0</v>
      </c>
      <c r="AH17" s="759"/>
      <c r="AI17" s="759"/>
      <c r="AJ17" s="759"/>
      <c r="AK17" s="759"/>
      <c r="AL17" s="759"/>
      <c r="AM17" s="759"/>
      <c r="AN17" s="759"/>
      <c r="AO17" s="759"/>
      <c r="AP17" s="759"/>
      <c r="AQ17" s="759"/>
      <c r="AR17" s="759"/>
      <c r="AS17" s="759"/>
      <c r="AT17" s="759"/>
      <c r="AU17" s="759"/>
      <c r="AV17" s="759"/>
      <c r="AW17" s="759"/>
      <c r="AX17" s="759"/>
      <c r="AY17" s="759"/>
      <c r="AZ17" s="759"/>
      <c r="BA17" s="759"/>
      <c r="BB17" s="759"/>
      <c r="BC17" s="759"/>
      <c r="BD17" s="759"/>
      <c r="BE17" s="759"/>
      <c r="BF17" s="759"/>
      <c r="BG17" s="759"/>
      <c r="BH17" s="759"/>
      <c r="BI17" s="759"/>
      <c r="BJ17" s="759"/>
      <c r="BK17" s="759"/>
      <c r="BL17" s="759"/>
      <c r="BM17" s="759"/>
      <c r="BN17" s="759"/>
      <c r="BO17" s="759"/>
      <c r="BP17" s="759"/>
      <c r="BQ17" s="759"/>
      <c r="BR17" s="759"/>
      <c r="BS17" s="759"/>
      <c r="BT17" s="759"/>
      <c r="BU17" s="759"/>
      <c r="BV17" s="759"/>
      <c r="BW17" s="759"/>
      <c r="BX17" s="759"/>
      <c r="BY17" s="759"/>
      <c r="BZ17" s="759"/>
      <c r="CA17" s="759"/>
      <c r="CB17" s="759"/>
      <c r="CC17" s="759"/>
      <c r="CD17" s="759"/>
      <c r="CE17" s="759"/>
      <c r="CF17" s="759"/>
    </row>
    <row r="18" spans="2:84" ht="20.100000000000001" customHeight="1" thickTop="1" thickBot="1" x14ac:dyDescent="0.25">
      <c r="B18" s="763" t="str">
        <f>PedBerMedIV!S12</f>
        <v/>
      </c>
      <c r="C18" s="763" t="str">
        <f>PedBerMedIV!T12</f>
        <v/>
      </c>
      <c r="D18" s="732">
        <v>10</v>
      </c>
      <c r="E18" s="718">
        <f>PedBerMedIV!B12</f>
        <v>1</v>
      </c>
      <c r="F18" s="719" t="str">
        <f>PedBerMedIV!V12</f>
        <v/>
      </c>
      <c r="G18" s="719" t="str">
        <f>PedBerMedIV!W12</f>
        <v/>
      </c>
      <c r="H18" s="720"/>
      <c r="I18" s="720" t="str">
        <f>PedBerMedIV!Y12</f>
        <v/>
      </c>
      <c r="J18" s="720" t="str">
        <f>PedBerMedIV!Z12</f>
        <v/>
      </c>
      <c r="K18" s="720" t="str">
        <f>PedBerMedIV!AA12</f>
        <v/>
      </c>
      <c r="L18" s="720" t="str">
        <f>PedBerMedIV!AB12</f>
        <v/>
      </c>
      <c r="M18" s="720" t="str">
        <f>PedBerMedIV!AC12</f>
        <v/>
      </c>
      <c r="N18" s="721"/>
      <c r="O18" s="754"/>
      <c r="P18" s="754"/>
      <c r="Q18" s="754"/>
      <c r="R18" s="754"/>
      <c r="S18" s="754"/>
      <c r="T18" s="754"/>
      <c r="U18" s="754"/>
      <c r="V18" s="754"/>
      <c r="W18" s="754"/>
      <c r="X18" s="754"/>
      <c r="Y18" s="754"/>
      <c r="Z18" s="754"/>
      <c r="AA18" s="754"/>
      <c r="AC18" s="759"/>
      <c r="AD18" s="752">
        <f>IF(E18&lt;&gt;0,INDEX(tblMedicationContIV,PedBerMedIV!$B12,6)*(PedBerMedIV!J12/10))</f>
        <v>0</v>
      </c>
      <c r="AE18" s="752">
        <f t="shared" si="0"/>
        <v>2</v>
      </c>
      <c r="AF18" s="752">
        <f t="shared" si="1"/>
        <v>0</v>
      </c>
      <c r="AH18" s="759"/>
      <c r="AI18" s="759"/>
      <c r="AJ18" s="759"/>
      <c r="AK18" s="759"/>
      <c r="AL18" s="759"/>
      <c r="AM18" s="759"/>
      <c r="AN18" s="759"/>
      <c r="AO18" s="759"/>
      <c r="AP18" s="759"/>
      <c r="AQ18" s="759"/>
      <c r="AR18" s="759"/>
      <c r="AS18" s="759"/>
      <c r="AT18" s="759"/>
      <c r="AU18" s="759"/>
      <c r="AV18" s="759"/>
      <c r="AW18" s="759"/>
      <c r="AX18" s="759"/>
      <c r="AY18" s="759"/>
      <c r="AZ18" s="759"/>
      <c r="BA18" s="759"/>
      <c r="BB18" s="759"/>
      <c r="BC18" s="759"/>
      <c r="BD18" s="759"/>
      <c r="BE18" s="759"/>
      <c r="BF18" s="759"/>
      <c r="BG18" s="759"/>
      <c r="BH18" s="759"/>
      <c r="BI18" s="759"/>
      <c r="BJ18" s="759"/>
      <c r="BK18" s="759"/>
      <c r="BL18" s="759"/>
      <c r="BM18" s="759"/>
      <c r="BN18" s="759"/>
      <c r="BO18" s="759"/>
      <c r="BP18" s="759"/>
      <c r="BQ18" s="759"/>
      <c r="BR18" s="759"/>
      <c r="BS18" s="759"/>
      <c r="BT18" s="759"/>
      <c r="BU18" s="759"/>
      <c r="BV18" s="759"/>
      <c r="BW18" s="759"/>
      <c r="BX18" s="759"/>
      <c r="BY18" s="759"/>
      <c r="BZ18" s="759"/>
      <c r="CA18" s="759"/>
      <c r="CB18" s="759"/>
      <c r="CC18" s="759"/>
      <c r="CD18" s="759"/>
      <c r="CE18" s="759"/>
      <c r="CF18" s="759"/>
    </row>
    <row r="19" spans="2:84" ht="20.100000000000001" customHeight="1" thickTop="1" thickBot="1" x14ac:dyDescent="0.25">
      <c r="B19" s="763" t="str">
        <f>PedBerMedIV!S13</f>
        <v/>
      </c>
      <c r="C19" s="763" t="str">
        <f>PedBerMedIV!T13</f>
        <v/>
      </c>
      <c r="D19" s="732">
        <v>11</v>
      </c>
      <c r="E19" s="718">
        <f>PedBerMedIV!B13</f>
        <v>1</v>
      </c>
      <c r="F19" s="719" t="str">
        <f>PedBerMedIV!V13</f>
        <v/>
      </c>
      <c r="G19" s="719" t="str">
        <f>PedBerMedIV!W13</f>
        <v/>
      </c>
      <c r="H19" s="720"/>
      <c r="I19" s="720" t="str">
        <f>PedBerMedIV!Y13</f>
        <v/>
      </c>
      <c r="J19" s="720" t="str">
        <f>PedBerMedIV!Z13</f>
        <v/>
      </c>
      <c r="K19" s="720" t="str">
        <f>PedBerMedIV!AA13</f>
        <v/>
      </c>
      <c r="L19" s="720" t="str">
        <f>PedBerMedIV!AB13</f>
        <v/>
      </c>
      <c r="M19" s="720" t="str">
        <f>PedBerMedIV!AC13</f>
        <v/>
      </c>
      <c r="N19" s="721"/>
      <c r="O19" s="754"/>
      <c r="P19" s="754"/>
      <c r="Q19" s="754"/>
      <c r="R19" s="754"/>
      <c r="S19" s="754"/>
      <c r="T19" s="754"/>
      <c r="U19" s="754"/>
      <c r="V19" s="754"/>
      <c r="W19" s="754"/>
      <c r="X19" s="754"/>
      <c r="Y19" s="754"/>
      <c r="Z19" s="754"/>
      <c r="AA19" s="754"/>
      <c r="AC19" s="759"/>
      <c r="AH19" s="759"/>
      <c r="AI19" s="759"/>
      <c r="AJ19" s="759"/>
      <c r="AK19" s="759"/>
      <c r="AL19" s="759"/>
      <c r="AM19" s="759"/>
      <c r="AN19" s="759"/>
      <c r="AO19" s="759"/>
      <c r="AP19" s="759"/>
      <c r="AQ19" s="759"/>
      <c r="AR19" s="759"/>
      <c r="AS19" s="759"/>
      <c r="AT19" s="759"/>
      <c r="AU19" s="759"/>
      <c r="AV19" s="759"/>
      <c r="AW19" s="759"/>
      <c r="AX19" s="759"/>
      <c r="AY19" s="759"/>
      <c r="AZ19" s="759"/>
      <c r="BA19" s="759"/>
      <c r="BB19" s="759"/>
      <c r="BC19" s="759"/>
      <c r="BD19" s="759"/>
      <c r="BE19" s="759"/>
      <c r="BF19" s="759"/>
      <c r="BG19" s="759"/>
      <c r="BH19" s="759"/>
      <c r="BI19" s="759"/>
      <c r="BJ19" s="759"/>
      <c r="BK19" s="759"/>
      <c r="BL19" s="759"/>
      <c r="BM19" s="759"/>
      <c r="BN19" s="759"/>
      <c r="BO19" s="759"/>
      <c r="BP19" s="759"/>
      <c r="BQ19" s="759"/>
      <c r="BR19" s="759"/>
      <c r="BS19" s="759"/>
      <c r="BT19" s="759"/>
      <c r="BU19" s="759"/>
      <c r="BV19" s="759"/>
      <c r="BW19" s="759"/>
      <c r="BX19" s="759"/>
      <c r="BY19" s="759"/>
      <c r="BZ19" s="759"/>
      <c r="CA19" s="759"/>
      <c r="CB19" s="759"/>
      <c r="CC19" s="759"/>
      <c r="CD19" s="759"/>
      <c r="CE19" s="759"/>
      <c r="CF19" s="759"/>
    </row>
    <row r="20" spans="2:84" ht="20.100000000000001" customHeight="1" thickTop="1" thickBot="1" x14ac:dyDescent="0.25">
      <c r="B20" s="763" t="str">
        <f>PedBerMedIV!S14</f>
        <v/>
      </c>
      <c r="C20" s="763" t="str">
        <f>PedBerMedIV!T14</f>
        <v/>
      </c>
      <c r="D20" s="732">
        <v>12</v>
      </c>
      <c r="E20" s="718">
        <f>PedBerMedIV!B14</f>
        <v>1</v>
      </c>
      <c r="F20" s="719" t="str">
        <f>PedBerMedIV!V14</f>
        <v/>
      </c>
      <c r="G20" s="719" t="str">
        <f>PedBerMedIV!W14</f>
        <v/>
      </c>
      <c r="H20" s="720"/>
      <c r="I20" s="720" t="str">
        <f>PedBerMedIV!Y14</f>
        <v/>
      </c>
      <c r="J20" s="720" t="str">
        <f>PedBerMedIV!Z14</f>
        <v/>
      </c>
      <c r="K20" s="720" t="str">
        <f>PedBerMedIV!AA14</f>
        <v/>
      </c>
      <c r="L20" s="720" t="str">
        <f>PedBerMedIV!AB14</f>
        <v/>
      </c>
      <c r="M20" s="720" t="str">
        <f>PedBerMedIV!AC14</f>
        <v/>
      </c>
      <c r="N20" s="721"/>
      <c r="O20" s="754"/>
      <c r="P20" s="754"/>
      <c r="Q20" s="754"/>
      <c r="R20" s="754"/>
      <c r="S20" s="754"/>
      <c r="T20" s="754"/>
      <c r="U20" s="754"/>
      <c r="V20" s="754"/>
      <c r="W20" s="754"/>
      <c r="X20" s="754"/>
      <c r="Y20" s="754"/>
      <c r="Z20" s="754"/>
      <c r="AA20" s="754"/>
      <c r="AC20" s="759"/>
      <c r="AH20" s="759"/>
      <c r="AI20" s="759"/>
      <c r="AJ20" s="759"/>
      <c r="AK20" s="759"/>
      <c r="AL20" s="759"/>
      <c r="AM20" s="759"/>
      <c r="AN20" s="759"/>
      <c r="AO20" s="759"/>
      <c r="AP20" s="759"/>
      <c r="AQ20" s="759"/>
      <c r="AR20" s="759"/>
      <c r="AS20" s="759"/>
      <c r="AT20" s="759"/>
      <c r="AU20" s="759"/>
      <c r="AV20" s="759"/>
      <c r="AW20" s="759"/>
      <c r="AX20" s="759"/>
      <c r="AY20" s="759"/>
      <c r="AZ20" s="759"/>
      <c r="BA20" s="759"/>
      <c r="BB20" s="759"/>
      <c r="BC20" s="759"/>
      <c r="BD20" s="759"/>
      <c r="BE20" s="759"/>
      <c r="BF20" s="759"/>
      <c r="BG20" s="759"/>
      <c r="BH20" s="759"/>
      <c r="BI20" s="759"/>
      <c r="BJ20" s="759"/>
      <c r="BK20" s="759"/>
      <c r="BL20" s="759"/>
      <c r="BM20" s="759"/>
      <c r="BN20" s="759"/>
      <c r="BO20" s="759"/>
      <c r="BP20" s="759"/>
      <c r="BQ20" s="759"/>
      <c r="BR20" s="759"/>
      <c r="BS20" s="759"/>
      <c r="BT20" s="759"/>
      <c r="BU20" s="759"/>
      <c r="BV20" s="759"/>
      <c r="BW20" s="759"/>
      <c r="BX20" s="759"/>
      <c r="BY20" s="759"/>
      <c r="BZ20" s="759"/>
      <c r="CA20" s="759"/>
      <c r="CB20" s="759"/>
      <c r="CC20" s="759"/>
      <c r="CD20" s="759"/>
      <c r="CE20" s="759"/>
      <c r="CF20" s="759"/>
    </row>
    <row r="21" spans="2:84" ht="20.100000000000001" customHeight="1" thickTop="1" thickBot="1" x14ac:dyDescent="0.25">
      <c r="B21" s="763" t="str">
        <f>PedBerMedIV!S15</f>
        <v/>
      </c>
      <c r="C21" s="763" t="str">
        <f>PedBerMedIV!T15</f>
        <v/>
      </c>
      <c r="D21" s="732">
        <v>13</v>
      </c>
      <c r="E21" s="718">
        <f>PedBerMedIV!B15</f>
        <v>1</v>
      </c>
      <c r="F21" s="719" t="str">
        <f>PedBerMedIV!V15</f>
        <v/>
      </c>
      <c r="G21" s="719" t="str">
        <f>PedBerMedIV!W15</f>
        <v/>
      </c>
      <c r="H21" s="720"/>
      <c r="I21" s="720" t="str">
        <f>PedBerMedIV!Y15</f>
        <v/>
      </c>
      <c r="J21" s="720" t="str">
        <f>PedBerMedIV!Z15</f>
        <v/>
      </c>
      <c r="K21" s="720" t="str">
        <f>PedBerMedIV!AA15</f>
        <v/>
      </c>
      <c r="L21" s="720" t="str">
        <f>PedBerMedIV!AB15</f>
        <v/>
      </c>
      <c r="M21" s="720" t="str">
        <f>PedBerMedIV!AC15</f>
        <v/>
      </c>
      <c r="N21" s="721"/>
      <c r="O21" s="754"/>
      <c r="P21" s="754"/>
      <c r="Q21" s="754"/>
      <c r="R21" s="754"/>
      <c r="S21" s="754"/>
      <c r="T21" s="754"/>
      <c r="U21" s="754"/>
      <c r="V21" s="754"/>
      <c r="W21" s="754"/>
      <c r="X21" s="754"/>
      <c r="Y21" s="754"/>
      <c r="Z21" s="754"/>
      <c r="AA21" s="754"/>
      <c r="AC21" s="759"/>
      <c r="AH21" s="759"/>
      <c r="AI21" s="759"/>
      <c r="AJ21" s="759"/>
      <c r="AK21" s="759"/>
      <c r="AL21" s="759"/>
      <c r="AM21" s="759"/>
      <c r="AN21" s="759"/>
      <c r="AO21" s="759"/>
      <c r="AP21" s="759"/>
      <c r="AQ21" s="759"/>
      <c r="AR21" s="759"/>
      <c r="AS21" s="759"/>
      <c r="AT21" s="759"/>
      <c r="AU21" s="759"/>
      <c r="AV21" s="759"/>
      <c r="AW21" s="759"/>
      <c r="AX21" s="759"/>
      <c r="AY21" s="759"/>
      <c r="AZ21" s="759"/>
      <c r="BA21" s="759"/>
      <c r="BB21" s="759"/>
      <c r="BC21" s="759"/>
      <c r="BD21" s="759"/>
      <c r="BE21" s="759"/>
      <c r="BF21" s="759"/>
      <c r="BG21" s="759"/>
      <c r="BH21" s="759"/>
      <c r="BI21" s="759"/>
      <c r="BJ21" s="759"/>
      <c r="BK21" s="759"/>
      <c r="BL21" s="759"/>
      <c r="BM21" s="759"/>
      <c r="BN21" s="759"/>
      <c r="BO21" s="759"/>
      <c r="BP21" s="759"/>
      <c r="BQ21" s="759"/>
      <c r="BR21" s="759"/>
      <c r="BS21" s="759"/>
      <c r="BT21" s="759"/>
      <c r="BU21" s="759"/>
      <c r="BV21" s="759"/>
      <c r="BW21" s="759"/>
      <c r="BX21" s="759"/>
      <c r="BY21" s="759"/>
      <c r="BZ21" s="759"/>
      <c r="CA21" s="759"/>
      <c r="CB21" s="759"/>
      <c r="CC21" s="759"/>
      <c r="CD21" s="759"/>
      <c r="CE21" s="759"/>
      <c r="CF21" s="759"/>
    </row>
    <row r="22" spans="2:84" ht="20.100000000000001" customHeight="1" thickTop="1" thickBot="1" x14ac:dyDescent="0.25">
      <c r="B22" s="763" t="str">
        <f>PedBerMedIV!S16</f>
        <v/>
      </c>
      <c r="C22" s="763" t="str">
        <f>PedBerMedIV!T16</f>
        <v/>
      </c>
      <c r="D22" s="732">
        <v>14</v>
      </c>
      <c r="E22" s="718">
        <f>PedBerMedIV!B16</f>
        <v>1</v>
      </c>
      <c r="F22" s="719" t="str">
        <f>PedBerMedIV!V16</f>
        <v/>
      </c>
      <c r="G22" s="719" t="str">
        <f>PedBerMedIV!W16</f>
        <v/>
      </c>
      <c r="H22" s="720"/>
      <c r="I22" s="720" t="str">
        <f>PedBerMedIV!Y16</f>
        <v/>
      </c>
      <c r="J22" s="720" t="str">
        <f>PedBerMedIV!Z16</f>
        <v/>
      </c>
      <c r="K22" s="720" t="str">
        <f>PedBerMedIV!AA16</f>
        <v/>
      </c>
      <c r="L22" s="720" t="str">
        <f>PedBerMedIV!AB16</f>
        <v/>
      </c>
      <c r="M22" s="720" t="str">
        <f>PedBerMedIV!AC16</f>
        <v/>
      </c>
      <c r="N22" s="721"/>
      <c r="O22" s="754"/>
      <c r="P22" s="754"/>
      <c r="Q22" s="754"/>
      <c r="R22" s="754"/>
      <c r="S22" s="754"/>
      <c r="T22" s="754"/>
      <c r="U22" s="754"/>
      <c r="V22" s="754"/>
      <c r="W22" s="754"/>
      <c r="X22" s="754"/>
      <c r="Y22" s="754"/>
      <c r="Z22" s="754"/>
      <c r="AA22" s="754"/>
      <c r="AC22" s="759"/>
      <c r="AH22" s="759"/>
      <c r="AI22" s="759"/>
      <c r="AJ22" s="759"/>
      <c r="AK22" s="759"/>
      <c r="AL22" s="759"/>
      <c r="AM22" s="759"/>
      <c r="AN22" s="759"/>
      <c r="AO22" s="759"/>
      <c r="AP22" s="759"/>
      <c r="AQ22" s="759"/>
      <c r="AR22" s="759"/>
      <c r="AS22" s="759"/>
      <c r="AT22" s="759"/>
      <c r="AU22" s="759"/>
      <c r="AV22" s="759"/>
      <c r="AW22" s="759"/>
      <c r="AX22" s="759"/>
      <c r="AY22" s="759"/>
      <c r="AZ22" s="759"/>
      <c r="BA22" s="759"/>
      <c r="BB22" s="759"/>
      <c r="BC22" s="759"/>
      <c r="BD22" s="759"/>
      <c r="BE22" s="759"/>
      <c r="BF22" s="759"/>
      <c r="BG22" s="759"/>
      <c r="BH22" s="759"/>
      <c r="BI22" s="759"/>
      <c r="BJ22" s="759"/>
      <c r="BK22" s="759"/>
      <c r="BL22" s="759"/>
      <c r="BM22" s="759"/>
      <c r="BN22" s="759"/>
      <c r="BO22" s="759"/>
      <c r="BP22" s="759"/>
      <c r="BQ22" s="759"/>
      <c r="BR22" s="759"/>
      <c r="BS22" s="759"/>
      <c r="BT22" s="759"/>
      <c r="BU22" s="759"/>
      <c r="BV22" s="759"/>
      <c r="BW22" s="759"/>
      <c r="BX22" s="759"/>
      <c r="BY22" s="759"/>
      <c r="BZ22" s="759"/>
      <c r="CA22" s="759"/>
      <c r="CB22" s="759"/>
      <c r="CC22" s="759"/>
      <c r="CD22" s="759"/>
      <c r="CE22" s="759"/>
      <c r="CF22" s="759"/>
    </row>
    <row r="23" spans="2:84" ht="20.100000000000001" customHeight="1" thickTop="1" thickBot="1" x14ac:dyDescent="0.25">
      <c r="B23" s="763" t="str">
        <f>PedBerMedIV!S17</f>
        <v/>
      </c>
      <c r="C23" s="763" t="str">
        <f>PedBerMedIV!T17</f>
        <v/>
      </c>
      <c r="D23" s="732">
        <v>15</v>
      </c>
      <c r="E23" s="722">
        <f>PedBerMedIV!B17</f>
        <v>1</v>
      </c>
      <c r="F23" s="723" t="str">
        <f>PedBerMedIV!V17</f>
        <v/>
      </c>
      <c r="G23" s="723" t="str">
        <f>PedBerMedIV!W17</f>
        <v/>
      </c>
      <c r="H23" s="724"/>
      <c r="I23" s="724" t="str">
        <f>PedBerMedIV!Y17</f>
        <v/>
      </c>
      <c r="J23" s="724" t="str">
        <f>PedBerMedIV!Z17</f>
        <v/>
      </c>
      <c r="K23" s="724" t="str">
        <f>PedBerMedIV!AA17</f>
        <v/>
      </c>
      <c r="L23" s="724" t="str">
        <f>PedBerMedIV!AB17</f>
        <v/>
      </c>
      <c r="M23" s="724" t="str">
        <f>PedBerMedIV!AC17</f>
        <v/>
      </c>
      <c r="N23" s="725"/>
      <c r="O23" s="754"/>
      <c r="P23" s="754"/>
      <c r="Q23" s="754"/>
      <c r="R23" s="754"/>
      <c r="S23" s="754"/>
      <c r="T23" s="754"/>
      <c r="U23" s="754"/>
      <c r="V23" s="754"/>
      <c r="W23" s="754"/>
      <c r="X23" s="754"/>
      <c r="Y23" s="754"/>
      <c r="Z23" s="754"/>
      <c r="AA23" s="754"/>
      <c r="AC23" s="759"/>
      <c r="AH23" s="759"/>
      <c r="AI23" s="759"/>
      <c r="AJ23" s="759"/>
      <c r="AK23" s="759"/>
      <c r="AL23" s="759"/>
      <c r="AM23" s="759"/>
      <c r="AN23" s="759"/>
      <c r="AO23" s="759"/>
      <c r="AP23" s="759"/>
      <c r="AQ23" s="759"/>
      <c r="AR23" s="759"/>
      <c r="AS23" s="759"/>
      <c r="AT23" s="759"/>
      <c r="AU23" s="759"/>
      <c r="AV23" s="759"/>
      <c r="AW23" s="759"/>
      <c r="AX23" s="759"/>
      <c r="AY23" s="759"/>
      <c r="AZ23" s="759"/>
      <c r="BA23" s="759"/>
      <c r="BB23" s="759"/>
      <c r="BC23" s="759"/>
      <c r="BD23" s="759"/>
      <c r="BE23" s="759"/>
      <c r="BF23" s="759"/>
      <c r="BG23" s="759"/>
      <c r="BH23" s="759"/>
      <c r="BI23" s="759"/>
      <c r="BJ23" s="759"/>
      <c r="BK23" s="759"/>
      <c r="BL23" s="759"/>
      <c r="BM23" s="759"/>
      <c r="BN23" s="759"/>
      <c r="BO23" s="759"/>
      <c r="BP23" s="759"/>
      <c r="BQ23" s="759"/>
      <c r="BR23" s="759"/>
      <c r="BS23" s="759"/>
      <c r="BT23" s="759"/>
      <c r="BU23" s="759"/>
      <c r="BV23" s="759"/>
      <c r="BW23" s="759"/>
      <c r="BX23" s="759"/>
      <c r="BY23" s="759"/>
      <c r="BZ23" s="759"/>
      <c r="CA23" s="759"/>
      <c r="CB23" s="759"/>
      <c r="CC23" s="759"/>
      <c r="CD23" s="759"/>
      <c r="CE23" s="759"/>
      <c r="CF23" s="759"/>
    </row>
    <row r="24" spans="2:84" ht="20.100000000000001" customHeight="1" thickTop="1" x14ac:dyDescent="0.2">
      <c r="C24" s="754"/>
      <c r="D24" s="764"/>
      <c r="E24" s="765"/>
      <c r="F24" s="765"/>
      <c r="G24" s="750"/>
      <c r="H24" s="750"/>
      <c r="I24" s="750"/>
      <c r="J24" s="750"/>
      <c r="K24" s="750"/>
      <c r="L24" s="754"/>
      <c r="M24" s="766"/>
      <c r="N24" s="754"/>
      <c r="O24" s="754"/>
      <c r="P24" s="754"/>
      <c r="Q24" s="754"/>
      <c r="R24" s="754"/>
      <c r="S24" s="754"/>
      <c r="T24" s="754"/>
      <c r="U24" s="754"/>
      <c r="V24" s="754"/>
      <c r="W24" s="754"/>
      <c r="X24" s="754"/>
      <c r="Y24" s="754"/>
      <c r="Z24" s="754"/>
      <c r="AA24" s="754"/>
      <c r="AC24" s="759"/>
      <c r="AH24" s="759"/>
      <c r="AI24" s="759"/>
      <c r="AJ24" s="759"/>
      <c r="AK24" s="759"/>
      <c r="AL24" s="759"/>
      <c r="AM24" s="759"/>
      <c r="AN24" s="759"/>
      <c r="AO24" s="759"/>
      <c r="AP24" s="759"/>
      <c r="AQ24" s="759"/>
      <c r="AR24" s="759"/>
      <c r="AS24" s="759"/>
      <c r="AT24" s="759"/>
      <c r="AU24" s="759"/>
      <c r="AV24" s="759"/>
      <c r="AW24" s="759"/>
      <c r="AX24" s="759"/>
      <c r="AY24" s="759"/>
      <c r="AZ24" s="759"/>
      <c r="BA24" s="759"/>
      <c r="BB24" s="759"/>
      <c r="BC24" s="759"/>
      <c r="BD24" s="759"/>
      <c r="BE24" s="759"/>
      <c r="BF24" s="759"/>
      <c r="BG24" s="759"/>
      <c r="BH24" s="759"/>
      <c r="BI24" s="759"/>
      <c r="BJ24" s="759"/>
      <c r="BK24" s="759"/>
      <c r="BL24" s="759"/>
      <c r="BM24" s="759"/>
      <c r="BN24" s="759"/>
      <c r="BO24" s="759"/>
      <c r="BP24" s="759"/>
      <c r="BQ24" s="759"/>
      <c r="BR24" s="759"/>
      <c r="BS24" s="759"/>
      <c r="BT24" s="759"/>
      <c r="BU24" s="759"/>
      <c r="BV24" s="759"/>
      <c r="BW24" s="759"/>
      <c r="BX24" s="759"/>
      <c r="BY24" s="759"/>
      <c r="BZ24" s="759"/>
      <c r="CA24" s="759"/>
      <c r="CB24" s="759"/>
      <c r="CC24" s="759"/>
      <c r="CD24" s="759"/>
      <c r="CE24" s="759"/>
      <c r="CF24" s="759"/>
    </row>
    <row r="25" spans="2:84" ht="20.100000000000001" customHeight="1" thickBot="1" x14ac:dyDescent="0.25">
      <c r="B25" s="763" t="str">
        <f>PedBerMedIV!S18</f>
        <v/>
      </c>
      <c r="C25" s="754"/>
      <c r="D25" s="732">
        <v>16</v>
      </c>
      <c r="E25" s="726" t="str">
        <f>PedBerMedIV!U18</f>
        <v/>
      </c>
      <c r="F25" s="727">
        <f>PedBerMedIV!V18</f>
        <v>0</v>
      </c>
      <c r="G25" s="716" t="str">
        <f>PedBerMedIV!W18</f>
        <v/>
      </c>
      <c r="H25" s="716"/>
      <c r="I25" s="716" t="str">
        <f>PedBerMedIV!Y18</f>
        <v/>
      </c>
      <c r="J25" s="716" t="str">
        <f>PedBerMedIV!Z18</f>
        <v/>
      </c>
      <c r="K25" s="716"/>
      <c r="L25" s="716" t="str">
        <f>IF(PedBerMedIV!K18&lt;&gt;0,PedBerMedIV!K18&amp;" ml","")</f>
        <v/>
      </c>
      <c r="M25" s="716"/>
      <c r="N25" s="717"/>
      <c r="O25" s="754"/>
      <c r="P25" s="754"/>
      <c r="Q25" s="754"/>
      <c r="R25" s="754"/>
      <c r="S25" s="754"/>
      <c r="T25" s="754"/>
      <c r="U25" s="754"/>
      <c r="V25" s="754"/>
      <c r="W25" s="754"/>
      <c r="X25" s="754"/>
      <c r="Y25" s="754"/>
      <c r="Z25" s="754"/>
      <c r="AA25" s="754"/>
      <c r="AC25" s="759"/>
      <c r="AD25" s="759"/>
      <c r="AE25" s="759"/>
      <c r="AF25" s="759"/>
      <c r="AG25" s="759"/>
      <c r="AH25" s="759"/>
      <c r="AI25" s="759"/>
      <c r="AJ25" s="759"/>
      <c r="AK25" s="759"/>
      <c r="AL25" s="759"/>
      <c r="AM25" s="759"/>
      <c r="AN25" s="759"/>
      <c r="AO25" s="759"/>
      <c r="AP25" s="759"/>
      <c r="AQ25" s="759"/>
      <c r="AR25" s="759"/>
      <c r="AS25" s="759"/>
      <c r="AT25" s="759"/>
      <c r="AU25" s="759"/>
      <c r="AV25" s="759"/>
      <c r="AW25" s="759"/>
      <c r="AX25" s="759"/>
      <c r="AY25" s="759"/>
      <c r="AZ25" s="759"/>
      <c r="BA25" s="759"/>
      <c r="BB25" s="759"/>
      <c r="BC25" s="759"/>
      <c r="BD25" s="759"/>
      <c r="BE25" s="759"/>
      <c r="BF25" s="759"/>
      <c r="BG25" s="759"/>
      <c r="BH25" s="759"/>
      <c r="BI25" s="759"/>
      <c r="BJ25" s="759"/>
      <c r="BK25" s="759"/>
      <c r="BL25" s="759"/>
      <c r="BM25" s="759"/>
      <c r="BN25" s="759"/>
      <c r="BO25" s="759"/>
      <c r="BP25" s="759"/>
      <c r="BQ25" s="759"/>
      <c r="BR25" s="759"/>
      <c r="BS25" s="759"/>
      <c r="BT25" s="759"/>
      <c r="BU25" s="759"/>
      <c r="BV25" s="759"/>
      <c r="BW25" s="759"/>
      <c r="BX25" s="759"/>
      <c r="BY25" s="759"/>
      <c r="BZ25" s="759"/>
      <c r="CA25" s="759"/>
      <c r="CB25" s="759"/>
      <c r="CC25" s="759"/>
      <c r="CD25" s="759"/>
      <c r="CE25" s="759"/>
      <c r="CF25" s="759"/>
    </row>
    <row r="26" spans="2:84" ht="20.100000000000001" customHeight="1" thickTop="1" thickBot="1" x14ac:dyDescent="0.25">
      <c r="B26" s="763" t="str">
        <f>PedBerMedIV!S18</f>
        <v/>
      </c>
      <c r="C26" s="754"/>
      <c r="D26" s="732">
        <v>17</v>
      </c>
      <c r="E26" s="728" t="str">
        <f>PedBerMedIV!U19</f>
        <v/>
      </c>
      <c r="F26" s="729">
        <f>PedBerMedIV!V19</f>
        <v>0</v>
      </c>
      <c r="G26" s="720" t="str">
        <f>PedBerMedIV!W19</f>
        <v/>
      </c>
      <c r="H26" s="720"/>
      <c r="I26" s="720" t="str">
        <f>PedBerMedIV!Y19</f>
        <v/>
      </c>
      <c r="J26" s="720" t="str">
        <f>PedBerMedIV!Z19</f>
        <v/>
      </c>
      <c r="K26" s="720"/>
      <c r="L26" s="720" t="str">
        <f>IF(PedBerMedIV!K19&lt;&gt;0,PedBerMedIV!K19&amp;" ml","")</f>
        <v/>
      </c>
      <c r="M26" s="720"/>
      <c r="N26" s="721"/>
      <c r="O26" s="754"/>
      <c r="P26" s="754"/>
      <c r="Q26" s="754"/>
      <c r="R26" s="754"/>
      <c r="S26" s="754"/>
      <c r="T26" s="754"/>
      <c r="U26" s="754"/>
      <c r="V26" s="754"/>
      <c r="W26" s="754"/>
      <c r="X26" s="754"/>
      <c r="Y26" s="754"/>
      <c r="Z26" s="754"/>
      <c r="AA26" s="754"/>
      <c r="AC26" s="759"/>
      <c r="AD26" s="759"/>
      <c r="AE26" s="759"/>
      <c r="AF26" s="759"/>
      <c r="AG26" s="759"/>
      <c r="AH26" s="759"/>
      <c r="AI26" s="759"/>
      <c r="AJ26" s="759"/>
      <c r="AK26" s="759"/>
      <c r="AL26" s="759"/>
      <c r="AM26" s="759"/>
      <c r="AN26" s="759"/>
      <c r="AO26" s="759"/>
      <c r="AP26" s="759"/>
      <c r="AQ26" s="759"/>
      <c r="AR26" s="759"/>
      <c r="AS26" s="759"/>
      <c r="AT26" s="759"/>
      <c r="AU26" s="759"/>
      <c r="AV26" s="759"/>
      <c r="AW26" s="759"/>
      <c r="AX26" s="759"/>
      <c r="AY26" s="759"/>
      <c r="AZ26" s="759"/>
      <c r="BA26" s="759"/>
      <c r="BB26" s="759"/>
      <c r="BC26" s="759"/>
      <c r="BD26" s="759"/>
      <c r="BE26" s="759"/>
      <c r="BF26" s="759"/>
      <c r="BG26" s="759"/>
      <c r="BH26" s="759"/>
      <c r="BI26" s="759"/>
      <c r="BJ26" s="759"/>
      <c r="BK26" s="759"/>
      <c r="BL26" s="759"/>
      <c r="BM26" s="759"/>
      <c r="BN26" s="759"/>
      <c r="BO26" s="759"/>
      <c r="BP26" s="759"/>
      <c r="BQ26" s="759"/>
      <c r="BR26" s="759"/>
      <c r="BS26" s="759"/>
      <c r="BT26" s="759"/>
      <c r="BU26" s="759"/>
      <c r="BV26" s="759"/>
      <c r="BW26" s="759"/>
      <c r="BX26" s="759"/>
      <c r="BY26" s="759"/>
      <c r="BZ26" s="759"/>
      <c r="CA26" s="759"/>
      <c r="CB26" s="759"/>
      <c r="CC26" s="759"/>
      <c r="CD26" s="759"/>
      <c r="CE26" s="759"/>
      <c r="CF26" s="759"/>
    </row>
    <row r="27" spans="2:84" ht="20.100000000000001" customHeight="1" thickTop="1" thickBot="1" x14ac:dyDescent="0.25">
      <c r="B27" s="763" t="str">
        <f>PedBerMedIV!S19</f>
        <v/>
      </c>
      <c r="C27" s="754"/>
      <c r="D27" s="732">
        <v>18</v>
      </c>
      <c r="E27" s="728" t="str">
        <f>PedBerMedIV!U20</f>
        <v/>
      </c>
      <c r="F27" s="729">
        <f>PedBerMedIV!V20</f>
        <v>0</v>
      </c>
      <c r="G27" s="720" t="str">
        <f>PedBerMedIV!W20</f>
        <v/>
      </c>
      <c r="H27" s="720"/>
      <c r="I27" s="720" t="str">
        <f>PedBerMedIV!Y20</f>
        <v/>
      </c>
      <c r="J27" s="720" t="str">
        <f>PedBerMedIV!Z20</f>
        <v/>
      </c>
      <c r="K27" s="720"/>
      <c r="L27" s="720" t="str">
        <f>IF(PedBerMedIV!K20&lt;&gt;0,PedBerMedIV!K20&amp;" ml","")</f>
        <v/>
      </c>
      <c r="M27" s="720"/>
      <c r="N27" s="721"/>
      <c r="O27" s="754"/>
      <c r="P27" s="754"/>
      <c r="Q27" s="754"/>
      <c r="R27" s="754"/>
      <c r="S27" s="754"/>
      <c r="T27" s="754"/>
      <c r="U27" s="754"/>
      <c r="V27" s="754"/>
      <c r="W27" s="754"/>
      <c r="X27" s="754"/>
      <c r="Y27" s="754"/>
      <c r="Z27" s="754"/>
      <c r="AA27" s="754"/>
      <c r="AC27" s="759"/>
      <c r="AD27" s="759"/>
      <c r="AE27" s="759"/>
      <c r="AF27" s="759"/>
      <c r="AG27" s="759"/>
      <c r="AH27" s="759"/>
      <c r="AI27" s="759"/>
      <c r="AJ27" s="759"/>
      <c r="AK27" s="759"/>
      <c r="AL27" s="759"/>
      <c r="AM27" s="759"/>
      <c r="AN27" s="759"/>
      <c r="AO27" s="759"/>
      <c r="AP27" s="759"/>
      <c r="AQ27" s="759"/>
      <c r="AR27" s="759"/>
      <c r="AS27" s="759"/>
      <c r="AT27" s="759"/>
      <c r="AU27" s="759"/>
      <c r="AV27" s="759"/>
      <c r="AW27" s="759"/>
      <c r="AX27" s="759"/>
      <c r="AY27" s="759"/>
      <c r="AZ27" s="759"/>
      <c r="BA27" s="759"/>
      <c r="BB27" s="759"/>
      <c r="BC27" s="759"/>
      <c r="BD27" s="759"/>
      <c r="BE27" s="759"/>
      <c r="BF27" s="759"/>
      <c r="BG27" s="759"/>
      <c r="BH27" s="759"/>
      <c r="BI27" s="759"/>
      <c r="BJ27" s="759"/>
      <c r="BK27" s="759"/>
      <c r="BL27" s="759"/>
      <c r="BM27" s="759"/>
      <c r="BN27" s="759"/>
      <c r="BO27" s="759"/>
      <c r="BP27" s="759"/>
      <c r="BQ27" s="759"/>
      <c r="BR27" s="759"/>
      <c r="BS27" s="759"/>
      <c r="BT27" s="759"/>
      <c r="BU27" s="759"/>
      <c r="BV27" s="759"/>
      <c r="BW27" s="759"/>
      <c r="BX27" s="759"/>
      <c r="BY27" s="759"/>
      <c r="BZ27" s="759"/>
      <c r="CA27" s="759"/>
      <c r="CB27" s="759"/>
      <c r="CC27" s="759"/>
      <c r="CD27" s="759"/>
      <c r="CE27" s="759"/>
      <c r="CF27" s="759"/>
    </row>
    <row r="28" spans="2:84" ht="20.100000000000001" customHeight="1" thickTop="1" thickBot="1" x14ac:dyDescent="0.25">
      <c r="B28" s="763" t="str">
        <f>PedBerMedIV!S20</f>
        <v/>
      </c>
      <c r="C28" s="754"/>
      <c r="D28" s="732">
        <v>19</v>
      </c>
      <c r="E28" s="728" t="str">
        <f>PedBerMedIV!U21</f>
        <v/>
      </c>
      <c r="F28" s="729">
        <f>PedBerMedIV!V21</f>
        <v>0</v>
      </c>
      <c r="G28" s="720" t="str">
        <f>PedBerMedIV!W21</f>
        <v/>
      </c>
      <c r="H28" s="720"/>
      <c r="I28" s="720" t="str">
        <f>PedBerMedIV!Y21</f>
        <v/>
      </c>
      <c r="J28" s="720" t="str">
        <f>PedBerMedIV!Z21</f>
        <v/>
      </c>
      <c r="K28" s="720"/>
      <c r="L28" s="720" t="str">
        <f>IF(PedBerMedIV!K21&lt;&gt;0,PedBerMedIV!K21&amp;" ml","")</f>
        <v/>
      </c>
      <c r="M28" s="720"/>
      <c r="N28" s="721"/>
      <c r="O28" s="754"/>
      <c r="P28" s="754"/>
      <c r="Q28" s="754"/>
      <c r="R28" s="754"/>
      <c r="S28" s="754"/>
      <c r="T28" s="754"/>
      <c r="U28" s="754"/>
      <c r="V28" s="754"/>
      <c r="W28" s="754"/>
      <c r="X28" s="754"/>
      <c r="Y28" s="754"/>
      <c r="Z28" s="754"/>
      <c r="AA28" s="754"/>
      <c r="AC28" s="759"/>
      <c r="AD28" s="759"/>
      <c r="AE28" s="759"/>
      <c r="AF28" s="759"/>
      <c r="AG28" s="759"/>
      <c r="AH28" s="759"/>
      <c r="AI28" s="759"/>
      <c r="AJ28" s="759"/>
      <c r="AK28" s="759"/>
      <c r="AL28" s="759"/>
      <c r="AM28" s="759"/>
      <c r="AN28" s="759"/>
      <c r="AO28" s="759"/>
      <c r="AP28" s="759"/>
      <c r="AQ28" s="759"/>
      <c r="AR28" s="759"/>
      <c r="AS28" s="759"/>
      <c r="AT28" s="759"/>
      <c r="AU28" s="759"/>
      <c r="AV28" s="759"/>
      <c r="AW28" s="759"/>
      <c r="AX28" s="759"/>
      <c r="AY28" s="759"/>
      <c r="AZ28" s="759"/>
      <c r="BA28" s="759"/>
      <c r="BB28" s="759"/>
      <c r="BC28" s="759"/>
      <c r="BD28" s="759"/>
      <c r="BE28" s="759"/>
      <c r="BF28" s="759"/>
      <c r="BG28" s="759"/>
      <c r="BH28" s="759"/>
      <c r="BI28" s="759"/>
      <c r="BJ28" s="759"/>
      <c r="BK28" s="759"/>
      <c r="BL28" s="759"/>
      <c r="BM28" s="759"/>
      <c r="BN28" s="759"/>
      <c r="BO28" s="759"/>
      <c r="BP28" s="759"/>
      <c r="BQ28" s="759"/>
      <c r="BR28" s="759"/>
      <c r="BS28" s="759"/>
      <c r="BT28" s="759"/>
      <c r="BU28" s="759"/>
      <c r="BV28" s="759"/>
      <c r="BW28" s="759"/>
      <c r="BX28" s="759"/>
      <c r="BY28" s="759"/>
      <c r="BZ28" s="759"/>
      <c r="CA28" s="759"/>
      <c r="CB28" s="759"/>
      <c r="CC28" s="759"/>
      <c r="CD28" s="759"/>
      <c r="CE28" s="759"/>
      <c r="CF28" s="759"/>
    </row>
    <row r="29" spans="2:84" ht="20.100000000000001" customHeight="1" thickTop="1" thickBot="1" x14ac:dyDescent="0.25">
      <c r="B29" s="763" t="str">
        <f>PedBerMedIV!S21</f>
        <v/>
      </c>
      <c r="C29" s="754"/>
      <c r="D29" s="732">
        <v>20</v>
      </c>
      <c r="E29" s="730" t="str">
        <f>PedBerMedIV!U22</f>
        <v/>
      </c>
      <c r="F29" s="731">
        <f>PedBerMedIV!V22</f>
        <v>0</v>
      </c>
      <c r="G29" s="724" t="str">
        <f>PedBerMedIV!W22</f>
        <v/>
      </c>
      <c r="H29" s="724"/>
      <c r="I29" s="724" t="str">
        <f>PedBerMedIV!Y22</f>
        <v/>
      </c>
      <c r="J29" s="724" t="str">
        <f>PedBerMedIV!Z22</f>
        <v/>
      </c>
      <c r="K29" s="724"/>
      <c r="L29" s="724" t="str">
        <f>IF(PedBerMedIV!K22&lt;&gt;0,PedBerMedIV!K22&amp;" ml","")</f>
        <v/>
      </c>
      <c r="M29" s="724"/>
      <c r="N29" s="725"/>
      <c r="O29" s="754"/>
      <c r="P29" s="754"/>
      <c r="Q29" s="754"/>
      <c r="R29" s="754"/>
      <c r="S29" s="754"/>
      <c r="T29" s="754"/>
      <c r="U29" s="754"/>
      <c r="V29" s="754"/>
      <c r="W29" s="754"/>
      <c r="X29" s="754"/>
      <c r="Y29" s="754"/>
      <c r="Z29" s="754"/>
      <c r="AA29" s="754"/>
      <c r="AC29" s="759"/>
      <c r="AD29" s="759"/>
      <c r="AE29" s="759"/>
      <c r="AF29" s="759"/>
      <c r="AG29" s="759"/>
      <c r="AH29" s="759"/>
      <c r="AI29" s="759"/>
      <c r="AJ29" s="759"/>
      <c r="AK29" s="759"/>
      <c r="AL29" s="759"/>
      <c r="AM29" s="759"/>
      <c r="AN29" s="759"/>
      <c r="AO29" s="759"/>
      <c r="AP29" s="759"/>
      <c r="AQ29" s="759"/>
      <c r="AR29" s="759"/>
      <c r="AS29" s="759"/>
      <c r="AT29" s="759"/>
      <c r="AU29" s="759"/>
      <c r="AV29" s="759"/>
      <c r="AW29" s="759"/>
      <c r="AX29" s="759"/>
      <c r="AY29" s="759"/>
      <c r="AZ29" s="759"/>
      <c r="BA29" s="759"/>
      <c r="BB29" s="759"/>
      <c r="BC29" s="759"/>
      <c r="BD29" s="759"/>
      <c r="BE29" s="759"/>
      <c r="BF29" s="759"/>
      <c r="BG29" s="759"/>
      <c r="BH29" s="759"/>
      <c r="BI29" s="759"/>
      <c r="BJ29" s="759"/>
      <c r="BK29" s="759"/>
      <c r="BL29" s="759"/>
      <c r="BM29" s="759"/>
      <c r="BN29" s="759"/>
      <c r="BO29" s="759"/>
      <c r="BP29" s="759"/>
      <c r="BQ29" s="759"/>
      <c r="BR29" s="759"/>
      <c r="BS29" s="759"/>
      <c r="BT29" s="759"/>
      <c r="BU29" s="759"/>
      <c r="BV29" s="759"/>
      <c r="BW29" s="759"/>
      <c r="BX29" s="759"/>
      <c r="BY29" s="759"/>
      <c r="BZ29" s="759"/>
      <c r="CA29" s="759"/>
      <c r="CB29" s="759"/>
      <c r="CC29" s="759"/>
      <c r="CD29" s="759"/>
      <c r="CE29" s="759"/>
      <c r="CF29" s="759"/>
    </row>
    <row r="30" spans="2:84" ht="13.5" thickTop="1" x14ac:dyDescent="0.2">
      <c r="C30" s="762"/>
      <c r="D30" s="762"/>
      <c r="E30" s="762"/>
      <c r="F30" s="762"/>
      <c r="G30" s="762"/>
      <c r="H30" s="762"/>
      <c r="I30" s="762"/>
      <c r="J30" s="762"/>
      <c r="K30" s="762"/>
      <c r="L30" s="762"/>
      <c r="M30" s="762"/>
      <c r="N30" s="762"/>
      <c r="O30" s="754"/>
      <c r="P30" s="762"/>
      <c r="Q30" s="762"/>
      <c r="R30" s="762"/>
      <c r="S30" s="762"/>
      <c r="T30" s="762"/>
      <c r="U30" s="762"/>
      <c r="V30" s="762"/>
      <c r="W30" s="762"/>
      <c r="X30" s="762"/>
      <c r="Y30" s="762"/>
      <c r="Z30" s="762"/>
      <c r="AA30" s="762"/>
      <c r="AC30" s="759"/>
      <c r="AD30" s="759"/>
      <c r="AE30" s="759"/>
      <c r="AF30" s="759"/>
      <c r="AG30" s="759"/>
      <c r="AH30" s="759"/>
      <c r="AI30" s="759"/>
      <c r="AJ30" s="759"/>
      <c r="AK30" s="759"/>
      <c r="AL30" s="759"/>
      <c r="AM30" s="759"/>
      <c r="AN30" s="759"/>
      <c r="AO30" s="759"/>
      <c r="AP30" s="759"/>
      <c r="AQ30" s="759"/>
      <c r="AR30" s="759"/>
      <c r="AS30" s="759"/>
      <c r="AT30" s="759"/>
      <c r="AU30" s="759"/>
      <c r="AV30" s="759"/>
      <c r="AW30" s="759"/>
      <c r="AX30" s="759"/>
      <c r="AY30" s="759"/>
      <c r="AZ30" s="759"/>
      <c r="BA30" s="759"/>
      <c r="BB30" s="759"/>
      <c r="BC30" s="759"/>
      <c r="BD30" s="759"/>
      <c r="BE30" s="759"/>
      <c r="BF30" s="759"/>
      <c r="BG30" s="759"/>
      <c r="BH30" s="759"/>
      <c r="BI30" s="759"/>
      <c r="BJ30" s="759"/>
      <c r="BK30" s="759"/>
      <c r="BL30" s="759"/>
      <c r="BM30" s="759"/>
      <c r="BN30" s="759"/>
      <c r="BO30" s="759"/>
      <c r="BP30" s="759"/>
      <c r="BQ30" s="759"/>
      <c r="BR30" s="759"/>
      <c r="BS30" s="759"/>
      <c r="BT30" s="759"/>
      <c r="BU30" s="759"/>
      <c r="BV30" s="759"/>
      <c r="BW30" s="759"/>
      <c r="BX30" s="759"/>
      <c r="BY30" s="759"/>
      <c r="BZ30" s="759"/>
      <c r="CA30" s="759"/>
      <c r="CB30" s="759"/>
      <c r="CC30" s="759"/>
      <c r="CD30" s="759"/>
      <c r="CE30" s="759"/>
      <c r="CF30" s="759"/>
    </row>
    <row r="31" spans="2:84" x14ac:dyDescent="0.2">
      <c r="C31" s="762"/>
      <c r="D31" s="746"/>
      <c r="E31" s="747" t="str">
        <f>PedGuiEntTPN!C41</f>
        <v>Vocht</v>
      </c>
      <c r="F31" s="747" t="str">
        <f>PedGuiEntTPN!E41</f>
        <v>0 ml/kg</v>
      </c>
      <c r="G31" s="747" t="str">
        <f ca="1">PedGuiEntTPN!F41</f>
        <v>150 ml/kg</v>
      </c>
      <c r="H31" s="747"/>
      <c r="I31" s="747" t="str">
        <f>PedGuiEntTPN!I41</f>
        <v>Eiwit</v>
      </c>
      <c r="J31" s="747" t="str">
        <f>PedGuiEntTPN!J41</f>
        <v>0  gram/kg</v>
      </c>
      <c r="K31" s="747" t="str">
        <f>PedGuiEntTPN!K41</f>
        <v>2-2,5 g/kg</v>
      </c>
      <c r="L31" s="747"/>
      <c r="M31" s="746"/>
      <c r="N31" s="746"/>
      <c r="O31" s="767"/>
      <c r="P31" s="767"/>
      <c r="Q31" s="762"/>
      <c r="R31" s="762"/>
      <c r="S31" s="762"/>
      <c r="T31" s="762"/>
      <c r="U31" s="762"/>
      <c r="V31" s="762"/>
      <c r="W31" s="762"/>
      <c r="X31" s="762"/>
      <c r="Y31" s="762"/>
      <c r="Z31" s="762"/>
      <c r="AA31" s="759"/>
      <c r="AB31" s="759"/>
      <c r="AC31" s="759"/>
      <c r="AD31" s="759"/>
      <c r="AE31" s="759"/>
      <c r="AF31" s="759"/>
      <c r="AG31" s="759"/>
      <c r="AH31" s="759"/>
      <c r="AI31" s="759"/>
      <c r="AJ31" s="759"/>
      <c r="AK31" s="759"/>
      <c r="AL31" s="759"/>
      <c r="AM31" s="759"/>
      <c r="AN31" s="759"/>
      <c r="AO31" s="759"/>
      <c r="AP31" s="759"/>
      <c r="AQ31" s="759"/>
      <c r="AR31" s="759"/>
      <c r="AS31" s="759"/>
      <c r="AT31" s="759"/>
      <c r="AU31" s="759"/>
      <c r="AV31" s="759"/>
      <c r="AW31" s="759"/>
      <c r="AX31" s="759"/>
      <c r="AY31" s="759"/>
      <c r="AZ31" s="759"/>
      <c r="BA31" s="759"/>
      <c r="BB31" s="759"/>
      <c r="BC31" s="759"/>
      <c r="BD31" s="759"/>
      <c r="BE31" s="759"/>
      <c r="BF31" s="759"/>
      <c r="BG31" s="759"/>
      <c r="BH31" s="759"/>
      <c r="BI31" s="759"/>
      <c r="BJ31" s="759"/>
      <c r="BK31" s="759"/>
      <c r="BL31" s="759"/>
      <c r="BM31" s="759"/>
      <c r="BN31" s="759"/>
      <c r="BO31" s="759"/>
      <c r="BP31" s="759"/>
      <c r="BQ31" s="759"/>
      <c r="BR31" s="759"/>
      <c r="BS31" s="759"/>
      <c r="BT31" s="759"/>
      <c r="BU31" s="759"/>
      <c r="BV31" s="759"/>
      <c r="BW31" s="759"/>
      <c r="BX31" s="759"/>
      <c r="BY31" s="759"/>
      <c r="BZ31" s="759"/>
      <c r="CA31" s="759"/>
      <c r="CB31" s="759"/>
      <c r="CC31" s="759"/>
      <c r="CD31" s="759"/>
      <c r="CE31" s="759"/>
    </row>
    <row r="32" spans="2:84" x14ac:dyDescent="0.2">
      <c r="C32" s="762"/>
      <c r="D32" s="746"/>
      <c r="E32" s="747" t="str">
        <f>PedGuiEntTPN!C42</f>
        <v>Calorieen</v>
      </c>
      <c r="F32" s="747" t="str">
        <f>PedGuiEntTPN!E42</f>
        <v>0 kCal/kg</v>
      </c>
      <c r="G32" s="747" t="str">
        <f ca="1">PedGuiEntTPN!F42</f>
        <v>0 kCal/kg</v>
      </c>
      <c r="H32" s="747"/>
      <c r="I32" s="747" t="str">
        <f>PedGuiEntTPN!I42</f>
        <v>Vet</v>
      </c>
      <c r="J32" s="747" t="str">
        <f>PedGuiEntTPN!J42</f>
        <v>0 gram/kg</v>
      </c>
      <c r="K32" s="747" t="str">
        <f>PedGuiEntTPN!K42</f>
        <v>4 g/kg</v>
      </c>
      <c r="L32" s="747"/>
      <c r="M32" s="747"/>
      <c r="N32" s="747"/>
      <c r="O32" s="768"/>
      <c r="P32" s="768"/>
      <c r="Q32" s="754"/>
      <c r="R32" s="754"/>
      <c r="S32" s="754"/>
      <c r="T32" s="754"/>
      <c r="U32" s="754"/>
      <c r="V32" s="754"/>
      <c r="W32" s="754"/>
      <c r="X32" s="754"/>
      <c r="Y32" s="754"/>
      <c r="Z32" s="754"/>
      <c r="AA32" s="759"/>
      <c r="AB32" s="759"/>
      <c r="AC32" s="759"/>
      <c r="AD32" s="759"/>
      <c r="AE32" s="759"/>
      <c r="AF32" s="759"/>
      <c r="AG32" s="759"/>
      <c r="AH32" s="759"/>
      <c r="AI32" s="759"/>
      <c r="AJ32" s="759"/>
      <c r="AK32" s="759"/>
      <c r="AL32" s="759"/>
      <c r="AM32" s="759"/>
      <c r="AN32" s="759"/>
      <c r="AO32" s="759"/>
      <c r="AP32" s="759"/>
      <c r="AQ32" s="759"/>
      <c r="AR32" s="759"/>
      <c r="AS32" s="759"/>
      <c r="AT32" s="759"/>
      <c r="AU32" s="759"/>
      <c r="AV32" s="759"/>
      <c r="AW32" s="759"/>
      <c r="AX32" s="759"/>
      <c r="AY32" s="759"/>
      <c r="AZ32" s="759"/>
      <c r="BA32" s="759"/>
      <c r="BB32" s="759"/>
      <c r="BC32" s="759"/>
      <c r="BD32" s="759"/>
      <c r="BE32" s="759"/>
      <c r="BF32" s="759"/>
      <c r="BG32" s="759"/>
      <c r="BH32" s="759"/>
      <c r="BI32" s="759"/>
      <c r="BJ32" s="759"/>
      <c r="BK32" s="759"/>
      <c r="BL32" s="759"/>
      <c r="BM32" s="759"/>
      <c r="BN32" s="759"/>
      <c r="BO32" s="759"/>
      <c r="BP32" s="759"/>
      <c r="BQ32" s="759"/>
      <c r="BR32" s="759"/>
      <c r="BS32" s="759"/>
      <c r="BT32" s="759"/>
      <c r="BU32" s="759"/>
      <c r="BV32" s="759"/>
      <c r="BW32" s="759"/>
      <c r="BX32" s="759"/>
      <c r="BY32" s="759"/>
      <c r="BZ32" s="759"/>
      <c r="CA32" s="759"/>
      <c r="CB32" s="759"/>
      <c r="CC32" s="759"/>
      <c r="CD32" s="759"/>
      <c r="CE32" s="759"/>
    </row>
    <row r="33" spans="3:84" x14ac:dyDescent="0.2">
      <c r="C33" s="762"/>
      <c r="D33" s="746"/>
      <c r="E33" s="747" t="str">
        <f>PedGuiEntTPN!C43</f>
        <v>Glucose/KH</v>
      </c>
      <c r="F33" s="747" t="str">
        <f>PedGuiEntTPN!E43</f>
        <v>0 g/kg</v>
      </c>
      <c r="G33" s="747" t="str">
        <f>PedGuiEntTPN!F43</f>
        <v>3,6 g/kg</v>
      </c>
      <c r="H33" s="747"/>
      <c r="I33" s="747" t="str">
        <f>PedGuiEntTPN!I43</f>
        <v>Calcium</v>
      </c>
      <c r="J33" s="747" t="str">
        <f>PedGuiEntTPN!J43</f>
        <v>0 mmol/kg</v>
      </c>
      <c r="K33" s="747" t="str">
        <f>PedGuiEntTPN!K43</f>
        <v>0,2-0,8 mmol/kg (3-10 kg:0,8; 10-20 kg:0,5; &gt; 20 kg:0,2 mmol/kg)</v>
      </c>
      <c r="L33" s="747"/>
      <c r="M33" s="747"/>
      <c r="N33" s="747"/>
      <c r="O33" s="768"/>
      <c r="P33" s="768"/>
      <c r="Q33" s="754"/>
      <c r="R33" s="754"/>
      <c r="S33" s="754"/>
      <c r="T33" s="754"/>
      <c r="U33" s="754"/>
      <c r="V33" s="754"/>
      <c r="W33" s="754"/>
      <c r="X33" s="754"/>
      <c r="Y33" s="754"/>
      <c r="Z33" s="754"/>
      <c r="AA33" s="759"/>
      <c r="AB33" s="759"/>
      <c r="AC33" s="759"/>
      <c r="AD33" s="759"/>
      <c r="AE33" s="759"/>
      <c r="AF33" s="759"/>
      <c r="AG33" s="759"/>
      <c r="AH33" s="759"/>
      <c r="AI33" s="759"/>
      <c r="AJ33" s="759"/>
      <c r="AK33" s="759"/>
      <c r="AL33" s="759"/>
      <c r="AM33" s="759"/>
      <c r="AN33" s="759"/>
      <c r="AO33" s="759"/>
      <c r="AP33" s="759"/>
      <c r="AQ33" s="759"/>
      <c r="AR33" s="759"/>
      <c r="AS33" s="759"/>
      <c r="AT33" s="759"/>
      <c r="AU33" s="759"/>
      <c r="AV33" s="759"/>
      <c r="AW33" s="759"/>
      <c r="AX33" s="759"/>
      <c r="AY33" s="759"/>
      <c r="AZ33" s="759"/>
      <c r="BA33" s="759"/>
      <c r="BB33" s="759"/>
      <c r="BC33" s="759"/>
      <c r="BD33" s="759"/>
      <c r="BE33" s="759"/>
      <c r="BF33" s="759"/>
      <c r="BG33" s="759"/>
      <c r="BH33" s="759"/>
      <c r="BI33" s="759"/>
      <c r="BJ33" s="759"/>
      <c r="BK33" s="759"/>
      <c r="BL33" s="759"/>
      <c r="BM33" s="759"/>
      <c r="BN33" s="759"/>
      <c r="BO33" s="759"/>
      <c r="BP33" s="759"/>
      <c r="BQ33" s="759"/>
      <c r="BR33" s="759"/>
      <c r="BS33" s="759"/>
      <c r="BT33" s="759"/>
      <c r="BU33" s="759"/>
      <c r="BV33" s="759"/>
      <c r="BW33" s="759"/>
      <c r="BX33" s="759"/>
      <c r="BY33" s="759"/>
      <c r="BZ33" s="759"/>
      <c r="CA33" s="759"/>
      <c r="CB33" s="759"/>
      <c r="CC33" s="759"/>
      <c r="CD33" s="759"/>
      <c r="CE33" s="759"/>
    </row>
    <row r="34" spans="3:84" x14ac:dyDescent="0.2">
      <c r="C34" s="762"/>
      <c r="D34" s="746"/>
      <c r="E34" s="747" t="str">
        <f>PedGuiEntTPN!C44</f>
        <v xml:space="preserve">Natrium </v>
      </c>
      <c r="F34" s="747" t="str">
        <f>PedGuiEntTPN!E44</f>
        <v>0 mmol/kg</v>
      </c>
      <c r="G34" s="747" t="str">
        <f>PedGuiEntTPN!F44</f>
        <v>2-4 mmol/kg</v>
      </c>
      <c r="H34" s="747"/>
      <c r="I34" s="747" t="str">
        <f>PedGuiEntTPN!I44</f>
        <v>Magnesium</v>
      </c>
      <c r="J34" s="747" t="str">
        <f>PedGuiEntTPN!J44</f>
        <v>0 mmol/kg</v>
      </c>
      <c r="K34" s="747" t="str">
        <f>PedGuiEntTPN!K44</f>
        <v>0,1-0,3 mmol/kg</v>
      </c>
      <c r="L34" s="747"/>
      <c r="M34" s="747"/>
      <c r="N34" s="747"/>
      <c r="O34" s="768"/>
      <c r="P34" s="768"/>
      <c r="Q34" s="754"/>
      <c r="R34" s="754"/>
      <c r="S34" s="754"/>
      <c r="T34" s="754"/>
      <c r="U34" s="754"/>
      <c r="V34" s="754"/>
      <c r="W34" s="754"/>
      <c r="X34" s="754"/>
      <c r="Y34" s="754"/>
      <c r="Z34" s="754"/>
      <c r="AA34" s="759"/>
      <c r="AB34" s="759"/>
      <c r="AC34" s="759"/>
      <c r="AD34" s="759"/>
      <c r="AE34" s="759"/>
      <c r="AF34" s="759"/>
      <c r="AG34" s="759"/>
      <c r="AH34" s="759"/>
      <c r="AI34" s="759"/>
      <c r="AJ34" s="759"/>
      <c r="AK34" s="759"/>
      <c r="AL34" s="759"/>
      <c r="AM34" s="759"/>
      <c r="AN34" s="759"/>
      <c r="AO34" s="759"/>
      <c r="AP34" s="759"/>
      <c r="AQ34" s="759"/>
      <c r="AR34" s="759"/>
      <c r="AS34" s="759"/>
      <c r="AT34" s="759"/>
      <c r="AU34" s="759"/>
      <c r="AV34" s="759"/>
      <c r="AW34" s="759"/>
      <c r="AX34" s="759"/>
      <c r="AY34" s="759"/>
      <c r="AZ34" s="759"/>
      <c r="BA34" s="759"/>
      <c r="BB34" s="759"/>
      <c r="BC34" s="759"/>
      <c r="BD34" s="759"/>
      <c r="BE34" s="759"/>
      <c r="BF34" s="759"/>
      <c r="BG34" s="759"/>
      <c r="BH34" s="759"/>
      <c r="BI34" s="759"/>
      <c r="BJ34" s="759"/>
      <c r="BK34" s="759"/>
      <c r="BL34" s="759"/>
      <c r="BM34" s="759"/>
      <c r="BN34" s="759"/>
      <c r="BO34" s="759"/>
      <c r="BP34" s="759"/>
      <c r="BQ34" s="759"/>
      <c r="BR34" s="759"/>
      <c r="BS34" s="759"/>
      <c r="BT34" s="759"/>
      <c r="BU34" s="759"/>
      <c r="BV34" s="759"/>
      <c r="BW34" s="759"/>
      <c r="BX34" s="759"/>
      <c r="BY34" s="759"/>
      <c r="BZ34" s="759"/>
      <c r="CA34" s="759"/>
      <c r="CB34" s="759"/>
      <c r="CC34" s="759"/>
      <c r="CD34" s="759"/>
      <c r="CE34" s="759"/>
    </row>
    <row r="35" spans="3:84" x14ac:dyDescent="0.2">
      <c r="C35" s="762"/>
      <c r="D35" s="746"/>
      <c r="E35" s="747" t="str">
        <f>PedGuiEntTPN!C45</f>
        <v>Kalium</v>
      </c>
      <c r="F35" s="747" t="str">
        <f>PedGuiEntTPN!E45</f>
        <v>0 mmol/kg</v>
      </c>
      <c r="G35" s="747" t="str">
        <f>PedGuiEntTPN!F45</f>
        <v>1-2 mmol/kg</v>
      </c>
      <c r="H35" s="747"/>
      <c r="I35" s="747" t="str">
        <f>PedGuiEntTPN!I45</f>
        <v>Fosfaat</v>
      </c>
      <c r="J35" s="747" t="str">
        <f>PedGuiEntTPN!J45</f>
        <v>0 mmol/kg</v>
      </c>
      <c r="K35" s="747" t="str">
        <f>PedGuiEntTPN!K45</f>
        <v>0,75 mmol/kg</v>
      </c>
      <c r="L35" s="747"/>
      <c r="M35" s="747"/>
      <c r="N35" s="747"/>
      <c r="O35" s="768"/>
      <c r="P35" s="768"/>
      <c r="Q35" s="754"/>
      <c r="R35" s="754"/>
      <c r="S35" s="754"/>
      <c r="T35" s="754"/>
      <c r="U35" s="754"/>
      <c r="V35" s="754"/>
      <c r="W35" s="754"/>
      <c r="X35" s="754"/>
      <c r="Y35" s="754"/>
      <c r="Z35" s="754"/>
      <c r="AA35" s="759"/>
      <c r="AB35" s="759"/>
      <c r="AC35" s="759"/>
      <c r="AD35" s="759"/>
      <c r="AE35" s="759"/>
      <c r="AF35" s="759"/>
      <c r="AG35" s="759"/>
      <c r="AH35" s="759"/>
      <c r="AI35" s="759"/>
      <c r="AJ35" s="759"/>
      <c r="AK35" s="759"/>
      <c r="AL35" s="759"/>
      <c r="AM35" s="759"/>
      <c r="AN35" s="759"/>
      <c r="AO35" s="759"/>
      <c r="AP35" s="759"/>
      <c r="AQ35" s="759"/>
      <c r="AR35" s="759"/>
      <c r="AS35" s="759"/>
      <c r="AT35" s="759"/>
      <c r="AU35" s="759"/>
      <c r="AV35" s="759"/>
      <c r="AW35" s="759"/>
      <c r="AX35" s="759"/>
      <c r="AY35" s="759"/>
      <c r="AZ35" s="759"/>
      <c r="BA35" s="759"/>
      <c r="BB35" s="759"/>
      <c r="BC35" s="759"/>
      <c r="BD35" s="759"/>
      <c r="BE35" s="759"/>
      <c r="BF35" s="759"/>
      <c r="BG35" s="759"/>
      <c r="BH35" s="759"/>
      <c r="BI35" s="759"/>
      <c r="BJ35" s="759"/>
      <c r="BK35" s="759"/>
      <c r="BL35" s="759"/>
      <c r="BM35" s="759"/>
      <c r="BN35" s="759"/>
      <c r="BO35" s="759"/>
      <c r="BP35" s="759"/>
      <c r="BQ35" s="759"/>
      <c r="BR35" s="759"/>
      <c r="BS35" s="759"/>
      <c r="BT35" s="759"/>
      <c r="BU35" s="759"/>
      <c r="BV35" s="759"/>
      <c r="BW35" s="759"/>
      <c r="BX35" s="759"/>
      <c r="BY35" s="759"/>
      <c r="BZ35" s="759"/>
      <c r="CA35" s="759"/>
      <c r="CB35" s="759"/>
      <c r="CC35" s="759"/>
      <c r="CD35" s="759"/>
      <c r="CE35" s="759"/>
    </row>
    <row r="36" spans="3:84" x14ac:dyDescent="0.2">
      <c r="C36" s="762"/>
      <c r="D36" s="762"/>
      <c r="E36" s="762"/>
      <c r="F36" s="762"/>
      <c r="G36" s="762"/>
      <c r="H36" s="762"/>
      <c r="I36" s="762"/>
      <c r="J36" s="762"/>
      <c r="K36" s="762"/>
      <c r="L36" s="754"/>
      <c r="M36" s="754"/>
      <c r="N36" s="754"/>
      <c r="O36" s="754"/>
      <c r="P36" s="754"/>
      <c r="Q36" s="754"/>
      <c r="R36" s="754"/>
      <c r="S36" s="754"/>
      <c r="T36" s="754"/>
      <c r="U36" s="754"/>
      <c r="V36" s="754"/>
      <c r="W36" s="754"/>
      <c r="X36" s="754"/>
      <c r="Y36" s="754"/>
      <c r="Z36" s="754"/>
      <c r="AA36" s="754"/>
      <c r="AB36" s="759"/>
      <c r="AC36" s="759"/>
      <c r="AD36" s="759"/>
      <c r="AE36" s="759"/>
      <c r="AF36" s="759"/>
      <c r="AG36" s="759"/>
      <c r="AH36" s="759"/>
      <c r="AI36" s="759"/>
      <c r="AJ36" s="759"/>
      <c r="AK36" s="759"/>
      <c r="AL36" s="759"/>
      <c r="AM36" s="759"/>
      <c r="AN36" s="759"/>
      <c r="AO36" s="759"/>
      <c r="AP36" s="759"/>
      <c r="AQ36" s="759"/>
      <c r="AR36" s="759"/>
      <c r="AS36" s="759"/>
      <c r="AT36" s="759"/>
      <c r="AU36" s="759"/>
      <c r="AV36" s="759"/>
      <c r="AW36" s="759"/>
      <c r="AX36" s="759"/>
      <c r="AY36" s="759"/>
      <c r="AZ36" s="759"/>
      <c r="BA36" s="759"/>
      <c r="BB36" s="759"/>
      <c r="BC36" s="759"/>
      <c r="BD36" s="759"/>
      <c r="BE36" s="759"/>
      <c r="BF36" s="759"/>
      <c r="BG36" s="759"/>
      <c r="BH36" s="759"/>
      <c r="BI36" s="759"/>
      <c r="BJ36" s="759"/>
      <c r="BK36" s="759"/>
      <c r="BL36" s="759"/>
      <c r="BM36" s="759"/>
      <c r="BN36" s="759"/>
      <c r="BO36" s="759"/>
      <c r="BP36" s="759"/>
      <c r="BQ36" s="759"/>
      <c r="BR36" s="759"/>
      <c r="BS36" s="759"/>
      <c r="BT36" s="759"/>
      <c r="BU36" s="759"/>
      <c r="BV36" s="759"/>
      <c r="BW36" s="759"/>
      <c r="BX36" s="759"/>
      <c r="BY36" s="759"/>
      <c r="BZ36" s="759"/>
      <c r="CA36" s="759"/>
      <c r="CB36" s="759"/>
      <c r="CC36" s="759"/>
      <c r="CD36" s="759"/>
      <c r="CE36" s="759"/>
      <c r="CF36" s="759"/>
    </row>
    <row r="37" spans="3:84" x14ac:dyDescent="0.2">
      <c r="C37" s="762"/>
      <c r="D37" s="734"/>
      <c r="E37" s="733" t="s">
        <v>304</v>
      </c>
      <c r="F37" s="976">
        <f>GlobBerOpm!B3</f>
        <v>0</v>
      </c>
      <c r="G37" s="977"/>
      <c r="H37" s="977"/>
      <c r="I37" s="977"/>
      <c r="J37" s="977"/>
      <c r="K37" s="977"/>
      <c r="L37" s="977"/>
      <c r="M37" s="977"/>
      <c r="N37" s="977"/>
      <c r="O37" s="762"/>
      <c r="P37" s="762"/>
      <c r="Q37" s="762"/>
      <c r="R37" s="762"/>
      <c r="S37" s="762"/>
      <c r="T37" s="762"/>
      <c r="U37" s="762"/>
      <c r="V37" s="762"/>
      <c r="W37" s="762"/>
      <c r="X37" s="762"/>
      <c r="Y37" s="762"/>
      <c r="Z37" s="762"/>
      <c r="AA37" s="762"/>
      <c r="AB37" s="759"/>
      <c r="AC37" s="759"/>
      <c r="AD37" s="759"/>
      <c r="AE37" s="759"/>
      <c r="AF37" s="759"/>
      <c r="AG37" s="759"/>
      <c r="AH37" s="759"/>
      <c r="AI37" s="759"/>
      <c r="AJ37" s="759"/>
      <c r="AK37" s="759"/>
      <c r="AL37" s="759"/>
      <c r="AM37" s="759"/>
      <c r="AN37" s="759"/>
      <c r="AO37" s="759"/>
      <c r="AP37" s="759"/>
      <c r="AQ37" s="759"/>
      <c r="AR37" s="759"/>
      <c r="AS37" s="759"/>
      <c r="AT37" s="759"/>
      <c r="AU37" s="759"/>
      <c r="AV37" s="759"/>
      <c r="AW37" s="759"/>
      <c r="AX37" s="759"/>
      <c r="AY37" s="759"/>
      <c r="AZ37" s="759"/>
      <c r="BA37" s="759"/>
      <c r="BB37" s="759"/>
      <c r="BC37" s="759"/>
      <c r="BD37" s="759"/>
      <c r="BE37" s="759"/>
      <c r="BF37" s="759"/>
      <c r="BG37" s="759"/>
      <c r="BH37" s="759"/>
      <c r="BI37" s="759"/>
      <c r="BJ37" s="759"/>
      <c r="BK37" s="759"/>
      <c r="BL37" s="759"/>
      <c r="BM37" s="759"/>
      <c r="BN37" s="759"/>
      <c r="BO37" s="759"/>
      <c r="BP37" s="759"/>
      <c r="BQ37" s="759"/>
      <c r="BR37" s="759"/>
      <c r="BS37" s="759"/>
      <c r="BT37" s="759"/>
      <c r="BU37" s="759"/>
      <c r="BV37" s="759"/>
      <c r="BW37" s="759"/>
      <c r="BX37" s="759"/>
      <c r="BY37" s="759"/>
      <c r="BZ37" s="759"/>
      <c r="CA37" s="759"/>
      <c r="CB37" s="759"/>
      <c r="CC37" s="759"/>
      <c r="CD37" s="759"/>
      <c r="CE37" s="759"/>
      <c r="CF37" s="759"/>
    </row>
    <row r="38" spans="3:84" x14ac:dyDescent="0.2">
      <c r="C38" s="762"/>
      <c r="D38" s="734"/>
      <c r="E38" s="735"/>
      <c r="F38" s="977"/>
      <c r="G38" s="977"/>
      <c r="H38" s="977"/>
      <c r="I38" s="977"/>
      <c r="J38" s="977"/>
      <c r="K38" s="977"/>
      <c r="L38" s="977"/>
      <c r="M38" s="977"/>
      <c r="N38" s="977"/>
      <c r="O38" s="762"/>
      <c r="P38" s="762"/>
      <c r="Q38" s="762"/>
      <c r="R38" s="762"/>
      <c r="S38" s="762"/>
      <c r="T38" s="762"/>
      <c r="U38" s="762"/>
      <c r="V38" s="762"/>
      <c r="W38" s="762"/>
      <c r="X38" s="762"/>
      <c r="Y38" s="762"/>
      <c r="Z38" s="762"/>
      <c r="AA38" s="762"/>
      <c r="AB38" s="759"/>
      <c r="AC38" s="759"/>
      <c r="AD38" s="759"/>
      <c r="AE38" s="759"/>
      <c r="AF38" s="759"/>
      <c r="AG38" s="759"/>
      <c r="AH38" s="759"/>
      <c r="AI38" s="759"/>
      <c r="AJ38" s="759"/>
      <c r="AK38" s="759"/>
      <c r="AL38" s="759"/>
      <c r="AM38" s="759"/>
      <c r="AN38" s="759"/>
      <c r="AO38" s="759"/>
      <c r="AP38" s="759"/>
      <c r="AQ38" s="759"/>
      <c r="AR38" s="759"/>
      <c r="AS38" s="759"/>
      <c r="AT38" s="759"/>
      <c r="AU38" s="759"/>
      <c r="AV38" s="759"/>
      <c r="AW38" s="759"/>
      <c r="AX38" s="759"/>
      <c r="AY38" s="759"/>
      <c r="AZ38" s="759"/>
      <c r="BA38" s="759"/>
      <c r="BB38" s="759"/>
      <c r="BC38" s="759"/>
      <c r="BD38" s="759"/>
      <c r="BE38" s="759"/>
      <c r="BF38" s="759"/>
      <c r="BG38" s="759"/>
      <c r="BH38" s="759"/>
      <c r="BI38" s="759"/>
      <c r="BJ38" s="759"/>
      <c r="BK38" s="759"/>
      <c r="BL38" s="759"/>
      <c r="BM38" s="759"/>
      <c r="BN38" s="759"/>
      <c r="BO38" s="759"/>
      <c r="BP38" s="759"/>
      <c r="BQ38" s="759"/>
      <c r="BR38" s="759"/>
      <c r="BS38" s="759"/>
      <c r="BT38" s="759"/>
      <c r="BU38" s="759"/>
      <c r="BV38" s="759"/>
      <c r="BW38" s="759"/>
      <c r="BX38" s="759"/>
      <c r="BY38" s="759"/>
      <c r="BZ38" s="759"/>
      <c r="CA38" s="759"/>
      <c r="CB38" s="759"/>
      <c r="CC38" s="759"/>
      <c r="CD38" s="759"/>
      <c r="CE38" s="759"/>
      <c r="CF38" s="759"/>
    </row>
    <row r="39" spans="3:84" x14ac:dyDescent="0.2">
      <c r="C39" s="762"/>
      <c r="D39" s="734"/>
      <c r="E39" s="735"/>
      <c r="F39" s="977"/>
      <c r="G39" s="977"/>
      <c r="H39" s="977"/>
      <c r="I39" s="977"/>
      <c r="J39" s="977"/>
      <c r="K39" s="977"/>
      <c r="L39" s="977"/>
      <c r="M39" s="977"/>
      <c r="N39" s="977"/>
      <c r="O39" s="762"/>
      <c r="P39" s="762"/>
      <c r="Q39" s="762"/>
      <c r="R39" s="762"/>
      <c r="S39" s="762"/>
      <c r="T39" s="762"/>
      <c r="U39" s="762"/>
      <c r="V39" s="762"/>
      <c r="W39" s="762"/>
      <c r="X39" s="762"/>
      <c r="Y39" s="762"/>
      <c r="Z39" s="762"/>
      <c r="AA39" s="762"/>
      <c r="AB39" s="759"/>
      <c r="AC39" s="759"/>
      <c r="AD39" s="759"/>
      <c r="AE39" s="759"/>
      <c r="AF39" s="759"/>
      <c r="AG39" s="759"/>
      <c r="AH39" s="759"/>
      <c r="AI39" s="759"/>
      <c r="AJ39" s="759"/>
      <c r="AK39" s="759"/>
      <c r="AL39" s="759"/>
      <c r="AM39" s="759"/>
      <c r="AN39" s="759"/>
      <c r="AO39" s="759"/>
      <c r="AP39" s="759"/>
      <c r="AQ39" s="759"/>
      <c r="AR39" s="759"/>
      <c r="AS39" s="759"/>
      <c r="AT39" s="759"/>
      <c r="AU39" s="759"/>
      <c r="AV39" s="759"/>
      <c r="AW39" s="759"/>
      <c r="AX39" s="759"/>
      <c r="AY39" s="759"/>
      <c r="AZ39" s="759"/>
      <c r="BA39" s="759"/>
      <c r="BB39" s="759"/>
      <c r="BC39" s="759"/>
      <c r="BD39" s="759"/>
      <c r="BE39" s="759"/>
      <c r="BF39" s="759"/>
      <c r="BG39" s="759"/>
      <c r="BH39" s="759"/>
      <c r="BI39" s="759"/>
      <c r="BJ39" s="759"/>
      <c r="BK39" s="759"/>
      <c r="BL39" s="759"/>
      <c r="BM39" s="759"/>
      <c r="BN39" s="759"/>
      <c r="BO39" s="759"/>
      <c r="BP39" s="759"/>
      <c r="BQ39" s="759"/>
      <c r="BR39" s="759"/>
      <c r="BS39" s="759"/>
      <c r="BT39" s="759"/>
      <c r="BU39" s="759"/>
      <c r="BV39" s="759"/>
      <c r="BW39" s="759"/>
      <c r="BX39" s="759"/>
      <c r="BY39" s="759"/>
      <c r="BZ39" s="759"/>
      <c r="CA39" s="759"/>
      <c r="CB39" s="759"/>
      <c r="CC39" s="759"/>
      <c r="CD39" s="759"/>
      <c r="CE39" s="759"/>
      <c r="CF39" s="759"/>
    </row>
    <row r="40" spans="3:84" x14ac:dyDescent="0.2">
      <c r="C40" s="762"/>
      <c r="D40" s="762"/>
      <c r="E40" s="769"/>
      <c r="F40" s="770"/>
      <c r="G40" s="770"/>
      <c r="H40" s="770"/>
      <c r="I40" s="770"/>
      <c r="J40" s="770"/>
      <c r="K40" s="770"/>
      <c r="L40" s="770"/>
      <c r="M40" s="770"/>
      <c r="N40" s="770"/>
      <c r="O40" s="762"/>
      <c r="P40" s="762"/>
      <c r="Q40" s="762"/>
      <c r="R40" s="762"/>
      <c r="S40" s="762"/>
      <c r="T40" s="762"/>
      <c r="U40" s="762"/>
      <c r="V40" s="762"/>
      <c r="W40" s="762"/>
      <c r="X40" s="762"/>
      <c r="Y40" s="762"/>
      <c r="Z40" s="762"/>
      <c r="AA40" s="762"/>
      <c r="AB40" s="759"/>
      <c r="AC40" s="759"/>
      <c r="AD40" s="759"/>
      <c r="AE40" s="759"/>
      <c r="AF40" s="759"/>
      <c r="AG40" s="759"/>
      <c r="AH40" s="759"/>
      <c r="AI40" s="759"/>
      <c r="AJ40" s="759"/>
      <c r="AK40" s="759"/>
      <c r="AL40" s="759"/>
      <c r="AM40" s="759"/>
      <c r="AN40" s="759"/>
      <c r="AO40" s="759"/>
      <c r="AP40" s="759"/>
      <c r="AQ40" s="759"/>
      <c r="AR40" s="759"/>
      <c r="AS40" s="759"/>
      <c r="AT40" s="759"/>
      <c r="AU40" s="759"/>
      <c r="AV40" s="759"/>
      <c r="AW40" s="759"/>
      <c r="AX40" s="759"/>
      <c r="AY40" s="759"/>
      <c r="AZ40" s="759"/>
      <c r="BA40" s="759"/>
      <c r="BB40" s="759"/>
      <c r="BC40" s="759"/>
      <c r="BD40" s="759"/>
      <c r="BE40" s="759"/>
      <c r="BF40" s="759"/>
      <c r="BG40" s="759"/>
      <c r="BH40" s="759"/>
      <c r="BI40" s="759"/>
      <c r="BJ40" s="759"/>
      <c r="BK40" s="759"/>
      <c r="BL40" s="759"/>
      <c r="BM40" s="759"/>
      <c r="BN40" s="759"/>
      <c r="BO40" s="759"/>
      <c r="BP40" s="759"/>
      <c r="BQ40" s="759"/>
      <c r="BR40" s="759"/>
      <c r="BS40" s="759"/>
      <c r="BT40" s="759"/>
      <c r="BU40" s="759"/>
      <c r="BV40" s="759"/>
      <c r="BW40" s="759"/>
      <c r="BX40" s="759"/>
      <c r="BY40" s="759"/>
      <c r="BZ40" s="759"/>
      <c r="CA40" s="759"/>
      <c r="CB40" s="759"/>
      <c r="CC40" s="759"/>
      <c r="CD40" s="759"/>
      <c r="CE40" s="759"/>
      <c r="CF40" s="759"/>
    </row>
    <row r="41" spans="3:84" x14ac:dyDescent="0.2">
      <c r="C41" s="754"/>
      <c r="D41" s="754"/>
      <c r="E41" s="769"/>
      <c r="F41" s="770"/>
      <c r="G41" s="770"/>
      <c r="H41" s="770"/>
      <c r="I41" s="770"/>
      <c r="J41" s="770"/>
      <c r="K41" s="770"/>
      <c r="L41" s="770"/>
      <c r="M41" s="770"/>
      <c r="N41" s="757"/>
      <c r="O41" s="754"/>
      <c r="P41" s="762"/>
      <c r="Q41" s="762"/>
      <c r="R41" s="762"/>
      <c r="S41" s="762"/>
      <c r="T41" s="762"/>
      <c r="U41" s="762"/>
      <c r="V41" s="762"/>
      <c r="W41" s="762"/>
      <c r="X41" s="762"/>
      <c r="Y41" s="762"/>
      <c r="Z41" s="762"/>
      <c r="AA41" s="762"/>
      <c r="AB41" s="759"/>
      <c r="AC41" s="759"/>
      <c r="AD41" s="759"/>
      <c r="AE41" s="759"/>
      <c r="AF41" s="759"/>
      <c r="AG41" s="759"/>
      <c r="AH41" s="759"/>
      <c r="AI41" s="759"/>
      <c r="AJ41" s="759"/>
      <c r="AK41" s="759"/>
      <c r="AL41" s="759"/>
      <c r="AM41" s="759"/>
      <c r="AN41" s="759"/>
      <c r="AO41" s="759"/>
      <c r="AP41" s="759"/>
      <c r="AQ41" s="759"/>
      <c r="AR41" s="759"/>
      <c r="AS41" s="759"/>
      <c r="AT41" s="759"/>
      <c r="AU41" s="759"/>
      <c r="AV41" s="759"/>
      <c r="AW41" s="759"/>
      <c r="AX41" s="759"/>
      <c r="AY41" s="759"/>
      <c r="AZ41" s="759"/>
      <c r="BA41" s="759"/>
      <c r="BB41" s="759"/>
      <c r="BC41" s="759"/>
      <c r="BD41" s="759"/>
      <c r="BE41" s="759"/>
      <c r="BF41" s="759"/>
      <c r="BG41" s="759"/>
      <c r="BH41" s="759"/>
      <c r="BI41" s="759"/>
      <c r="BJ41" s="759"/>
      <c r="BK41" s="759"/>
      <c r="BL41" s="759"/>
      <c r="BM41" s="759"/>
      <c r="BN41" s="759"/>
      <c r="BO41" s="759"/>
      <c r="BP41" s="759"/>
      <c r="BQ41" s="759"/>
      <c r="BR41" s="759"/>
      <c r="BS41" s="759"/>
      <c r="BT41" s="759"/>
      <c r="BU41" s="759"/>
      <c r="BV41" s="759"/>
      <c r="BW41" s="759"/>
      <c r="BX41" s="759"/>
      <c r="BY41" s="759"/>
      <c r="BZ41" s="759"/>
      <c r="CA41" s="759"/>
      <c r="CB41" s="759"/>
      <c r="CC41" s="759"/>
      <c r="CD41" s="759"/>
      <c r="CE41" s="759"/>
      <c r="CF41" s="759"/>
    </row>
    <row r="42" spans="3:84" x14ac:dyDescent="0.2">
      <c r="C42" s="762"/>
      <c r="D42" s="762"/>
      <c r="E42" s="762"/>
      <c r="F42" s="762"/>
      <c r="G42" s="762"/>
      <c r="H42" s="762"/>
      <c r="I42" s="762"/>
      <c r="J42" s="762"/>
      <c r="K42" s="762"/>
      <c r="L42" s="762"/>
      <c r="M42" s="762"/>
      <c r="N42" s="762"/>
      <c r="O42" s="762"/>
      <c r="P42" s="762"/>
      <c r="Q42" s="762"/>
      <c r="R42" s="762"/>
      <c r="S42" s="762"/>
      <c r="T42" s="762"/>
      <c r="U42" s="762"/>
      <c r="V42" s="762"/>
      <c r="W42" s="762"/>
      <c r="X42" s="762"/>
      <c r="Y42" s="762"/>
      <c r="Z42" s="762"/>
      <c r="AA42" s="762"/>
      <c r="AB42" s="759"/>
      <c r="AC42" s="759"/>
      <c r="AD42" s="759"/>
      <c r="AE42" s="759"/>
      <c r="AF42" s="759"/>
      <c r="AG42" s="759"/>
      <c r="AH42" s="759"/>
      <c r="AI42" s="759"/>
      <c r="AJ42" s="759"/>
      <c r="AK42" s="759"/>
      <c r="AL42" s="759"/>
      <c r="AM42" s="759"/>
      <c r="AN42" s="759"/>
      <c r="AO42" s="759"/>
      <c r="AP42" s="759"/>
      <c r="AQ42" s="759"/>
      <c r="AR42" s="759"/>
      <c r="AS42" s="759"/>
      <c r="AT42" s="759"/>
      <c r="AU42" s="759"/>
      <c r="AV42" s="759"/>
      <c r="AW42" s="759"/>
      <c r="AX42" s="759"/>
      <c r="AY42" s="759"/>
      <c r="AZ42" s="759"/>
      <c r="BA42" s="759"/>
      <c r="BB42" s="759"/>
      <c r="BC42" s="759"/>
      <c r="BD42" s="759"/>
      <c r="BE42" s="759"/>
      <c r="BF42" s="759"/>
      <c r="BG42" s="759"/>
      <c r="BH42" s="759"/>
      <c r="BI42" s="759"/>
      <c r="BJ42" s="759"/>
      <c r="BK42" s="759"/>
      <c r="BL42" s="759"/>
      <c r="BM42" s="759"/>
      <c r="BN42" s="759"/>
      <c r="BO42" s="759"/>
      <c r="BP42" s="759"/>
      <c r="BQ42" s="759"/>
      <c r="BR42" s="759"/>
      <c r="BS42" s="759"/>
      <c r="BT42" s="759"/>
      <c r="BU42" s="759"/>
      <c r="BV42" s="759"/>
      <c r="BW42" s="759"/>
      <c r="BX42" s="759"/>
      <c r="BY42" s="759"/>
      <c r="BZ42" s="759"/>
      <c r="CA42" s="759"/>
      <c r="CB42" s="759"/>
      <c r="CC42" s="759"/>
      <c r="CD42" s="759"/>
      <c r="CE42" s="759"/>
      <c r="CF42" s="759"/>
    </row>
    <row r="43" spans="3:84" x14ac:dyDescent="0.2">
      <c r="C43" s="762"/>
      <c r="D43" s="762"/>
      <c r="E43" s="762"/>
      <c r="F43" s="762"/>
      <c r="G43" s="762"/>
      <c r="H43" s="762"/>
      <c r="I43" s="762"/>
      <c r="J43" s="762"/>
      <c r="K43" s="762"/>
      <c r="L43" s="762"/>
      <c r="M43" s="762"/>
      <c r="N43" s="762"/>
      <c r="O43" s="762"/>
      <c r="P43" s="762"/>
      <c r="Q43" s="762"/>
      <c r="R43" s="762"/>
      <c r="S43" s="762"/>
      <c r="T43" s="762"/>
      <c r="U43" s="762"/>
      <c r="V43" s="762"/>
      <c r="W43" s="762"/>
      <c r="X43" s="762"/>
      <c r="Y43" s="762"/>
      <c r="Z43" s="762"/>
      <c r="AA43" s="762"/>
      <c r="AB43" s="759"/>
      <c r="AC43" s="759"/>
      <c r="AD43" s="759"/>
      <c r="AE43" s="759"/>
      <c r="AF43" s="759"/>
      <c r="AG43" s="759"/>
      <c r="AH43" s="759"/>
      <c r="AI43" s="759"/>
      <c r="AJ43" s="759"/>
      <c r="AK43" s="759"/>
      <c r="AL43" s="759"/>
      <c r="AM43" s="759"/>
      <c r="AN43" s="759"/>
      <c r="AO43" s="759"/>
      <c r="AP43" s="759"/>
      <c r="AQ43" s="759"/>
      <c r="AR43" s="759"/>
      <c r="AS43" s="759"/>
      <c r="AT43" s="759"/>
      <c r="AU43" s="759"/>
      <c r="AV43" s="759"/>
      <c r="AW43" s="759"/>
      <c r="AX43" s="759"/>
      <c r="AY43" s="759"/>
      <c r="AZ43" s="759"/>
      <c r="BA43" s="759"/>
      <c r="BB43" s="759"/>
      <c r="BC43" s="759"/>
      <c r="BD43" s="759"/>
      <c r="BE43" s="759"/>
      <c r="BF43" s="759"/>
      <c r="BG43" s="759"/>
      <c r="BH43" s="759"/>
      <c r="BI43" s="759"/>
      <c r="BJ43" s="759"/>
      <c r="BK43" s="759"/>
      <c r="BL43" s="759"/>
      <c r="BM43" s="759"/>
      <c r="BN43" s="759"/>
      <c r="BO43" s="759"/>
      <c r="BP43" s="759"/>
      <c r="BQ43" s="759"/>
      <c r="BR43" s="759"/>
      <c r="BS43" s="759"/>
      <c r="BT43" s="759"/>
      <c r="BU43" s="759"/>
      <c r="BV43" s="759"/>
      <c r="BW43" s="759"/>
      <c r="BX43" s="759"/>
      <c r="BY43" s="759"/>
      <c r="BZ43" s="759"/>
      <c r="CA43" s="759"/>
      <c r="CB43" s="759"/>
      <c r="CC43" s="759"/>
      <c r="CD43" s="759"/>
      <c r="CE43" s="759"/>
      <c r="CF43" s="759"/>
    </row>
    <row r="44" spans="3:84" x14ac:dyDescent="0.2">
      <c r="C44" s="762"/>
      <c r="D44" s="762"/>
      <c r="E44" s="762"/>
      <c r="F44" s="762"/>
      <c r="G44" s="762"/>
      <c r="H44" s="762"/>
      <c r="I44" s="762"/>
      <c r="J44" s="762"/>
      <c r="K44" s="762"/>
      <c r="L44" s="762"/>
      <c r="M44" s="762"/>
      <c r="N44" s="762"/>
      <c r="O44" s="762"/>
      <c r="P44" s="762"/>
      <c r="Q44" s="762"/>
      <c r="R44" s="762"/>
      <c r="S44" s="762"/>
      <c r="T44" s="762"/>
      <c r="U44" s="762"/>
      <c r="V44" s="762"/>
      <c r="W44" s="762"/>
      <c r="X44" s="762"/>
      <c r="Y44" s="762"/>
      <c r="Z44" s="762"/>
      <c r="AA44" s="762"/>
      <c r="AB44" s="759"/>
      <c r="AC44" s="759"/>
      <c r="AD44" s="759"/>
      <c r="AE44" s="759"/>
      <c r="AF44" s="759"/>
      <c r="AG44" s="759"/>
      <c r="AH44" s="759"/>
      <c r="AI44" s="759"/>
      <c r="AJ44" s="759"/>
      <c r="AK44" s="759"/>
      <c r="AL44" s="759"/>
      <c r="AM44" s="759"/>
      <c r="AN44" s="759"/>
      <c r="AO44" s="759"/>
      <c r="AP44" s="759"/>
      <c r="AQ44" s="759"/>
      <c r="AR44" s="759"/>
      <c r="AS44" s="759"/>
      <c r="AT44" s="759"/>
      <c r="AU44" s="759"/>
      <c r="AV44" s="759"/>
      <c r="AW44" s="759"/>
      <c r="AX44" s="759"/>
      <c r="AY44" s="759"/>
      <c r="AZ44" s="759"/>
      <c r="BA44" s="759"/>
      <c r="BB44" s="759"/>
      <c r="BC44" s="759"/>
      <c r="BD44" s="759"/>
      <c r="BE44" s="759"/>
      <c r="BF44" s="759"/>
      <c r="BG44" s="759"/>
      <c r="BH44" s="759"/>
      <c r="BI44" s="759"/>
      <c r="BJ44" s="759"/>
      <c r="BK44" s="759"/>
      <c r="BL44" s="759"/>
      <c r="BM44" s="759"/>
      <c r="BN44" s="759"/>
      <c r="BO44" s="759"/>
      <c r="BP44" s="759"/>
      <c r="BQ44" s="759"/>
      <c r="BR44" s="759"/>
      <c r="BS44" s="759"/>
      <c r="BT44" s="759"/>
      <c r="BU44" s="759"/>
      <c r="BV44" s="759"/>
      <c r="BW44" s="759"/>
      <c r="BX44" s="759"/>
      <c r="BY44" s="759"/>
      <c r="BZ44" s="759"/>
      <c r="CA44" s="759"/>
      <c r="CB44" s="759"/>
      <c r="CC44" s="759"/>
      <c r="CD44" s="759"/>
      <c r="CE44" s="759"/>
      <c r="CF44" s="759"/>
    </row>
    <row r="45" spans="3:84" x14ac:dyDescent="0.2">
      <c r="C45" s="762"/>
      <c r="D45" s="762"/>
      <c r="E45" s="762"/>
      <c r="F45" s="762"/>
      <c r="G45" s="762"/>
      <c r="H45" s="762"/>
      <c r="I45" s="762"/>
      <c r="J45" s="762"/>
      <c r="K45" s="762"/>
      <c r="L45" s="762"/>
      <c r="M45" s="762"/>
      <c r="N45" s="762"/>
      <c r="O45" s="762"/>
      <c r="P45" s="762"/>
      <c r="Q45" s="762"/>
      <c r="R45" s="762"/>
      <c r="S45" s="762"/>
      <c r="T45" s="762"/>
      <c r="U45" s="762"/>
      <c r="V45" s="762"/>
      <c r="W45" s="762"/>
      <c r="X45" s="762"/>
      <c r="Y45" s="762"/>
      <c r="Z45" s="762"/>
      <c r="AA45" s="762"/>
    </row>
    <row r="46" spans="3:84" x14ac:dyDescent="0.2">
      <c r="C46" s="762"/>
      <c r="D46" s="762"/>
      <c r="E46" s="762"/>
      <c r="F46" s="762"/>
      <c r="G46" s="762"/>
      <c r="H46" s="762"/>
      <c r="I46" s="762"/>
      <c r="J46" s="762"/>
      <c r="K46" s="762"/>
      <c r="L46" s="762"/>
      <c r="M46" s="762"/>
      <c r="N46" s="762"/>
      <c r="O46" s="762"/>
      <c r="P46" s="762"/>
      <c r="Q46" s="762"/>
      <c r="R46" s="762"/>
      <c r="S46" s="762"/>
      <c r="T46" s="762"/>
      <c r="U46" s="762"/>
      <c r="V46" s="762"/>
      <c r="W46" s="762"/>
      <c r="X46" s="762"/>
      <c r="Y46" s="762"/>
      <c r="Z46" s="762"/>
      <c r="AA46" s="762"/>
    </row>
    <row r="47" spans="3:84" x14ac:dyDescent="0.2">
      <c r="C47" s="762"/>
      <c r="D47" s="762"/>
      <c r="E47" s="762"/>
      <c r="F47" s="762"/>
      <c r="G47" s="762"/>
      <c r="H47" s="762"/>
      <c r="I47" s="762"/>
      <c r="J47" s="762"/>
      <c r="K47" s="762"/>
      <c r="L47" s="762"/>
      <c r="M47" s="762"/>
      <c r="N47" s="762"/>
      <c r="O47" s="762"/>
      <c r="P47" s="762"/>
      <c r="Q47" s="762"/>
      <c r="R47" s="762"/>
      <c r="S47" s="762"/>
      <c r="T47" s="762"/>
      <c r="U47" s="762"/>
      <c r="V47" s="762"/>
      <c r="W47" s="762"/>
      <c r="X47" s="762"/>
      <c r="Y47" s="762"/>
      <c r="Z47" s="762"/>
      <c r="AA47" s="762"/>
    </row>
    <row r="48" spans="3:84" x14ac:dyDescent="0.2">
      <c r="C48" s="762"/>
      <c r="D48" s="762"/>
      <c r="E48" s="762"/>
      <c r="F48" s="762"/>
      <c r="G48" s="762"/>
      <c r="H48" s="762"/>
      <c r="I48" s="762"/>
      <c r="J48" s="762"/>
      <c r="K48" s="762"/>
      <c r="L48" s="762"/>
      <c r="M48" s="762"/>
      <c r="N48" s="762"/>
      <c r="O48" s="762"/>
      <c r="P48" s="762"/>
      <c r="Q48" s="762"/>
      <c r="R48" s="762"/>
      <c r="S48" s="762"/>
      <c r="T48" s="762"/>
      <c r="U48" s="762"/>
      <c r="V48" s="762"/>
      <c r="W48" s="762"/>
      <c r="X48" s="762"/>
      <c r="Y48" s="762"/>
      <c r="Z48" s="762"/>
      <c r="AA48" s="762"/>
    </row>
    <row r="49" spans="3:27" x14ac:dyDescent="0.2">
      <c r="C49" s="762"/>
      <c r="D49" s="762"/>
      <c r="E49" s="762"/>
      <c r="F49" s="762"/>
      <c r="G49" s="762"/>
      <c r="H49" s="762"/>
      <c r="I49" s="762"/>
      <c r="J49" s="762"/>
      <c r="K49" s="762"/>
      <c r="L49" s="762"/>
      <c r="M49" s="762"/>
      <c r="N49" s="762"/>
      <c r="O49" s="762"/>
      <c r="P49" s="762"/>
      <c r="Q49" s="762"/>
      <c r="R49" s="762"/>
      <c r="S49" s="762"/>
      <c r="T49" s="762"/>
      <c r="U49" s="762"/>
      <c r="V49" s="762"/>
      <c r="W49" s="762"/>
      <c r="X49" s="762"/>
      <c r="Y49" s="762"/>
      <c r="Z49" s="762"/>
      <c r="AA49" s="762"/>
    </row>
    <row r="50" spans="3:27" x14ac:dyDescent="0.2">
      <c r="C50" s="762"/>
      <c r="D50" s="762"/>
      <c r="E50" s="762"/>
      <c r="F50" s="762"/>
      <c r="G50" s="762"/>
      <c r="H50" s="762"/>
      <c r="I50" s="762"/>
      <c r="J50" s="762"/>
      <c r="K50" s="762"/>
      <c r="L50" s="762"/>
      <c r="M50" s="762"/>
      <c r="N50" s="762"/>
      <c r="O50" s="762"/>
      <c r="P50" s="762"/>
      <c r="Q50" s="762"/>
      <c r="R50" s="762"/>
      <c r="S50" s="762"/>
      <c r="T50" s="762"/>
      <c r="U50" s="762"/>
      <c r="V50" s="762"/>
      <c r="W50" s="762"/>
      <c r="X50" s="762"/>
      <c r="Y50" s="762"/>
      <c r="Z50" s="762"/>
      <c r="AA50" s="762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F37:N39"/>
    <mergeCell ref="B1:N1"/>
  </mergeCells>
  <phoneticPr fontId="28" type="noConversion"/>
  <conditionalFormatting sqref="B1:N1">
    <cfRule type="expression" dxfId="22" priority="93">
      <formula>NOT(ISBLANK($B$1))</formula>
    </cfRule>
  </conditionalFormatting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0" stopIfTrue="1" id="{ABA217F0-E6FE-4538-B727-27A66C400466}">
            <xm:f>PedBerMedIV!$AH3</xm:f>
            <x14:dxf>
              <font>
                <b/>
                <i val="0"/>
                <color theme="0"/>
              </font>
              <fill>
                <patternFill>
                  <bgColor rgb="FFA40000"/>
                </patternFill>
              </fill>
            </x14:dxf>
          </x14:cfRule>
          <x14:cfRule type="expression" priority="141" id="{F43BEC40-487F-48BF-A57F-2A457EBC2412}">
            <xm:f>PedBerMedIV!$AI3</xm:f>
            <x14:dxf>
              <fill>
                <patternFill patternType="solid">
                  <bgColor rgb="FFFFFFCD"/>
                </patternFill>
              </fill>
              <border>
                <left/>
                <right/>
                <top/>
                <bottom/>
              </border>
            </x14:dxf>
          </x14:cfRule>
          <xm:sqref>J9:J23</xm:sqref>
        </x14:conditionalFormatting>
        <x14:conditionalFormatting xmlns:xm="http://schemas.microsoft.com/office/excel/2006/main">
          <x14:cfRule type="expression" priority="58" id="{350DD095-DF5D-43AC-92CE-CA0B250908C9}">
            <xm:f>NOT(PedBerMedIV!AJ3)</xm:f>
            <x14:dxf>
              <fill>
                <patternFill>
                  <bgColor rgb="FFFFFFCD"/>
                </patternFill>
              </fill>
            </x14:dxf>
          </x14:cfRule>
          <xm:sqref>F9:G23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K3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J23" sqref="J23"/>
    </sheetView>
  </sheetViews>
  <sheetFormatPr defaultColWidth="9.140625" defaultRowHeight="12.75" x14ac:dyDescent="0.2"/>
  <cols>
    <col min="1" max="1" width="8" customWidth="1"/>
    <col min="2" max="5" width="7.7109375" customWidth="1"/>
    <col min="6" max="7" width="10.28515625" style="320" customWidth="1"/>
    <col min="8" max="8" width="7.7109375" style="320" customWidth="1"/>
    <col min="9" max="18" width="7.7109375" customWidth="1"/>
    <col min="19" max="19" width="7.28515625" customWidth="1"/>
    <col min="20" max="20" width="9.85546875" bestFit="1" customWidth="1"/>
    <col min="21" max="21" width="11.28515625" customWidth="1"/>
    <col min="22" max="22" width="11.140625" customWidth="1"/>
    <col min="24" max="24" width="11.140625" customWidth="1"/>
    <col min="26" max="26" width="11.5703125" customWidth="1"/>
    <col min="27" max="27" width="11.28515625" customWidth="1"/>
  </cols>
  <sheetData>
    <row r="1" spans="1:37" s="21" customFormat="1" ht="25.5" x14ac:dyDescent="0.2">
      <c r="A1" s="369" t="s">
        <v>504</v>
      </c>
      <c r="B1" s="21" t="s">
        <v>253</v>
      </c>
      <c r="C1" s="21" t="s">
        <v>499</v>
      </c>
      <c r="D1" s="21" t="s">
        <v>215</v>
      </c>
      <c r="E1" s="153" t="s">
        <v>4898</v>
      </c>
      <c r="F1" s="153" t="s">
        <v>4896</v>
      </c>
      <c r="G1" s="153" t="s">
        <v>4897</v>
      </c>
      <c r="H1" s="153" t="s">
        <v>1179</v>
      </c>
      <c r="I1" s="153" t="s">
        <v>500</v>
      </c>
      <c r="J1" s="153" t="s">
        <v>52</v>
      </c>
      <c r="K1" s="153" t="s">
        <v>501</v>
      </c>
      <c r="L1" s="153" t="s">
        <v>502</v>
      </c>
      <c r="M1" s="153" t="s">
        <v>503</v>
      </c>
      <c r="N1" s="21" t="s">
        <v>292</v>
      </c>
      <c r="O1" s="21" t="s">
        <v>239</v>
      </c>
      <c r="P1" s="21" t="s">
        <v>240</v>
      </c>
      <c r="Q1" s="21" t="s">
        <v>403</v>
      </c>
      <c r="R1" s="21" t="s">
        <v>233</v>
      </c>
      <c r="S1" s="153" t="s">
        <v>4894</v>
      </c>
      <c r="T1" s="153" t="s">
        <v>4893</v>
      </c>
      <c r="U1" s="21" t="s">
        <v>343</v>
      </c>
      <c r="V1" s="21" t="s">
        <v>215</v>
      </c>
      <c r="W1" s="21" t="s">
        <v>323</v>
      </c>
      <c r="X1" s="21" t="s">
        <v>159</v>
      </c>
      <c r="Y1" s="21" t="s">
        <v>52</v>
      </c>
      <c r="Z1" s="21" t="s">
        <v>344</v>
      </c>
      <c r="AA1" s="21" t="s">
        <v>4895</v>
      </c>
      <c r="AB1" s="21" t="s">
        <v>323</v>
      </c>
      <c r="AC1" s="153" t="s">
        <v>587</v>
      </c>
      <c r="AE1" s="697" t="s">
        <v>4899</v>
      </c>
      <c r="AH1" s="153" t="s">
        <v>5133</v>
      </c>
      <c r="AI1" s="153" t="s">
        <v>5132</v>
      </c>
      <c r="AJ1" s="153" t="s">
        <v>5134</v>
      </c>
      <c r="AK1" s="153" t="s">
        <v>5135</v>
      </c>
    </row>
    <row r="2" spans="1:37" x14ac:dyDescent="0.2">
      <c r="A2">
        <v>0</v>
      </c>
      <c r="B2" s="343">
        <v>0</v>
      </c>
      <c r="C2" s="343">
        <v>1</v>
      </c>
      <c r="D2" s="343"/>
      <c r="E2" s="343"/>
      <c r="F2" s="343"/>
      <c r="G2" s="343"/>
      <c r="H2" s="343"/>
    </row>
    <row r="3" spans="1:37" x14ac:dyDescent="0.2">
      <c r="A3">
        <v>1</v>
      </c>
      <c r="B3" s="343">
        <v>1</v>
      </c>
      <c r="C3" s="343">
        <v>2</v>
      </c>
      <c r="D3" s="343">
        <v>0</v>
      </c>
      <c r="E3" s="343">
        <v>0</v>
      </c>
      <c r="F3" s="343" t="str">
        <f t="shared" ref="F3:F17" si="0">IF(B3&gt;1,IF(D3&gt;0,D3,INDEX(tblMedicationContIV,B3,11)),"")</f>
        <v/>
      </c>
      <c r="G3" s="343" t="str">
        <f t="shared" ref="G3:G17" si="1">IF(B3&gt;1,IF(E3&gt;0,E3,INDEX(tblMedicationContIV,B3,12)),"")</f>
        <v/>
      </c>
      <c r="H3" s="343" t="str">
        <f t="shared" ref="H3:H17" si="2">IF(AND(B3&gt;1,_Pat_Gewicht&gt;0),ROUND(INDEX(tblMedicationContIV,B3,18)*J3/10,3),"")</f>
        <v/>
      </c>
      <c r="I3">
        <v>1</v>
      </c>
      <c r="J3">
        <v>0</v>
      </c>
      <c r="K3">
        <f>IF(PedGuiMedIV!E9&lt;&gt;0,24*J3/10,0)</f>
        <v>0</v>
      </c>
      <c r="L3">
        <f>IF(PedBerMedIV!$I3=3,PedBerMedIV!K3*0.05,0)</f>
        <v>0</v>
      </c>
      <c r="M3">
        <f>IF(PedBerMedIV!$I3=4,PedBerMedIV!K3*0.1,0)</f>
        <v>0</v>
      </c>
      <c r="N3">
        <f>IF(PedBerMedIV!$I3=2,PedBerMedIV!K3*0.155,0)</f>
        <v>0</v>
      </c>
      <c r="O3">
        <f t="shared" ref="O3:O22" si="3">IF(OR($B3=24),0.5*$K3,IF(B3=4,K3*145/1000,0))</f>
        <v>0</v>
      </c>
      <c r="P3">
        <f>IF(OR($B3=19),0,0)</f>
        <v>0</v>
      </c>
      <c r="Q3">
        <f t="shared" ref="Q3:Q22" si="4">IF(OR($B3=4),0.2*$K3,0)</f>
        <v>0</v>
      </c>
      <c r="R3">
        <f t="shared" ref="R3:R22" si="5">IF(OR(B3=20,B3=21),0.1*K3,0)</f>
        <v>0</v>
      </c>
      <c r="S3" t="str">
        <f>IF(B3&gt;1,"verw","")</f>
        <v/>
      </c>
      <c r="T3" t="str">
        <f>IF(AND(AJ3,AK3),"","stand")</f>
        <v/>
      </c>
      <c r="U3" t="str">
        <f t="shared" ref="U3:U17" si="6">IF(B3&gt;1,INDEX(tblMedicationContIV,B3,1),"")</f>
        <v/>
      </c>
      <c r="V3" t="str">
        <f>IF(B3&gt;1,F3&amp;" "&amp;INDEX(tblMedicationContIV,PedBerMedIV!$B3,4), "")</f>
        <v/>
      </c>
      <c r="W3" t="str">
        <f>IF(AND(B3&gt;1,G3&gt;0),G3&amp;" ml","")</f>
        <v/>
      </c>
      <c r="X3" t="str">
        <f t="shared" ref="X3:X22" si="7">IF((INDEX(tblOplossing,I3,1)=0),"",INDEX(tblOplossing,I3,1))</f>
        <v/>
      </c>
      <c r="Y3" t="str">
        <f>IF(B3&gt;1,J3/10&amp;" ml/uur","")</f>
        <v/>
      </c>
      <c r="Z3" t="str">
        <f>IF(AND(B3&gt;1,H3&lt;&gt;""),(J3/10)*H3,"")</f>
        <v/>
      </c>
      <c r="AA3" t="str">
        <f t="shared" ref="AA3:AA17" si="8">IF(B3&gt;1,INDEX(tblMedicationContIV,B3,2), "")</f>
        <v/>
      </c>
      <c r="AB3" t="str">
        <f>IF(B3&gt;1,24*J3/10&amp;" ml","")</f>
        <v/>
      </c>
      <c r="AC3" t="str">
        <f t="shared" ref="AC3:AC17" si="9">IF(B3&gt;1,INDEX(tblMedicationContIV,B3,3),"")</f>
        <v/>
      </c>
      <c r="AH3" t="b">
        <f t="shared" ref="AH3:AH17" si="10">IF(B3&gt;1,IF(Z3&gt;=INDEX(tblMedicationContIV,B3,21),TRUE,FALSE),FALSE)</f>
        <v>0</v>
      </c>
      <c r="AI3" t="b">
        <f t="shared" ref="AI3:AI17" si="11">IF(B3&gt;1,IF(AND(Z3&gt;=INDEX(tblMedicationContIV,B3,19),Z3&lt;=INDEX(tblMedicationContIV,B3,20)),TRUE,FALSE),TRUE)=FALSE</f>
        <v>0</v>
      </c>
      <c r="AJ3" s="321" t="b">
        <f t="shared" ref="AJ3:AJ17" si="12">NOT(AND(B3&gt;1,F3&lt;&gt;INDEX(tblMedicationContIV,B3,11)))</f>
        <v>1</v>
      </c>
      <c r="AK3" t="b">
        <f t="shared" ref="AK3:AK17" si="13">NOT(AND(B3&gt;1,G3&lt;&gt;INDEX(tblMedicationContIV,B3,12)))</f>
        <v>1</v>
      </c>
    </row>
    <row r="4" spans="1:37" x14ac:dyDescent="0.2">
      <c r="A4">
        <v>2</v>
      </c>
      <c r="B4" s="343">
        <v>1</v>
      </c>
      <c r="C4" s="343">
        <v>3</v>
      </c>
      <c r="D4" s="343">
        <v>0</v>
      </c>
      <c r="E4" s="343">
        <v>0</v>
      </c>
      <c r="F4" s="343" t="str">
        <f t="shared" si="0"/>
        <v/>
      </c>
      <c r="G4" s="343" t="str">
        <f t="shared" si="1"/>
        <v/>
      </c>
      <c r="H4" s="343" t="str">
        <f t="shared" si="2"/>
        <v/>
      </c>
      <c r="I4">
        <v>1</v>
      </c>
      <c r="J4">
        <v>0</v>
      </c>
      <c r="K4">
        <f>IF(PedGuiMedIV!E10&lt;&gt;0,24*J4/10,0)</f>
        <v>0</v>
      </c>
      <c r="L4">
        <f>IF(PedBerMedIV!$I4=3,PedBerMedIV!K4*0.05,0)</f>
        <v>0</v>
      </c>
      <c r="M4">
        <f>IF(PedBerMedIV!$I4=4,PedBerMedIV!K4*0.1,0)</f>
        <v>0</v>
      </c>
      <c r="N4">
        <f>IF(PedBerMedIV!$I4=2,PedBerMedIV!K4*0.155,0)</f>
        <v>0</v>
      </c>
      <c r="O4">
        <f t="shared" si="3"/>
        <v>0</v>
      </c>
      <c r="P4">
        <f t="shared" ref="P4:P22" si="14">IF(OR($B4=19),0,0)</f>
        <v>0</v>
      </c>
      <c r="Q4">
        <f t="shared" si="4"/>
        <v>0</v>
      </c>
      <c r="R4">
        <f t="shared" si="5"/>
        <v>0</v>
      </c>
      <c r="S4" s="320" t="str">
        <f t="shared" ref="S4:S18" si="15">IF(B4&gt;1,"verw","")</f>
        <v/>
      </c>
      <c r="T4" s="320" t="str">
        <f t="shared" ref="T4:T17" si="16">IF(AND(D4&gt;0,D4&lt;&gt;INDEX(tblMedicationContIV,B4,11)),"stand","")</f>
        <v/>
      </c>
      <c r="U4" s="320" t="str">
        <f t="shared" si="6"/>
        <v/>
      </c>
      <c r="V4" s="320" t="str">
        <f>IF(B4&gt;1,F4&amp;" "&amp;INDEX(tblMedicationContIV,PedBerMedIV!$B4,4), "")</f>
        <v/>
      </c>
      <c r="W4" s="320" t="str">
        <f t="shared" ref="W4:W17" si="17">IF(AND(B4&gt;1,G4&gt;0),G4&amp;" ml","")</f>
        <v/>
      </c>
      <c r="X4" s="320" t="str">
        <f t="shared" si="7"/>
        <v/>
      </c>
      <c r="Y4" s="320" t="str">
        <f t="shared" ref="Y4:Y18" si="18">IF(B4&gt;1,J4/10&amp;" ml/uur","")</f>
        <v/>
      </c>
      <c r="Z4" s="320" t="str">
        <f t="shared" ref="Z4:Z17" si="19">IF(AND(B4&gt;1,H4&lt;&gt;""),(J4/10)*H4,"")</f>
        <v/>
      </c>
      <c r="AA4" s="320" t="str">
        <f t="shared" si="8"/>
        <v/>
      </c>
      <c r="AB4" s="320" t="str">
        <f t="shared" ref="AB4:AB18" si="20">IF(B4&gt;1,24*J4/10&amp;" ml","")</f>
        <v/>
      </c>
      <c r="AC4" s="320" t="str">
        <f t="shared" si="9"/>
        <v/>
      </c>
      <c r="AH4" s="320" t="b">
        <f t="shared" si="10"/>
        <v>0</v>
      </c>
      <c r="AI4" s="320" t="b">
        <f t="shared" si="11"/>
        <v>0</v>
      </c>
      <c r="AJ4" s="321" t="b">
        <f t="shared" si="12"/>
        <v>1</v>
      </c>
      <c r="AK4" s="320" t="b">
        <f t="shared" si="13"/>
        <v>1</v>
      </c>
    </row>
    <row r="5" spans="1:37" x14ac:dyDescent="0.2">
      <c r="A5">
        <v>3</v>
      </c>
      <c r="B5" s="343">
        <v>1</v>
      </c>
      <c r="C5" s="343">
        <v>4</v>
      </c>
      <c r="D5" s="343">
        <v>0</v>
      </c>
      <c r="E5" s="343">
        <v>0</v>
      </c>
      <c r="F5" s="343" t="str">
        <f t="shared" si="0"/>
        <v/>
      </c>
      <c r="G5" s="343" t="str">
        <f t="shared" si="1"/>
        <v/>
      </c>
      <c r="H5" s="343" t="str">
        <f t="shared" si="2"/>
        <v/>
      </c>
      <c r="I5">
        <v>1</v>
      </c>
      <c r="J5">
        <v>0</v>
      </c>
      <c r="K5">
        <f>IF(PedGuiMedIV!E11&lt;&gt;0,24*J5/10,0)</f>
        <v>0</v>
      </c>
      <c r="L5">
        <f>IF(PedBerMedIV!$I5=3,PedBerMedIV!K5*0.05,0)</f>
        <v>0</v>
      </c>
      <c r="M5">
        <f>IF(PedBerMedIV!$I5=4,PedBerMedIV!K5*0.1,0)</f>
        <v>0</v>
      </c>
      <c r="N5">
        <f>IF(PedBerMedIV!$I5=2,PedBerMedIV!K5*0.155,0)</f>
        <v>0</v>
      </c>
      <c r="O5">
        <f t="shared" si="3"/>
        <v>0</v>
      </c>
      <c r="P5">
        <f t="shared" si="14"/>
        <v>0</v>
      </c>
      <c r="Q5">
        <f t="shared" si="4"/>
        <v>0</v>
      </c>
      <c r="R5">
        <f t="shared" si="5"/>
        <v>0</v>
      </c>
      <c r="S5" s="320" t="str">
        <f t="shared" si="15"/>
        <v/>
      </c>
      <c r="T5" s="320" t="str">
        <f t="shared" si="16"/>
        <v/>
      </c>
      <c r="U5" s="320" t="str">
        <f t="shared" si="6"/>
        <v/>
      </c>
      <c r="V5" s="320" t="str">
        <f>IF(B5&gt;1,F5&amp;" "&amp;INDEX(tblMedicationContIV,PedBerMedIV!$B5,4), "")</f>
        <v/>
      </c>
      <c r="W5" s="320" t="str">
        <f t="shared" si="17"/>
        <v/>
      </c>
      <c r="X5" s="320" t="str">
        <f t="shared" si="7"/>
        <v/>
      </c>
      <c r="Y5" s="320" t="str">
        <f t="shared" si="18"/>
        <v/>
      </c>
      <c r="Z5" s="320" t="str">
        <f t="shared" si="19"/>
        <v/>
      </c>
      <c r="AA5" s="320" t="str">
        <f t="shared" si="8"/>
        <v/>
      </c>
      <c r="AB5" s="320" t="str">
        <f t="shared" si="20"/>
        <v/>
      </c>
      <c r="AC5" s="320" t="str">
        <f t="shared" si="9"/>
        <v/>
      </c>
      <c r="AH5" s="320" t="b">
        <f t="shared" si="10"/>
        <v>0</v>
      </c>
      <c r="AI5" s="320" t="b">
        <f t="shared" si="11"/>
        <v>0</v>
      </c>
      <c r="AJ5" s="321" t="b">
        <f t="shared" si="12"/>
        <v>1</v>
      </c>
      <c r="AK5" s="320" t="b">
        <f t="shared" si="13"/>
        <v>1</v>
      </c>
    </row>
    <row r="6" spans="1:37" x14ac:dyDescent="0.2">
      <c r="A6" s="361">
        <v>4</v>
      </c>
      <c r="B6" s="343">
        <v>1</v>
      </c>
      <c r="C6" s="343">
        <v>5</v>
      </c>
      <c r="D6" s="343">
        <v>0</v>
      </c>
      <c r="E6" s="343">
        <v>0</v>
      </c>
      <c r="F6" s="343" t="str">
        <f t="shared" si="0"/>
        <v/>
      </c>
      <c r="G6" s="343" t="str">
        <f t="shared" si="1"/>
        <v/>
      </c>
      <c r="H6" s="343" t="str">
        <f t="shared" si="2"/>
        <v/>
      </c>
      <c r="I6">
        <v>1</v>
      </c>
      <c r="J6">
        <v>0</v>
      </c>
      <c r="K6">
        <f>IF(PedGuiMedIV!E12&lt;&gt;0,24*J6/10,0)</f>
        <v>0</v>
      </c>
      <c r="L6">
        <f>IF(PedBerMedIV!$I6=3,PedBerMedIV!K6*0.05,0)</f>
        <v>0</v>
      </c>
      <c r="M6">
        <f>IF(PedBerMedIV!$I6=4,PedBerMedIV!K6*0.1,0)</f>
        <v>0</v>
      </c>
      <c r="N6">
        <f>IF(PedBerMedIV!$I6=2,PedBerMedIV!K6*0.155,0)</f>
        <v>0</v>
      </c>
      <c r="O6">
        <f t="shared" si="3"/>
        <v>0</v>
      </c>
      <c r="P6">
        <f t="shared" si="14"/>
        <v>0</v>
      </c>
      <c r="Q6">
        <f t="shared" si="4"/>
        <v>0</v>
      </c>
      <c r="R6">
        <f t="shared" si="5"/>
        <v>0</v>
      </c>
      <c r="S6" s="320" t="str">
        <f t="shared" si="15"/>
        <v/>
      </c>
      <c r="T6" s="320" t="str">
        <f t="shared" si="16"/>
        <v/>
      </c>
      <c r="U6" s="320" t="str">
        <f t="shared" si="6"/>
        <v/>
      </c>
      <c r="V6" s="320" t="str">
        <f>IF(B6&gt;1,F6&amp;" "&amp;INDEX(tblMedicationContIV,PedBerMedIV!$B6,4), "")</f>
        <v/>
      </c>
      <c r="W6" s="320" t="str">
        <f t="shared" si="17"/>
        <v/>
      </c>
      <c r="X6" s="320" t="str">
        <f t="shared" si="7"/>
        <v/>
      </c>
      <c r="Y6" s="320" t="str">
        <f t="shared" si="18"/>
        <v/>
      </c>
      <c r="Z6" s="320" t="str">
        <f t="shared" si="19"/>
        <v/>
      </c>
      <c r="AA6" s="320" t="str">
        <f t="shared" si="8"/>
        <v/>
      </c>
      <c r="AB6" s="320" t="str">
        <f t="shared" si="20"/>
        <v/>
      </c>
      <c r="AC6" s="320" t="str">
        <f t="shared" si="9"/>
        <v/>
      </c>
      <c r="AH6" s="320" t="b">
        <f t="shared" si="10"/>
        <v>0</v>
      </c>
      <c r="AI6" s="320" t="b">
        <f t="shared" si="11"/>
        <v>0</v>
      </c>
      <c r="AJ6" s="321" t="b">
        <f t="shared" si="12"/>
        <v>1</v>
      </c>
      <c r="AK6" s="320" t="b">
        <f t="shared" si="13"/>
        <v>1</v>
      </c>
    </row>
    <row r="7" spans="1:37" x14ac:dyDescent="0.2">
      <c r="A7">
        <v>5</v>
      </c>
      <c r="B7" s="343">
        <v>1</v>
      </c>
      <c r="C7" s="343">
        <v>6</v>
      </c>
      <c r="D7" s="343">
        <v>0</v>
      </c>
      <c r="E7" s="343">
        <v>0</v>
      </c>
      <c r="F7" s="343" t="str">
        <f t="shared" si="0"/>
        <v/>
      </c>
      <c r="G7" s="343" t="str">
        <f t="shared" si="1"/>
        <v/>
      </c>
      <c r="H7" s="343" t="str">
        <f t="shared" si="2"/>
        <v/>
      </c>
      <c r="I7">
        <v>1</v>
      </c>
      <c r="J7">
        <v>0</v>
      </c>
      <c r="K7">
        <f>IF(PedGuiMedIV!E13&lt;&gt;0,24*J7/10,0)</f>
        <v>0</v>
      </c>
      <c r="L7">
        <f>IF(PedBerMedIV!$I7=3,PedBerMedIV!K7*0.05,0)</f>
        <v>0</v>
      </c>
      <c r="M7">
        <f>IF(PedBerMedIV!$I7=4,PedBerMedIV!K7*0.1,0)</f>
        <v>0</v>
      </c>
      <c r="N7">
        <f>IF(PedBerMedIV!$I7=2,PedBerMedIV!K7*0.155,0)</f>
        <v>0</v>
      </c>
      <c r="O7">
        <f t="shared" si="3"/>
        <v>0</v>
      </c>
      <c r="P7">
        <f t="shared" si="14"/>
        <v>0</v>
      </c>
      <c r="Q7">
        <f t="shared" si="4"/>
        <v>0</v>
      </c>
      <c r="R7">
        <f t="shared" si="5"/>
        <v>0</v>
      </c>
      <c r="S7" s="320" t="str">
        <f t="shared" si="15"/>
        <v/>
      </c>
      <c r="T7" s="320" t="str">
        <f t="shared" si="16"/>
        <v/>
      </c>
      <c r="U7" s="320" t="str">
        <f t="shared" si="6"/>
        <v/>
      </c>
      <c r="V7" s="320" t="str">
        <f>IF(B7&gt;1,F7&amp;" "&amp;INDEX(tblMedicationContIV,PedBerMedIV!$B7,4), "")</f>
        <v/>
      </c>
      <c r="W7" s="320" t="str">
        <f t="shared" si="17"/>
        <v/>
      </c>
      <c r="X7" s="320" t="str">
        <f t="shared" si="7"/>
        <v/>
      </c>
      <c r="Y7" s="320" t="str">
        <f t="shared" si="18"/>
        <v/>
      </c>
      <c r="Z7" s="320" t="str">
        <f t="shared" si="19"/>
        <v/>
      </c>
      <c r="AA7" s="320" t="str">
        <f t="shared" si="8"/>
        <v/>
      </c>
      <c r="AB7" s="320" t="str">
        <f t="shared" si="20"/>
        <v/>
      </c>
      <c r="AC7" s="320" t="str">
        <f t="shared" si="9"/>
        <v/>
      </c>
      <c r="AH7" s="320" t="b">
        <f t="shared" si="10"/>
        <v>0</v>
      </c>
      <c r="AI7" s="320" t="b">
        <f t="shared" si="11"/>
        <v>0</v>
      </c>
      <c r="AJ7" s="321" t="b">
        <f t="shared" si="12"/>
        <v>1</v>
      </c>
      <c r="AK7" s="320" t="b">
        <f t="shared" si="13"/>
        <v>1</v>
      </c>
    </row>
    <row r="8" spans="1:37" x14ac:dyDescent="0.2">
      <c r="A8">
        <v>6</v>
      </c>
      <c r="B8" s="343">
        <v>1</v>
      </c>
      <c r="C8" s="343">
        <v>7</v>
      </c>
      <c r="D8" s="343">
        <v>0</v>
      </c>
      <c r="E8" s="343">
        <v>0</v>
      </c>
      <c r="F8" s="343" t="str">
        <f t="shared" si="0"/>
        <v/>
      </c>
      <c r="G8" s="343" t="str">
        <f t="shared" si="1"/>
        <v/>
      </c>
      <c r="H8" s="343" t="str">
        <f t="shared" si="2"/>
        <v/>
      </c>
      <c r="I8">
        <v>1</v>
      </c>
      <c r="J8">
        <v>0</v>
      </c>
      <c r="K8">
        <f>IF(PedGuiMedIV!E14&lt;&gt;0,24*J8/10,0)</f>
        <v>0</v>
      </c>
      <c r="L8">
        <f>IF(PedBerMedIV!$I8=3,PedBerMedIV!K8*0.05,0)</f>
        <v>0</v>
      </c>
      <c r="M8">
        <f>IF(PedBerMedIV!$I8=4,PedBerMedIV!K8*0.1,0)</f>
        <v>0</v>
      </c>
      <c r="N8">
        <f>IF(PedBerMedIV!$I8=2,PedBerMedIV!K8*0.155,0)</f>
        <v>0</v>
      </c>
      <c r="O8">
        <f t="shared" si="3"/>
        <v>0</v>
      </c>
      <c r="P8">
        <f t="shared" si="14"/>
        <v>0</v>
      </c>
      <c r="Q8">
        <f t="shared" si="4"/>
        <v>0</v>
      </c>
      <c r="R8">
        <f t="shared" si="5"/>
        <v>0</v>
      </c>
      <c r="S8" s="320" t="str">
        <f t="shared" si="15"/>
        <v/>
      </c>
      <c r="T8" s="320" t="str">
        <f t="shared" si="16"/>
        <v/>
      </c>
      <c r="U8" s="320" t="str">
        <f t="shared" si="6"/>
        <v/>
      </c>
      <c r="V8" s="320" t="str">
        <f>IF(B8&gt;1,F8&amp;" "&amp;INDEX(tblMedicationContIV,PedBerMedIV!$B8,4), "")</f>
        <v/>
      </c>
      <c r="W8" s="320" t="str">
        <f t="shared" si="17"/>
        <v/>
      </c>
      <c r="X8" s="320" t="str">
        <f t="shared" si="7"/>
        <v/>
      </c>
      <c r="Y8" s="320" t="str">
        <f t="shared" si="18"/>
        <v/>
      </c>
      <c r="Z8" s="320" t="str">
        <f t="shared" si="19"/>
        <v/>
      </c>
      <c r="AA8" s="320" t="str">
        <f t="shared" si="8"/>
        <v/>
      </c>
      <c r="AB8" s="320" t="str">
        <f t="shared" si="20"/>
        <v/>
      </c>
      <c r="AC8" s="320" t="str">
        <f t="shared" si="9"/>
        <v/>
      </c>
      <c r="AH8" s="320" t="b">
        <f t="shared" si="10"/>
        <v>0</v>
      </c>
      <c r="AI8" s="320" t="b">
        <f t="shared" si="11"/>
        <v>0</v>
      </c>
      <c r="AJ8" s="321" t="b">
        <f t="shared" si="12"/>
        <v>1</v>
      </c>
      <c r="AK8" s="320" t="b">
        <f t="shared" si="13"/>
        <v>1</v>
      </c>
    </row>
    <row r="9" spans="1:37" x14ac:dyDescent="0.2">
      <c r="A9">
        <v>7</v>
      </c>
      <c r="B9" s="343">
        <v>1</v>
      </c>
      <c r="C9" s="343">
        <v>8</v>
      </c>
      <c r="D9" s="343">
        <v>0</v>
      </c>
      <c r="E9" s="343">
        <v>0</v>
      </c>
      <c r="F9" s="343" t="str">
        <f t="shared" si="0"/>
        <v/>
      </c>
      <c r="G9" s="343" t="str">
        <f t="shared" si="1"/>
        <v/>
      </c>
      <c r="H9" s="343" t="str">
        <f t="shared" si="2"/>
        <v/>
      </c>
      <c r="I9">
        <v>1</v>
      </c>
      <c r="J9">
        <v>0</v>
      </c>
      <c r="K9">
        <f>IF(PedGuiMedIV!E15&lt;&gt;0,24*J9/10,0)</f>
        <v>0</v>
      </c>
      <c r="L9">
        <f>IF(PedBerMedIV!$I9=3,PedBerMedIV!K9*0.05,0)</f>
        <v>0</v>
      </c>
      <c r="M9">
        <f>IF(PedBerMedIV!$I9=4,PedBerMedIV!K9*0.1,0)</f>
        <v>0</v>
      </c>
      <c r="N9">
        <f>IF(PedBerMedIV!$I9=2,PedBerMedIV!K9*0.155,0)</f>
        <v>0</v>
      </c>
      <c r="O9">
        <f t="shared" si="3"/>
        <v>0</v>
      </c>
      <c r="P9">
        <f t="shared" si="14"/>
        <v>0</v>
      </c>
      <c r="Q9">
        <f t="shared" si="4"/>
        <v>0</v>
      </c>
      <c r="R9">
        <f t="shared" si="5"/>
        <v>0</v>
      </c>
      <c r="S9" s="320" t="str">
        <f t="shared" si="15"/>
        <v/>
      </c>
      <c r="T9" s="320" t="str">
        <f t="shared" si="16"/>
        <v/>
      </c>
      <c r="U9" s="320" t="str">
        <f t="shared" si="6"/>
        <v/>
      </c>
      <c r="V9" s="320" t="str">
        <f>IF(B9&gt;1,F9&amp;" "&amp;INDEX(tblMedicationContIV,PedBerMedIV!$B9,4), "")</f>
        <v/>
      </c>
      <c r="W9" s="320" t="str">
        <f t="shared" si="17"/>
        <v/>
      </c>
      <c r="X9" s="320" t="str">
        <f t="shared" si="7"/>
        <v/>
      </c>
      <c r="Y9" s="320" t="str">
        <f t="shared" si="18"/>
        <v/>
      </c>
      <c r="Z9" s="320" t="str">
        <f t="shared" si="19"/>
        <v/>
      </c>
      <c r="AA9" s="320" t="str">
        <f t="shared" si="8"/>
        <v/>
      </c>
      <c r="AB9" s="320" t="str">
        <f t="shared" si="20"/>
        <v/>
      </c>
      <c r="AC9" s="320" t="str">
        <f t="shared" si="9"/>
        <v/>
      </c>
      <c r="AH9" s="320" t="b">
        <f t="shared" si="10"/>
        <v>0</v>
      </c>
      <c r="AI9" s="320" t="b">
        <f t="shared" si="11"/>
        <v>0</v>
      </c>
      <c r="AJ9" s="321" t="b">
        <f t="shared" si="12"/>
        <v>1</v>
      </c>
      <c r="AK9" s="320" t="b">
        <f t="shared" si="13"/>
        <v>1</v>
      </c>
    </row>
    <row r="10" spans="1:37" x14ac:dyDescent="0.2">
      <c r="A10">
        <v>8</v>
      </c>
      <c r="B10" s="343">
        <v>1</v>
      </c>
      <c r="C10" s="343">
        <v>9</v>
      </c>
      <c r="D10" s="343">
        <v>0</v>
      </c>
      <c r="E10" s="343">
        <v>0</v>
      </c>
      <c r="F10" s="343" t="str">
        <f t="shared" si="0"/>
        <v/>
      </c>
      <c r="G10" s="343" t="str">
        <f t="shared" si="1"/>
        <v/>
      </c>
      <c r="H10" s="343" t="str">
        <f t="shared" si="2"/>
        <v/>
      </c>
      <c r="I10">
        <v>1</v>
      </c>
      <c r="J10">
        <v>0</v>
      </c>
      <c r="K10">
        <f>IF(PedGuiMedIV!E16&lt;&gt;0,24*J10/10,0)</f>
        <v>0</v>
      </c>
      <c r="L10">
        <f>IF(PedBerMedIV!$I10=3,PedBerMedIV!K10*0.05,0)</f>
        <v>0</v>
      </c>
      <c r="M10">
        <f>IF(PedBerMedIV!$I10=4,PedBerMedIV!K10*0.1,0)</f>
        <v>0</v>
      </c>
      <c r="N10">
        <f>IF(PedBerMedIV!$I10=2,PedBerMedIV!K10*0.155,0)</f>
        <v>0</v>
      </c>
      <c r="O10">
        <f t="shared" si="3"/>
        <v>0</v>
      </c>
      <c r="P10">
        <f t="shared" si="14"/>
        <v>0</v>
      </c>
      <c r="Q10">
        <f t="shared" si="4"/>
        <v>0</v>
      </c>
      <c r="R10">
        <f t="shared" si="5"/>
        <v>0</v>
      </c>
      <c r="S10" s="320" t="str">
        <f t="shared" si="15"/>
        <v/>
      </c>
      <c r="T10" s="320" t="str">
        <f t="shared" si="16"/>
        <v/>
      </c>
      <c r="U10" s="320" t="str">
        <f t="shared" si="6"/>
        <v/>
      </c>
      <c r="V10" s="320" t="str">
        <f>IF(B10&gt;1,F10&amp;" "&amp;INDEX(tblMedicationContIV,PedBerMedIV!$B10,4), "")</f>
        <v/>
      </c>
      <c r="W10" s="320" t="str">
        <f t="shared" si="17"/>
        <v/>
      </c>
      <c r="X10" s="320" t="str">
        <f t="shared" si="7"/>
        <v/>
      </c>
      <c r="Y10" s="320" t="str">
        <f t="shared" si="18"/>
        <v/>
      </c>
      <c r="Z10" s="320" t="str">
        <f t="shared" si="19"/>
        <v/>
      </c>
      <c r="AA10" s="320" t="str">
        <f t="shared" si="8"/>
        <v/>
      </c>
      <c r="AB10" s="320" t="str">
        <f t="shared" si="20"/>
        <v/>
      </c>
      <c r="AC10" s="320" t="str">
        <f t="shared" si="9"/>
        <v/>
      </c>
      <c r="AH10" s="320" t="b">
        <f t="shared" si="10"/>
        <v>0</v>
      </c>
      <c r="AI10" s="320" t="b">
        <f t="shared" si="11"/>
        <v>0</v>
      </c>
      <c r="AJ10" s="321" t="b">
        <f t="shared" si="12"/>
        <v>1</v>
      </c>
      <c r="AK10" s="320" t="b">
        <f t="shared" si="13"/>
        <v>1</v>
      </c>
    </row>
    <row r="11" spans="1:37" x14ac:dyDescent="0.2">
      <c r="A11">
        <v>9</v>
      </c>
      <c r="B11" s="343">
        <v>1</v>
      </c>
      <c r="C11" s="343">
        <v>10</v>
      </c>
      <c r="D11" s="343">
        <v>0</v>
      </c>
      <c r="E11" s="343">
        <v>0</v>
      </c>
      <c r="F11" s="343" t="str">
        <f t="shared" si="0"/>
        <v/>
      </c>
      <c r="G11" s="343" t="str">
        <f t="shared" si="1"/>
        <v/>
      </c>
      <c r="H11" s="343" t="str">
        <f t="shared" si="2"/>
        <v/>
      </c>
      <c r="I11">
        <v>1</v>
      </c>
      <c r="J11">
        <v>0</v>
      </c>
      <c r="K11">
        <f>IF(PedGuiMedIV!E17&lt;&gt;0,24*J11/10,0)</f>
        <v>0</v>
      </c>
      <c r="L11">
        <f>IF(PedBerMedIV!$I11=3,PedBerMedIV!K11*0.05,0)</f>
        <v>0</v>
      </c>
      <c r="M11">
        <f>IF(PedBerMedIV!$I11=4,PedBerMedIV!K11*0.1,0)</f>
        <v>0</v>
      </c>
      <c r="N11">
        <f>IF(PedBerMedIV!$I11=2,PedBerMedIV!K11*0.155,0)</f>
        <v>0</v>
      </c>
      <c r="O11">
        <f t="shared" si="3"/>
        <v>0</v>
      </c>
      <c r="P11">
        <f t="shared" si="14"/>
        <v>0</v>
      </c>
      <c r="Q11">
        <f t="shared" si="4"/>
        <v>0</v>
      </c>
      <c r="R11">
        <f t="shared" si="5"/>
        <v>0</v>
      </c>
      <c r="S11" s="320" t="str">
        <f t="shared" si="15"/>
        <v/>
      </c>
      <c r="T11" s="320" t="str">
        <f t="shared" si="16"/>
        <v/>
      </c>
      <c r="U11" s="320" t="str">
        <f t="shared" si="6"/>
        <v/>
      </c>
      <c r="V11" s="320" t="str">
        <f>IF(B11&gt;1,F11&amp;" "&amp;INDEX(tblMedicationContIV,PedBerMedIV!$B11,4), "")</f>
        <v/>
      </c>
      <c r="W11" s="320" t="str">
        <f t="shared" si="17"/>
        <v/>
      </c>
      <c r="X11" s="320" t="str">
        <f t="shared" si="7"/>
        <v/>
      </c>
      <c r="Y11" s="320" t="str">
        <f t="shared" si="18"/>
        <v/>
      </c>
      <c r="Z11" s="320" t="str">
        <f t="shared" si="19"/>
        <v/>
      </c>
      <c r="AA11" s="320" t="str">
        <f t="shared" si="8"/>
        <v/>
      </c>
      <c r="AB11" s="320" t="str">
        <f t="shared" si="20"/>
        <v/>
      </c>
      <c r="AC11" s="320" t="str">
        <f t="shared" si="9"/>
        <v/>
      </c>
      <c r="AH11" s="320" t="b">
        <f t="shared" si="10"/>
        <v>0</v>
      </c>
      <c r="AI11" s="320" t="b">
        <f t="shared" si="11"/>
        <v>0</v>
      </c>
      <c r="AJ11" s="321" t="b">
        <f t="shared" si="12"/>
        <v>1</v>
      </c>
      <c r="AK11" s="320" t="b">
        <f t="shared" si="13"/>
        <v>1</v>
      </c>
    </row>
    <row r="12" spans="1:37" x14ac:dyDescent="0.2">
      <c r="A12">
        <v>10</v>
      </c>
      <c r="B12" s="343">
        <v>1</v>
      </c>
      <c r="C12" s="343">
        <v>11</v>
      </c>
      <c r="D12" s="343">
        <v>0</v>
      </c>
      <c r="E12" s="343">
        <v>0</v>
      </c>
      <c r="F12" s="343" t="str">
        <f t="shared" si="0"/>
        <v/>
      </c>
      <c r="G12" s="343" t="str">
        <f t="shared" si="1"/>
        <v/>
      </c>
      <c r="H12" s="343" t="str">
        <f t="shared" si="2"/>
        <v/>
      </c>
      <c r="I12">
        <v>1</v>
      </c>
      <c r="J12">
        <v>0</v>
      </c>
      <c r="K12">
        <f>IF(PedGuiMedIV!E18&lt;&gt;0,24*J12/10,0)</f>
        <v>0</v>
      </c>
      <c r="L12">
        <f>IF(PedBerMedIV!$I12=3,PedBerMedIV!K12*0.05,0)</f>
        <v>0</v>
      </c>
      <c r="M12">
        <f>IF(PedBerMedIV!$I12=4,PedBerMedIV!K12*0.1,0)</f>
        <v>0</v>
      </c>
      <c r="N12">
        <f>IF(PedBerMedIV!$I12=2,PedBerMedIV!K12*0.155,0)</f>
        <v>0</v>
      </c>
      <c r="O12">
        <f t="shared" si="3"/>
        <v>0</v>
      </c>
      <c r="P12">
        <f t="shared" si="14"/>
        <v>0</v>
      </c>
      <c r="Q12">
        <f t="shared" si="4"/>
        <v>0</v>
      </c>
      <c r="R12">
        <f t="shared" si="5"/>
        <v>0</v>
      </c>
      <c r="S12" s="320" t="str">
        <f t="shared" si="15"/>
        <v/>
      </c>
      <c r="T12" s="320" t="str">
        <f t="shared" si="16"/>
        <v/>
      </c>
      <c r="U12" s="320" t="str">
        <f t="shared" si="6"/>
        <v/>
      </c>
      <c r="V12" s="320" t="str">
        <f>IF(B12&gt;1,F12&amp;" "&amp;INDEX(tblMedicationContIV,PedBerMedIV!$B12,4), "")</f>
        <v/>
      </c>
      <c r="W12" s="320" t="str">
        <f t="shared" si="17"/>
        <v/>
      </c>
      <c r="X12" s="320" t="str">
        <f t="shared" si="7"/>
        <v/>
      </c>
      <c r="Y12" s="320" t="str">
        <f t="shared" si="18"/>
        <v/>
      </c>
      <c r="Z12" s="320" t="str">
        <f t="shared" si="19"/>
        <v/>
      </c>
      <c r="AA12" s="320" t="str">
        <f t="shared" si="8"/>
        <v/>
      </c>
      <c r="AB12" s="320" t="str">
        <f t="shared" si="20"/>
        <v/>
      </c>
      <c r="AC12" s="320" t="str">
        <f t="shared" si="9"/>
        <v/>
      </c>
      <c r="AH12" s="320" t="b">
        <f t="shared" si="10"/>
        <v>0</v>
      </c>
      <c r="AI12" s="320" t="b">
        <f t="shared" si="11"/>
        <v>0</v>
      </c>
      <c r="AJ12" s="321" t="b">
        <f t="shared" si="12"/>
        <v>1</v>
      </c>
      <c r="AK12" s="320" t="b">
        <f t="shared" si="13"/>
        <v>1</v>
      </c>
    </row>
    <row r="13" spans="1:37" s="320" customFormat="1" x14ac:dyDescent="0.2">
      <c r="A13" s="320">
        <v>11</v>
      </c>
      <c r="B13" s="343">
        <v>1</v>
      </c>
      <c r="C13" s="343">
        <v>12</v>
      </c>
      <c r="D13" s="343">
        <v>0</v>
      </c>
      <c r="E13" s="343">
        <v>0</v>
      </c>
      <c r="F13" s="343" t="str">
        <f t="shared" si="0"/>
        <v/>
      </c>
      <c r="G13" s="343" t="str">
        <f t="shared" si="1"/>
        <v/>
      </c>
      <c r="H13" s="343" t="str">
        <f t="shared" si="2"/>
        <v/>
      </c>
      <c r="I13" s="320">
        <v>1</v>
      </c>
      <c r="J13" s="320">
        <v>0</v>
      </c>
      <c r="K13" s="320">
        <f>IF(PedGuiMedIV!E19&lt;&gt;0,24*J13/10,0)</f>
        <v>0</v>
      </c>
      <c r="L13" s="320">
        <f>IF(PedBerMedIV!$I13=3,PedBerMedIV!K13*0.05,0)</f>
        <v>0</v>
      </c>
      <c r="M13" s="320">
        <f>IF(PedBerMedIV!$I13=4,PedBerMedIV!K13*0.1,0)</f>
        <v>0</v>
      </c>
      <c r="N13" s="320">
        <f>IF(PedBerMedIV!$I13=2,PedBerMedIV!K13*0.155,0)</f>
        <v>0</v>
      </c>
      <c r="O13" s="320">
        <f t="shared" ref="O13:O17" si="21">IF(OR($B13=24),0.5*$K13,IF(B13=4,K13*145/1000,0))</f>
        <v>0</v>
      </c>
      <c r="P13" s="320">
        <f t="shared" si="14"/>
        <v>0</v>
      </c>
      <c r="Q13" s="320">
        <f t="shared" si="4"/>
        <v>0</v>
      </c>
      <c r="R13" s="320">
        <f t="shared" ref="R13:R17" si="22">IF(OR(B13=20,B13=21),0.1*K13,0)</f>
        <v>0</v>
      </c>
      <c r="S13" s="320" t="str">
        <f t="shared" si="15"/>
        <v/>
      </c>
      <c r="T13" s="320" t="str">
        <f t="shared" si="16"/>
        <v/>
      </c>
      <c r="U13" s="320" t="str">
        <f t="shared" si="6"/>
        <v/>
      </c>
      <c r="V13" s="320" t="str">
        <f>IF(B13&gt;1,F13&amp;" "&amp;INDEX(tblMedicationContIV,PedBerMedIV!$B13,4), "")</f>
        <v/>
      </c>
      <c r="W13" s="320" t="str">
        <f t="shared" si="17"/>
        <v/>
      </c>
      <c r="X13" s="320" t="str">
        <f t="shared" si="7"/>
        <v/>
      </c>
      <c r="Y13" s="320" t="str">
        <f t="shared" si="18"/>
        <v/>
      </c>
      <c r="Z13" s="320" t="str">
        <f t="shared" si="19"/>
        <v/>
      </c>
      <c r="AA13" s="320" t="str">
        <f t="shared" si="8"/>
        <v/>
      </c>
      <c r="AB13" s="320" t="str">
        <f t="shared" si="20"/>
        <v/>
      </c>
      <c r="AC13" s="320" t="str">
        <f t="shared" si="9"/>
        <v/>
      </c>
      <c r="AH13" s="320" t="b">
        <f t="shared" si="10"/>
        <v>0</v>
      </c>
      <c r="AI13" s="320" t="b">
        <f t="shared" si="11"/>
        <v>0</v>
      </c>
      <c r="AJ13" s="321" t="b">
        <f t="shared" si="12"/>
        <v>1</v>
      </c>
      <c r="AK13" s="320" t="b">
        <f t="shared" si="13"/>
        <v>1</v>
      </c>
    </row>
    <row r="14" spans="1:37" s="320" customFormat="1" x14ac:dyDescent="0.2">
      <c r="A14" s="320">
        <v>12</v>
      </c>
      <c r="B14" s="343">
        <v>1</v>
      </c>
      <c r="C14" s="343">
        <v>13</v>
      </c>
      <c r="D14" s="343">
        <v>0</v>
      </c>
      <c r="E14" s="343">
        <v>0</v>
      </c>
      <c r="F14" s="343" t="str">
        <f t="shared" si="0"/>
        <v/>
      </c>
      <c r="G14" s="343" t="str">
        <f t="shared" si="1"/>
        <v/>
      </c>
      <c r="H14" s="343" t="str">
        <f t="shared" si="2"/>
        <v/>
      </c>
      <c r="I14" s="320">
        <v>1</v>
      </c>
      <c r="J14" s="320">
        <v>0</v>
      </c>
      <c r="K14" s="320">
        <f>IF(PedGuiMedIV!E20&lt;&gt;0,24*J14/10,0)</f>
        <v>0</v>
      </c>
      <c r="L14" s="320">
        <f>IF(PedBerMedIV!$I14=3,PedBerMedIV!K14*0.05,0)</f>
        <v>0</v>
      </c>
      <c r="M14" s="320">
        <f>IF(PedBerMedIV!$I14=4,PedBerMedIV!K14*0.1,0)</f>
        <v>0</v>
      </c>
      <c r="N14" s="320">
        <f>IF(PedBerMedIV!$I14=2,PedBerMedIV!K14*0.155,0)</f>
        <v>0</v>
      </c>
      <c r="O14" s="320">
        <f t="shared" si="21"/>
        <v>0</v>
      </c>
      <c r="P14" s="320">
        <f t="shared" si="14"/>
        <v>0</v>
      </c>
      <c r="Q14" s="320">
        <f t="shared" si="4"/>
        <v>0</v>
      </c>
      <c r="R14" s="320">
        <f t="shared" si="22"/>
        <v>0</v>
      </c>
      <c r="S14" s="320" t="str">
        <f t="shared" si="15"/>
        <v/>
      </c>
      <c r="T14" s="320" t="str">
        <f t="shared" si="16"/>
        <v/>
      </c>
      <c r="U14" s="320" t="str">
        <f t="shared" si="6"/>
        <v/>
      </c>
      <c r="V14" s="320" t="str">
        <f>IF(B14&gt;1,F14&amp;" "&amp;INDEX(tblMedicationContIV,PedBerMedIV!$B14,4), "")</f>
        <v/>
      </c>
      <c r="W14" s="320" t="str">
        <f t="shared" si="17"/>
        <v/>
      </c>
      <c r="X14" s="320" t="str">
        <f t="shared" si="7"/>
        <v/>
      </c>
      <c r="Y14" s="320" t="str">
        <f t="shared" si="18"/>
        <v/>
      </c>
      <c r="Z14" s="320" t="str">
        <f t="shared" si="19"/>
        <v/>
      </c>
      <c r="AA14" s="320" t="str">
        <f t="shared" si="8"/>
        <v/>
      </c>
      <c r="AB14" s="320" t="str">
        <f t="shared" si="20"/>
        <v/>
      </c>
      <c r="AC14" s="320" t="str">
        <f t="shared" si="9"/>
        <v/>
      </c>
      <c r="AH14" s="320" t="b">
        <f t="shared" si="10"/>
        <v>0</v>
      </c>
      <c r="AI14" s="320" t="b">
        <f t="shared" si="11"/>
        <v>0</v>
      </c>
      <c r="AJ14" s="321" t="b">
        <f t="shared" si="12"/>
        <v>1</v>
      </c>
      <c r="AK14" s="320" t="b">
        <f t="shared" si="13"/>
        <v>1</v>
      </c>
    </row>
    <row r="15" spans="1:37" s="320" customFormat="1" x14ac:dyDescent="0.2">
      <c r="A15" s="320">
        <v>13</v>
      </c>
      <c r="B15" s="343">
        <v>1</v>
      </c>
      <c r="C15" s="343">
        <v>14</v>
      </c>
      <c r="D15" s="343">
        <v>0</v>
      </c>
      <c r="E15" s="343">
        <v>0</v>
      </c>
      <c r="F15" s="343" t="str">
        <f t="shared" si="0"/>
        <v/>
      </c>
      <c r="G15" s="343" t="str">
        <f t="shared" si="1"/>
        <v/>
      </c>
      <c r="H15" s="343" t="str">
        <f t="shared" si="2"/>
        <v/>
      </c>
      <c r="I15" s="320">
        <v>1</v>
      </c>
      <c r="J15" s="320">
        <v>0</v>
      </c>
      <c r="K15" s="320">
        <f>IF(PedGuiMedIV!E21&lt;&gt;0,24*J15/10,0)</f>
        <v>0</v>
      </c>
      <c r="L15" s="320">
        <f>IF(PedBerMedIV!$I15=3,PedBerMedIV!K15*0.05,0)</f>
        <v>0</v>
      </c>
      <c r="M15" s="320">
        <f>IF(PedBerMedIV!$I15=4,PedBerMedIV!K15*0.1,0)</f>
        <v>0</v>
      </c>
      <c r="N15" s="320">
        <f>IF(PedBerMedIV!$I15=2,PedBerMedIV!K15*0.155,0)</f>
        <v>0</v>
      </c>
      <c r="O15" s="320">
        <f t="shared" si="21"/>
        <v>0</v>
      </c>
      <c r="P15" s="320">
        <f t="shared" si="14"/>
        <v>0</v>
      </c>
      <c r="Q15" s="320">
        <f t="shared" si="4"/>
        <v>0</v>
      </c>
      <c r="R15" s="320">
        <f t="shared" si="22"/>
        <v>0</v>
      </c>
      <c r="S15" s="320" t="str">
        <f t="shared" si="15"/>
        <v/>
      </c>
      <c r="T15" s="320" t="str">
        <f t="shared" si="16"/>
        <v/>
      </c>
      <c r="U15" s="320" t="str">
        <f t="shared" si="6"/>
        <v/>
      </c>
      <c r="V15" s="320" t="str">
        <f>IF(B15&gt;1,F15&amp;" "&amp;INDEX(tblMedicationContIV,PedBerMedIV!$B15,4), "")</f>
        <v/>
      </c>
      <c r="W15" s="320" t="str">
        <f t="shared" si="17"/>
        <v/>
      </c>
      <c r="X15" s="320" t="str">
        <f t="shared" si="7"/>
        <v/>
      </c>
      <c r="Y15" s="320" t="str">
        <f t="shared" si="18"/>
        <v/>
      </c>
      <c r="Z15" s="320" t="str">
        <f t="shared" si="19"/>
        <v/>
      </c>
      <c r="AA15" s="320" t="str">
        <f t="shared" si="8"/>
        <v/>
      </c>
      <c r="AB15" s="320" t="str">
        <f t="shared" si="20"/>
        <v/>
      </c>
      <c r="AC15" s="320" t="str">
        <f t="shared" si="9"/>
        <v/>
      </c>
      <c r="AH15" s="320" t="b">
        <f t="shared" si="10"/>
        <v>0</v>
      </c>
      <c r="AI15" s="320" t="b">
        <f t="shared" si="11"/>
        <v>0</v>
      </c>
      <c r="AJ15" s="321" t="b">
        <f t="shared" si="12"/>
        <v>1</v>
      </c>
      <c r="AK15" s="320" t="b">
        <f t="shared" si="13"/>
        <v>1</v>
      </c>
    </row>
    <row r="16" spans="1:37" s="320" customFormat="1" x14ac:dyDescent="0.2">
      <c r="A16" s="320">
        <v>14</v>
      </c>
      <c r="B16" s="343">
        <v>1</v>
      </c>
      <c r="C16" s="343">
        <v>15</v>
      </c>
      <c r="D16" s="343">
        <v>0</v>
      </c>
      <c r="E16" s="343">
        <v>0</v>
      </c>
      <c r="F16" s="343" t="str">
        <f t="shared" si="0"/>
        <v/>
      </c>
      <c r="G16" s="343" t="str">
        <f t="shared" si="1"/>
        <v/>
      </c>
      <c r="H16" s="343" t="str">
        <f t="shared" si="2"/>
        <v/>
      </c>
      <c r="I16" s="320">
        <v>1</v>
      </c>
      <c r="J16" s="320">
        <v>0</v>
      </c>
      <c r="K16" s="320">
        <f>IF(PedGuiMedIV!E22&lt;&gt;0,24*J16/10,0)</f>
        <v>0</v>
      </c>
      <c r="L16" s="320">
        <f>IF(PedBerMedIV!$I16=3,PedBerMedIV!K16*0.05,0)</f>
        <v>0</v>
      </c>
      <c r="M16" s="320">
        <f>IF(PedBerMedIV!$I16=4,PedBerMedIV!K16*0.1,0)</f>
        <v>0</v>
      </c>
      <c r="N16" s="320">
        <f>IF(PedBerMedIV!$I16=2,PedBerMedIV!K16*0.155,0)</f>
        <v>0</v>
      </c>
      <c r="O16" s="320">
        <f t="shared" si="21"/>
        <v>0</v>
      </c>
      <c r="P16" s="320">
        <f t="shared" si="14"/>
        <v>0</v>
      </c>
      <c r="Q16" s="320">
        <f t="shared" si="4"/>
        <v>0</v>
      </c>
      <c r="R16" s="320">
        <f t="shared" si="22"/>
        <v>0</v>
      </c>
      <c r="S16" s="320" t="str">
        <f t="shared" si="15"/>
        <v/>
      </c>
      <c r="T16" s="320" t="str">
        <f t="shared" si="16"/>
        <v/>
      </c>
      <c r="U16" s="320" t="str">
        <f t="shared" si="6"/>
        <v/>
      </c>
      <c r="V16" s="320" t="str">
        <f>IF(B16&gt;1,F16&amp;" "&amp;INDEX(tblMedicationContIV,PedBerMedIV!$B16,4), "")</f>
        <v/>
      </c>
      <c r="W16" s="320" t="str">
        <f t="shared" si="17"/>
        <v/>
      </c>
      <c r="X16" s="320" t="str">
        <f t="shared" si="7"/>
        <v/>
      </c>
      <c r="Y16" s="320" t="str">
        <f t="shared" si="18"/>
        <v/>
      </c>
      <c r="Z16" s="320" t="str">
        <f t="shared" si="19"/>
        <v/>
      </c>
      <c r="AA16" s="320" t="str">
        <f t="shared" si="8"/>
        <v/>
      </c>
      <c r="AB16" s="320" t="str">
        <f t="shared" si="20"/>
        <v/>
      </c>
      <c r="AC16" s="320" t="str">
        <f t="shared" si="9"/>
        <v/>
      </c>
      <c r="AH16" s="320" t="b">
        <f t="shared" si="10"/>
        <v>0</v>
      </c>
      <c r="AI16" s="320" t="b">
        <f t="shared" si="11"/>
        <v>0</v>
      </c>
      <c r="AJ16" s="321" t="b">
        <f t="shared" si="12"/>
        <v>1</v>
      </c>
      <c r="AK16" s="320" t="b">
        <f t="shared" si="13"/>
        <v>1</v>
      </c>
    </row>
    <row r="17" spans="1:37" s="320" customFormat="1" x14ac:dyDescent="0.2">
      <c r="A17" s="320">
        <v>15</v>
      </c>
      <c r="B17" s="343">
        <v>1</v>
      </c>
      <c r="C17" s="343">
        <v>16</v>
      </c>
      <c r="D17" s="343">
        <v>0</v>
      </c>
      <c r="E17" s="343">
        <v>0</v>
      </c>
      <c r="F17" s="343" t="str">
        <f t="shared" si="0"/>
        <v/>
      </c>
      <c r="G17" s="343" t="str">
        <f t="shared" si="1"/>
        <v/>
      </c>
      <c r="H17" s="343" t="str">
        <f t="shared" si="2"/>
        <v/>
      </c>
      <c r="I17" s="320">
        <v>1</v>
      </c>
      <c r="J17" s="320">
        <v>0</v>
      </c>
      <c r="K17" s="320">
        <f>IF(PedGuiMedIV!E23&lt;&gt;0,24*J17/10,0)</f>
        <v>0</v>
      </c>
      <c r="L17" s="320">
        <f>IF(PedBerMedIV!$I17=3,PedBerMedIV!K17*0.05,0)</f>
        <v>0</v>
      </c>
      <c r="M17" s="320">
        <f>IF(PedBerMedIV!$I17=4,PedBerMedIV!K17*0.1,0)</f>
        <v>0</v>
      </c>
      <c r="N17" s="320">
        <f>IF(PedBerMedIV!$I17=2,PedBerMedIV!K17*0.155,0)</f>
        <v>0</v>
      </c>
      <c r="O17" s="320">
        <f t="shared" si="21"/>
        <v>0</v>
      </c>
      <c r="P17" s="320">
        <f t="shared" si="14"/>
        <v>0</v>
      </c>
      <c r="Q17" s="320">
        <f t="shared" si="4"/>
        <v>0</v>
      </c>
      <c r="R17" s="320">
        <f t="shared" si="22"/>
        <v>0</v>
      </c>
      <c r="S17" s="320" t="str">
        <f t="shared" si="15"/>
        <v/>
      </c>
      <c r="T17" s="320" t="str">
        <f t="shared" si="16"/>
        <v/>
      </c>
      <c r="U17" s="320" t="str">
        <f t="shared" si="6"/>
        <v/>
      </c>
      <c r="V17" s="320" t="str">
        <f>IF(B17&gt;1,F17&amp;" "&amp;INDEX(tblMedicationContIV,PedBerMedIV!$B17,4), "")</f>
        <v/>
      </c>
      <c r="W17" s="320" t="str">
        <f t="shared" si="17"/>
        <v/>
      </c>
      <c r="X17" s="320" t="str">
        <f t="shared" si="7"/>
        <v/>
      </c>
      <c r="Y17" s="320" t="str">
        <f t="shared" si="18"/>
        <v/>
      </c>
      <c r="Z17" s="320" t="str">
        <f t="shared" si="19"/>
        <v/>
      </c>
      <c r="AA17" s="320" t="str">
        <f t="shared" si="8"/>
        <v/>
      </c>
      <c r="AB17" s="320" t="str">
        <f t="shared" si="20"/>
        <v/>
      </c>
      <c r="AC17" s="320" t="str">
        <f t="shared" si="9"/>
        <v/>
      </c>
      <c r="AH17" s="320" t="b">
        <f t="shared" si="10"/>
        <v>0</v>
      </c>
      <c r="AI17" s="320" t="b">
        <f t="shared" si="11"/>
        <v>0</v>
      </c>
      <c r="AJ17" s="321" t="b">
        <f t="shared" si="12"/>
        <v>1</v>
      </c>
      <c r="AK17" s="320" t="b">
        <f t="shared" si="13"/>
        <v>1</v>
      </c>
    </row>
    <row r="18" spans="1:37" s="698" customFormat="1" x14ac:dyDescent="0.2">
      <c r="A18" s="698">
        <v>16</v>
      </c>
      <c r="D18" s="699">
        <v>0</v>
      </c>
      <c r="E18" s="698">
        <v>0</v>
      </c>
      <c r="I18" s="698">
        <v>1</v>
      </c>
      <c r="J18" s="698">
        <v>0</v>
      </c>
      <c r="K18" s="698">
        <f>IF(PedGuiMedIV!E25&lt;&gt;"",J18/10*24,0)</f>
        <v>0</v>
      </c>
      <c r="L18" s="698">
        <f>IF(PedBerMedIV!$I18=3,PedBerMedIV!K18*0.05,0)</f>
        <v>0</v>
      </c>
      <c r="M18" s="698">
        <f>IF(PedBerMedIV!$I18=4,PedBerMedIV!K18*0.1,0)</f>
        <v>0</v>
      </c>
      <c r="N18" s="698">
        <f>IF(PedBerMedIV!$I18=2,PedBerMedIV!K18*0.155,0)</f>
        <v>0</v>
      </c>
      <c r="O18" s="698">
        <f t="shared" si="3"/>
        <v>0</v>
      </c>
      <c r="P18" s="698">
        <f t="shared" si="14"/>
        <v>0</v>
      </c>
      <c r="Q18" s="698">
        <f t="shared" si="4"/>
        <v>0</v>
      </c>
      <c r="R18" s="698">
        <f t="shared" si="5"/>
        <v>0</v>
      </c>
      <c r="S18" s="698" t="str">
        <f t="shared" si="15"/>
        <v/>
      </c>
      <c r="U18" s="698" t="str">
        <f>IF(B18&lt;&gt;"",B18,"")</f>
        <v/>
      </c>
      <c r="V18" s="698">
        <f>IF(D18="","",D18)</f>
        <v>0</v>
      </c>
      <c r="W18" s="698" t="str">
        <f>IF(B18&lt;&gt;"",E18&amp;" ml","")</f>
        <v/>
      </c>
      <c r="X18" s="698" t="str">
        <f t="shared" si="7"/>
        <v/>
      </c>
      <c r="Y18" s="698" t="str">
        <f t="shared" si="18"/>
        <v/>
      </c>
      <c r="Z18" s="698" t="str">
        <f>IFERROR(ROUND((J18/10)*AE18/E18/(_Pat_Gewicht/10),3)&amp;" "&amp;AF18&amp;"/kg/uur "&amp;"("&amp;ROUND((J18/10/60)*AE18/E18/(_Pat_Gewicht/10),3)&amp;" "&amp;AF18&amp;"/kg/min)","")</f>
        <v/>
      </c>
      <c r="AB18" s="698" t="str">
        <f t="shared" si="20"/>
        <v/>
      </c>
      <c r="AE18" s="698" t="e">
        <f t="shared" ref="AE18:AE22" si="23">LEFT(D18,FIND(" ",D18))</f>
        <v>#VALUE!</v>
      </c>
      <c r="AF18" s="698" t="e">
        <f t="shared" ref="AF18:AF22" si="24">MID(D18, FIND(" ",D18), LEN(D18) - FIND(" ",D18) + 1)</f>
        <v>#VALUE!</v>
      </c>
    </row>
    <row r="19" spans="1:37" s="698" customFormat="1" x14ac:dyDescent="0.2">
      <c r="A19" s="698">
        <v>17</v>
      </c>
      <c r="D19" s="698">
        <v>0</v>
      </c>
      <c r="E19" s="698">
        <v>0</v>
      </c>
      <c r="I19" s="698">
        <v>1</v>
      </c>
      <c r="J19" s="698">
        <v>0</v>
      </c>
      <c r="K19" s="698">
        <f>IF(PedGuiMedIV!E26&lt;&gt;"",J19/10*24,0)</f>
        <v>0</v>
      </c>
      <c r="L19" s="698">
        <f>IF(PedBerMedIV!$I19=3,PedBerMedIV!K19*0.05,0)</f>
        <v>0</v>
      </c>
      <c r="M19" s="698">
        <f>IF(PedBerMedIV!$I19=4,PedBerMedIV!K19*0.1,0)</f>
        <v>0</v>
      </c>
      <c r="N19" s="698">
        <f>IF(PedBerMedIV!$I19=2,PedBerMedIV!K19*0.155,0)</f>
        <v>0</v>
      </c>
      <c r="O19" s="698">
        <f t="shared" si="3"/>
        <v>0</v>
      </c>
      <c r="P19" s="698">
        <f t="shared" si="14"/>
        <v>0</v>
      </c>
      <c r="Q19" s="698">
        <f t="shared" si="4"/>
        <v>0</v>
      </c>
      <c r="R19" s="698">
        <f t="shared" si="5"/>
        <v>0</v>
      </c>
      <c r="S19" s="698" t="str">
        <f t="shared" ref="S19:S22" si="25">IF(B19&gt;1,"verw","")</f>
        <v/>
      </c>
      <c r="U19" s="698" t="str">
        <f t="shared" ref="U19:U22" si="26">IF(B19&lt;&gt;"",B19,"")</f>
        <v/>
      </c>
      <c r="V19" s="698">
        <f t="shared" ref="V19:V22" si="27">IF(D19="","",D19)</f>
        <v>0</v>
      </c>
      <c r="W19" s="698" t="str">
        <f t="shared" ref="W19:W22" si="28">IF(B19&lt;&gt;"",E19&amp;" ml","")</f>
        <v/>
      </c>
      <c r="X19" s="698" t="str">
        <f t="shared" si="7"/>
        <v/>
      </c>
      <c r="Y19" s="698" t="str">
        <f t="shared" ref="Y19:Y22" si="29">IF(B19&gt;1,J19/10&amp;" ml/uur","")</f>
        <v/>
      </c>
      <c r="Z19" s="698" t="str">
        <f>IFERROR(ROUND((J19/10)*AE19/E19/(_Pat_Gewicht/10),3)&amp;" "&amp;AF19&amp;"/kg/uur "&amp;"("&amp;ROUND((J19/10/60)*AE19/E19/(_Pat_Gewicht/10),3)&amp;" "&amp;AF19&amp;"/kg/min)","")</f>
        <v/>
      </c>
      <c r="AB19" s="698" t="str">
        <f t="shared" ref="AB19:AB22" si="30">IF(B19&gt;1,24*J19/10&amp;" ml","")</f>
        <v/>
      </c>
      <c r="AE19" s="698" t="e">
        <f t="shared" si="23"/>
        <v>#VALUE!</v>
      </c>
      <c r="AF19" s="698" t="e">
        <f t="shared" si="24"/>
        <v>#VALUE!</v>
      </c>
    </row>
    <row r="20" spans="1:37" s="698" customFormat="1" x14ac:dyDescent="0.2">
      <c r="A20" s="698">
        <v>18</v>
      </c>
      <c r="D20" s="698">
        <v>0</v>
      </c>
      <c r="E20" s="698">
        <v>0</v>
      </c>
      <c r="I20" s="698">
        <v>1</v>
      </c>
      <c r="J20" s="698">
        <v>0</v>
      </c>
      <c r="K20" s="698">
        <f>IF(PedGuiMedIV!E27&lt;&gt;"",J20/10*24,0)</f>
        <v>0</v>
      </c>
      <c r="L20" s="698">
        <f>IF(PedBerMedIV!$I20=3,PedBerMedIV!K20*0.05,0)</f>
        <v>0</v>
      </c>
      <c r="M20" s="698">
        <f>IF(PedBerMedIV!$I20=4,PedBerMedIV!K20*0.1,0)</f>
        <v>0</v>
      </c>
      <c r="N20" s="698">
        <f>IF(PedBerMedIV!$I20=2,PedBerMedIV!K20*0.155,0)</f>
        <v>0</v>
      </c>
      <c r="O20" s="698">
        <f t="shared" si="3"/>
        <v>0</v>
      </c>
      <c r="P20" s="698">
        <f t="shared" si="14"/>
        <v>0</v>
      </c>
      <c r="Q20" s="698">
        <f t="shared" si="4"/>
        <v>0</v>
      </c>
      <c r="R20" s="698">
        <f t="shared" si="5"/>
        <v>0</v>
      </c>
      <c r="S20" s="698" t="str">
        <f t="shared" si="25"/>
        <v/>
      </c>
      <c r="U20" s="698" t="str">
        <f t="shared" si="26"/>
        <v/>
      </c>
      <c r="V20" s="698">
        <f t="shared" si="27"/>
        <v>0</v>
      </c>
      <c r="W20" s="698" t="str">
        <f t="shared" si="28"/>
        <v/>
      </c>
      <c r="X20" s="698" t="str">
        <f t="shared" si="7"/>
        <v/>
      </c>
      <c r="Y20" s="698" t="str">
        <f t="shared" si="29"/>
        <v/>
      </c>
      <c r="Z20" s="698" t="str">
        <f>IFERROR(ROUND((J20/10)*AE20/E20/(_Pat_Gewicht/10),3)&amp;" "&amp;AF20&amp;"/kg/uur "&amp;"("&amp;ROUND((J20/10/60)*AE20/E20/(_Pat_Gewicht/10),3)&amp;" "&amp;AF20&amp;"/kg/min)","")</f>
        <v/>
      </c>
      <c r="AB20" s="698" t="str">
        <f t="shared" si="30"/>
        <v/>
      </c>
      <c r="AE20" s="698" t="e">
        <f t="shared" si="23"/>
        <v>#VALUE!</v>
      </c>
      <c r="AF20" s="698" t="e">
        <f t="shared" si="24"/>
        <v>#VALUE!</v>
      </c>
    </row>
    <row r="21" spans="1:37" s="698" customFormat="1" x14ac:dyDescent="0.2">
      <c r="A21" s="698">
        <v>19</v>
      </c>
      <c r="D21" s="698">
        <v>0</v>
      </c>
      <c r="E21" s="698">
        <v>0</v>
      </c>
      <c r="I21" s="698">
        <v>1</v>
      </c>
      <c r="J21" s="698">
        <v>0</v>
      </c>
      <c r="K21" s="698">
        <f>IF(PedGuiMedIV!E28&lt;&gt;"",J21/10*24,0)</f>
        <v>0</v>
      </c>
      <c r="L21" s="698">
        <f>IF(PedBerMedIV!$I21=3,PedBerMedIV!K21*0.05,0)</f>
        <v>0</v>
      </c>
      <c r="M21" s="698">
        <f>IF(PedBerMedIV!$I21=4,PedBerMedIV!K21*0.1,0)</f>
        <v>0</v>
      </c>
      <c r="N21" s="698">
        <f>IF(PedBerMedIV!$I21=2,PedBerMedIV!K21*0.155,0)</f>
        <v>0</v>
      </c>
      <c r="O21" s="698">
        <f t="shared" si="3"/>
        <v>0</v>
      </c>
      <c r="P21" s="698">
        <f t="shared" si="14"/>
        <v>0</v>
      </c>
      <c r="Q21" s="698">
        <f t="shared" si="4"/>
        <v>0</v>
      </c>
      <c r="R21" s="698">
        <f t="shared" si="5"/>
        <v>0</v>
      </c>
      <c r="S21" s="698" t="str">
        <f t="shared" si="25"/>
        <v/>
      </c>
      <c r="U21" s="698" t="str">
        <f t="shared" si="26"/>
        <v/>
      </c>
      <c r="V21" s="698">
        <f t="shared" si="27"/>
        <v>0</v>
      </c>
      <c r="W21" s="698" t="str">
        <f t="shared" si="28"/>
        <v/>
      </c>
      <c r="X21" s="698" t="str">
        <f t="shared" si="7"/>
        <v/>
      </c>
      <c r="Y21" s="698" t="str">
        <f t="shared" si="29"/>
        <v/>
      </c>
      <c r="Z21" s="698" t="str">
        <f>IFERROR(ROUND((J21/10)*AE21/E21/(_Pat_Gewicht/10),3)&amp;" "&amp;AF21&amp;"/kg/uur "&amp;"("&amp;ROUND((J21/10/60)*AE21/E21/(_Pat_Gewicht/10),3)&amp;" "&amp;AF21&amp;"/kg/min)","")</f>
        <v/>
      </c>
      <c r="AB21" s="698" t="str">
        <f t="shared" si="30"/>
        <v/>
      </c>
      <c r="AE21" s="698" t="e">
        <f t="shared" si="23"/>
        <v>#VALUE!</v>
      </c>
      <c r="AF21" s="698" t="e">
        <f t="shared" si="24"/>
        <v>#VALUE!</v>
      </c>
    </row>
    <row r="22" spans="1:37" s="698" customFormat="1" x14ac:dyDescent="0.2">
      <c r="A22" s="698">
        <v>20</v>
      </c>
      <c r="D22" s="698">
        <v>0</v>
      </c>
      <c r="E22" s="698">
        <v>0</v>
      </c>
      <c r="I22" s="698">
        <v>1</v>
      </c>
      <c r="J22" s="698">
        <v>0</v>
      </c>
      <c r="K22" s="698">
        <f>IF(PedGuiMedIV!E29&lt;&gt;"",J22/10*24,0)</f>
        <v>0</v>
      </c>
      <c r="L22" s="698">
        <f>IF(PedBerMedIV!$I22=3,PedBerMedIV!K22*0.05,0)</f>
        <v>0</v>
      </c>
      <c r="M22" s="698">
        <f>IF(PedBerMedIV!$I22=4,PedBerMedIV!K22*0.1,0)</f>
        <v>0</v>
      </c>
      <c r="N22" s="698">
        <f>IF(PedBerMedIV!$I22=2,PedBerMedIV!K22*0.155,0)</f>
        <v>0</v>
      </c>
      <c r="O22" s="698">
        <f t="shared" si="3"/>
        <v>0</v>
      </c>
      <c r="P22" s="698">
        <f t="shared" si="14"/>
        <v>0</v>
      </c>
      <c r="Q22" s="698">
        <f t="shared" si="4"/>
        <v>0</v>
      </c>
      <c r="R22" s="698">
        <f t="shared" si="5"/>
        <v>0</v>
      </c>
      <c r="S22" s="698" t="str">
        <f t="shared" si="25"/>
        <v/>
      </c>
      <c r="U22" s="698" t="str">
        <f t="shared" si="26"/>
        <v/>
      </c>
      <c r="V22" s="698">
        <f t="shared" si="27"/>
        <v>0</v>
      </c>
      <c r="W22" s="698" t="str">
        <f t="shared" si="28"/>
        <v/>
      </c>
      <c r="X22" s="698" t="str">
        <f t="shared" si="7"/>
        <v/>
      </c>
      <c r="Y22" s="698" t="str">
        <f t="shared" si="29"/>
        <v/>
      </c>
      <c r="Z22" s="698" t="str">
        <f>IFERROR(ROUND((J22/10)*AE22/E22/(_Pat_Gewicht/10),3)&amp;" "&amp;AF22&amp;"/kg/uur "&amp;"("&amp;ROUND((J22/10/60)*AE22/E22/(_Pat_Gewicht/10),3)&amp;" "&amp;AF22&amp;"/kg/min)","")</f>
        <v/>
      </c>
      <c r="AB22" s="698" t="str">
        <f t="shared" si="30"/>
        <v/>
      </c>
      <c r="AE22" s="698" t="e">
        <f t="shared" si="23"/>
        <v>#VALUE!</v>
      </c>
      <c r="AF22" s="698" t="e">
        <f t="shared" si="24"/>
        <v>#VALUE!</v>
      </c>
    </row>
    <row r="23" spans="1:37" x14ac:dyDescent="0.2">
      <c r="A23" s="321" t="s">
        <v>231</v>
      </c>
      <c r="K23">
        <f>SUM(K3:K22)</f>
        <v>0</v>
      </c>
      <c r="L23">
        <f>SUM(L3:L22)</f>
        <v>0</v>
      </c>
      <c r="M23">
        <f>SUM(M3:M22)</f>
        <v>0</v>
      </c>
      <c r="O23">
        <f>SUM(O3:O22)+SUM(N3:N22)</f>
        <v>0</v>
      </c>
      <c r="P23">
        <f>SUM(P3:P22)</f>
        <v>0</v>
      </c>
      <c r="Q23">
        <f>SUM(Q3:Q22)</f>
        <v>0</v>
      </c>
      <c r="R23">
        <f>SUM(R3:R22)</f>
        <v>0</v>
      </c>
      <c r="S23" s="320"/>
      <c r="X23" s="320"/>
      <c r="Z23" s="320"/>
      <c r="AE23" s="320"/>
      <c r="AF23" s="320"/>
    </row>
    <row r="27" spans="1:37" x14ac:dyDescent="0.2">
      <c r="A27" s="321" t="s">
        <v>5136</v>
      </c>
      <c r="B27" t="e">
        <f>PedGuiMedIV!B1:N5</f>
        <v>#VALUE!</v>
      </c>
    </row>
    <row r="31" spans="1:37" x14ac:dyDescent="0.2">
      <c r="B31" s="321"/>
    </row>
    <row r="32" spans="1:37" x14ac:dyDescent="0.2">
      <c r="D32" s="321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8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Y35"/>
  <sheetViews>
    <sheetView workbookViewId="0">
      <pane xSplit="2" ySplit="2" topLeftCell="C10" activePane="bottomRight" state="frozen"/>
      <selection activeCell="A6" sqref="A6"/>
      <selection pane="topRight" activeCell="A6" sqref="A6"/>
      <selection pane="bottomLeft" activeCell="A6" sqref="A6"/>
      <selection pane="bottomRight" activeCell="M35" sqref="M35"/>
    </sheetView>
  </sheetViews>
  <sheetFormatPr defaultColWidth="9.140625" defaultRowHeight="12.75" x14ac:dyDescent="0.2"/>
  <cols>
    <col min="1" max="1" width="5" style="321" customWidth="1"/>
    <col min="2" max="2" width="23.140625" style="321" customWidth="1"/>
    <col min="3" max="3" width="13.42578125" style="321" customWidth="1"/>
    <col min="4" max="4" width="23.5703125" style="321" customWidth="1"/>
    <col min="5" max="5" width="7.28515625" style="321" customWidth="1"/>
    <col min="6" max="11" width="7.7109375" style="321" customWidth="1"/>
    <col min="12" max="19" width="8.7109375" style="321" customWidth="1"/>
    <col min="20" max="20" width="14.140625" style="321" bestFit="1" customWidth="1"/>
    <col min="21" max="21" width="14.7109375" style="321" bestFit="1" customWidth="1"/>
    <col min="22" max="22" width="17.28515625" style="321" bestFit="1" customWidth="1"/>
    <col min="23" max="23" width="9.85546875" style="321" bestFit="1" customWidth="1"/>
    <col min="24" max="24" width="9.140625" style="321"/>
    <col min="25" max="25" width="12.140625" style="321" customWidth="1"/>
    <col min="26" max="16384" width="9.140625" style="321"/>
  </cols>
  <sheetData>
    <row r="1" spans="1:25" x14ac:dyDescent="0.2">
      <c r="A1" s="365"/>
      <c r="F1" s="321" t="s">
        <v>476</v>
      </c>
      <c r="H1" s="321" t="s">
        <v>477</v>
      </c>
      <c r="J1" s="152" t="s">
        <v>478</v>
      </c>
      <c r="L1" s="321" t="s">
        <v>494</v>
      </c>
      <c r="N1" s="321" t="s">
        <v>495</v>
      </c>
      <c r="P1" s="321" t="s">
        <v>496</v>
      </c>
    </row>
    <row r="2" spans="1:25" x14ac:dyDescent="0.2">
      <c r="B2" s="321" t="s">
        <v>479</v>
      </c>
      <c r="C2" s="321" t="s">
        <v>480</v>
      </c>
      <c r="D2" s="321" t="s">
        <v>481</v>
      </c>
      <c r="E2" s="321" t="s">
        <v>482</v>
      </c>
      <c r="F2" s="321" t="s">
        <v>483</v>
      </c>
      <c r="G2" s="321" t="s">
        <v>484</v>
      </c>
      <c r="H2" s="321" t="s">
        <v>483</v>
      </c>
      <c r="I2" s="321" t="s">
        <v>484</v>
      </c>
      <c r="J2" s="321" t="s">
        <v>483</v>
      </c>
      <c r="K2" s="321" t="s">
        <v>484</v>
      </c>
      <c r="L2" s="321" t="s">
        <v>483</v>
      </c>
      <c r="M2" s="321" t="s">
        <v>484</v>
      </c>
      <c r="N2" s="321" t="s">
        <v>483</v>
      </c>
      <c r="O2" s="321" t="s">
        <v>484</v>
      </c>
      <c r="P2" s="321" t="s">
        <v>483</v>
      </c>
      <c r="Q2" s="321" t="s">
        <v>484</v>
      </c>
      <c r="R2" s="321" t="s">
        <v>492</v>
      </c>
      <c r="S2" s="321" t="s">
        <v>493</v>
      </c>
      <c r="T2" s="321" t="s">
        <v>533</v>
      </c>
      <c r="U2" s="321" t="s">
        <v>534</v>
      </c>
      <c r="V2" s="321" t="s">
        <v>1124</v>
      </c>
      <c r="W2" s="321" t="s">
        <v>1135</v>
      </c>
      <c r="Y2" s="153" t="s">
        <v>1258</v>
      </c>
    </row>
    <row r="3" spans="1:25" x14ac:dyDescent="0.2">
      <c r="A3" s="321">
        <v>1</v>
      </c>
      <c r="W3" s="321">
        <v>1</v>
      </c>
      <c r="Y3"/>
    </row>
    <row r="4" spans="1:25" x14ac:dyDescent="0.2">
      <c r="A4" s="321">
        <v>2</v>
      </c>
      <c r="B4" s="321" t="s">
        <v>224</v>
      </c>
      <c r="C4" s="152" t="s">
        <v>433</v>
      </c>
      <c r="D4" s="152" t="str">
        <f>CONCATENATE(T4,"-",U4," ",C4)</f>
        <v>0,05-0,5 mcg/kg/min</v>
      </c>
      <c r="E4" s="152" t="s">
        <v>170</v>
      </c>
      <c r="F4" s="321">
        <v>1</v>
      </c>
      <c r="G4" s="321">
        <v>50</v>
      </c>
      <c r="H4" s="321">
        <v>2</v>
      </c>
      <c r="I4" s="321">
        <v>50</v>
      </c>
      <c r="J4" s="467">
        <v>5</v>
      </c>
      <c r="K4" s="467">
        <v>50</v>
      </c>
      <c r="L4" s="321">
        <f t="shared" ref="L4:L34" si="0">IF(_Pat_Gewicht/10&lt;6,F4,IF(_Pat_Gewicht/10&lt;11,H4,J4))</f>
        <v>1</v>
      </c>
      <c r="M4" s="321">
        <f t="shared" ref="M4:M34" si="1">IF(_Pat_Gewicht/10&lt;6,G4,IF(_Pat_Gewicht/10&lt;11,I4,K4))</f>
        <v>50</v>
      </c>
      <c r="N4" s="321">
        <f t="shared" ref="N4" si="2">INDEX(tblBerMedContIV,IFERROR(VLOOKUP(A4,tblBerMedContIV,2,FALSE),1),3)</f>
        <v>0</v>
      </c>
      <c r="O4" s="321">
        <f t="shared" ref="O4" si="3">INDEX(tblBerMedContIV,IFERROR(VLOOKUP(A4,tblBerMedContIV,2,FALSE),1),4)</f>
        <v>0</v>
      </c>
      <c r="P4" s="321">
        <f>IF(N4&gt;0,N4,L4)</f>
        <v>1</v>
      </c>
      <c r="Q4" s="321">
        <f>IF(O4&gt;0,O4,M4)</f>
        <v>50</v>
      </c>
      <c r="R4" s="321">
        <v>10</v>
      </c>
      <c r="S4" s="321" t="e">
        <f>IF(Q4&gt;0,ROUND(1000*R4/10*(P4/Q4)/(_Pat_Gewicht/10)/60,3),0)</f>
        <v>#DIV/0!</v>
      </c>
      <c r="T4" s="152">
        <v>0.05</v>
      </c>
      <c r="U4" s="152">
        <v>0.5</v>
      </c>
      <c r="V4" s="321">
        <v>1</v>
      </c>
      <c r="W4" s="321">
        <v>1</v>
      </c>
      <c r="Y4" t="s">
        <v>1114</v>
      </c>
    </row>
    <row r="5" spans="1:25" x14ac:dyDescent="0.2">
      <c r="A5" s="321">
        <v>3</v>
      </c>
      <c r="B5" s="152" t="s">
        <v>125</v>
      </c>
      <c r="C5" s="152" t="s">
        <v>375</v>
      </c>
      <c r="D5" s="152" t="str">
        <f t="shared" ref="D5:D10" si="4">CONCATENATE(T5,"-",U5," ",C5)</f>
        <v>1-2 gram/kg/dag</v>
      </c>
      <c r="E5" s="152" t="s">
        <v>70</v>
      </c>
      <c r="F5" s="321">
        <v>0.2</v>
      </c>
      <c r="G5" s="321">
        <v>1</v>
      </c>
      <c r="H5" s="321">
        <v>0.2</v>
      </c>
      <c r="I5" s="321">
        <v>1</v>
      </c>
      <c r="J5" s="467">
        <v>0.2</v>
      </c>
      <c r="K5" s="467">
        <v>1</v>
      </c>
      <c r="L5" s="321">
        <f t="shared" si="0"/>
        <v>0.2</v>
      </c>
      <c r="M5" s="321">
        <f t="shared" si="1"/>
        <v>1</v>
      </c>
      <c r="N5" s="321">
        <f t="shared" ref="N5:N34" si="5">INDEX(tblBerMedContIV,IFERROR(VLOOKUP(A5,tblBerMedContIV,2,FALSE),1),3)</f>
        <v>0</v>
      </c>
      <c r="O5" s="321">
        <f>INDEX(tblBerMedContIV,IFERROR(VLOOKUP(A5,tblBerMedContIV,2,FALSE),1),4)</f>
        <v>0</v>
      </c>
      <c r="P5" s="321">
        <f t="shared" ref="P5:P34" si="6">IF(N5&gt;0,N5,L5)</f>
        <v>0.2</v>
      </c>
      <c r="Q5" s="321">
        <f t="shared" ref="Q5:Q34" si="7">IF(O5&gt;0,O5,M5)</f>
        <v>1</v>
      </c>
      <c r="R5" s="321">
        <v>10</v>
      </c>
      <c r="S5" s="321" t="e">
        <f>IF(Q5&gt;0,ROUND(24*(R5/10)*(P5/Q5)/(_Pat_Gewicht/10),3),0)</f>
        <v>#DIV/0!</v>
      </c>
      <c r="T5" s="321">
        <v>1</v>
      </c>
      <c r="U5" s="321">
        <v>2</v>
      </c>
      <c r="V5" s="321">
        <v>4</v>
      </c>
      <c r="W5" s="321">
        <v>1</v>
      </c>
      <c r="Y5" t="s">
        <v>293</v>
      </c>
    </row>
    <row r="6" spans="1:25" x14ac:dyDescent="0.2">
      <c r="A6" s="365">
        <v>4</v>
      </c>
      <c r="B6" s="152" t="s">
        <v>158</v>
      </c>
      <c r="C6" s="152" t="s">
        <v>434</v>
      </c>
      <c r="D6" s="152" t="str">
        <f t="shared" si="4"/>
        <v>10-50 nanog/kg/min</v>
      </c>
      <c r="E6" s="321" t="s">
        <v>170</v>
      </c>
      <c r="F6" s="321">
        <v>0.2</v>
      </c>
      <c r="G6" s="321">
        <v>50</v>
      </c>
      <c r="L6" s="321">
        <f t="shared" si="0"/>
        <v>0.2</v>
      </c>
      <c r="M6" s="321">
        <f t="shared" si="1"/>
        <v>50</v>
      </c>
      <c r="N6" s="321">
        <f t="shared" si="5"/>
        <v>0</v>
      </c>
      <c r="O6" s="321">
        <f t="shared" ref="O6:O34" si="8">INDEX(tblBerMedContIV,IFERROR(VLOOKUP(A6,tblBerMedContIV,2,FALSE),1),4)</f>
        <v>0</v>
      </c>
      <c r="P6" s="321">
        <f t="shared" si="6"/>
        <v>0.2</v>
      </c>
      <c r="Q6" s="321">
        <f t="shared" si="7"/>
        <v>50</v>
      </c>
      <c r="R6" s="321">
        <v>10</v>
      </c>
      <c r="S6" s="321" t="e">
        <f>IF(Q6&gt;0,ROUND(1000*1000*R6/10*(P6/Q6)/(_Pat_Gewicht/10)/60,3),0)</f>
        <v>#DIV/0!</v>
      </c>
      <c r="T6" s="321">
        <v>10</v>
      </c>
      <c r="U6" s="321">
        <v>50</v>
      </c>
      <c r="V6" s="321">
        <v>100</v>
      </c>
      <c r="W6" s="321">
        <v>1</v>
      </c>
      <c r="Y6" t="s">
        <v>294</v>
      </c>
    </row>
    <row r="7" spans="1:25" x14ac:dyDescent="0.2">
      <c r="A7" s="321">
        <v>5</v>
      </c>
      <c r="B7" s="321" t="s">
        <v>443</v>
      </c>
      <c r="C7" s="152" t="s">
        <v>433</v>
      </c>
      <c r="D7" s="152" t="str">
        <f t="shared" si="4"/>
        <v>5-15 mcg/kg/min</v>
      </c>
      <c r="E7" s="152" t="s">
        <v>170</v>
      </c>
      <c r="F7" s="321">
        <v>50</v>
      </c>
      <c r="G7" s="321">
        <v>50</v>
      </c>
      <c r="H7" s="321">
        <v>150</v>
      </c>
      <c r="I7" s="321">
        <v>50</v>
      </c>
      <c r="J7" s="467">
        <v>300</v>
      </c>
      <c r="K7" s="467">
        <v>50</v>
      </c>
      <c r="L7" s="321">
        <f t="shared" si="0"/>
        <v>50</v>
      </c>
      <c r="M7" s="321">
        <f t="shared" si="1"/>
        <v>50</v>
      </c>
      <c r="N7" s="321">
        <f t="shared" si="5"/>
        <v>0</v>
      </c>
      <c r="O7" s="321">
        <f t="shared" si="8"/>
        <v>0</v>
      </c>
      <c r="P7" s="321">
        <f t="shared" si="6"/>
        <v>50</v>
      </c>
      <c r="Q7" s="321">
        <f t="shared" si="7"/>
        <v>50</v>
      </c>
      <c r="R7" s="321">
        <v>10</v>
      </c>
      <c r="S7" s="321" t="e">
        <f>IF(Q7&gt;0,ROUND(1000*R7/10*(P7/Q7)/(_Pat_Gewicht/10)/60,3),0)</f>
        <v>#DIV/0!</v>
      </c>
      <c r="T7" s="321">
        <v>5</v>
      </c>
      <c r="U7" s="321">
        <v>15</v>
      </c>
      <c r="V7" s="321">
        <v>25</v>
      </c>
      <c r="W7" s="321">
        <v>1</v>
      </c>
    </row>
    <row r="8" spans="1:25" x14ac:dyDescent="0.2">
      <c r="A8" s="321">
        <v>6</v>
      </c>
      <c r="B8" s="321" t="s">
        <v>41</v>
      </c>
      <c r="C8" s="152" t="s">
        <v>199</v>
      </c>
      <c r="D8" s="152" t="str">
        <f t="shared" si="4"/>
        <v>0,25-2 mcg/kg/uur</v>
      </c>
      <c r="E8" s="152" t="s">
        <v>170</v>
      </c>
      <c r="F8" s="321">
        <v>0.15</v>
      </c>
      <c r="G8" s="152">
        <v>50</v>
      </c>
      <c r="H8" s="321">
        <v>0.3</v>
      </c>
      <c r="I8" s="321">
        <v>50</v>
      </c>
      <c r="J8" s="467">
        <v>0.6</v>
      </c>
      <c r="K8" s="467">
        <v>50</v>
      </c>
      <c r="L8" s="321">
        <f t="shared" si="0"/>
        <v>0.15</v>
      </c>
      <c r="M8" s="321">
        <f t="shared" si="1"/>
        <v>50</v>
      </c>
      <c r="N8" s="321">
        <f t="shared" si="5"/>
        <v>0</v>
      </c>
      <c r="O8" s="321">
        <f t="shared" si="8"/>
        <v>0</v>
      </c>
      <c r="P8" s="321">
        <f t="shared" si="6"/>
        <v>0.15</v>
      </c>
      <c r="Q8" s="321">
        <f t="shared" si="7"/>
        <v>50</v>
      </c>
      <c r="R8" s="321">
        <v>10</v>
      </c>
      <c r="S8" s="321" t="e">
        <f>IF(Q8&gt;0,ROUND(1000*R8/10*(P8/Q8)/(_Pat_Gewicht/10),3),0)</f>
        <v>#DIV/0!</v>
      </c>
      <c r="T8" s="321">
        <v>0.25</v>
      </c>
      <c r="U8" s="321">
        <v>2</v>
      </c>
      <c r="V8" s="321">
        <v>3</v>
      </c>
      <c r="W8" s="321">
        <v>2</v>
      </c>
    </row>
    <row r="9" spans="1:25" x14ac:dyDescent="0.2">
      <c r="A9" s="321">
        <v>7</v>
      </c>
      <c r="B9" s="152" t="s">
        <v>342</v>
      </c>
      <c r="C9" s="152" t="s">
        <v>433</v>
      </c>
      <c r="D9" s="152" t="str">
        <f t="shared" si="4"/>
        <v>1-20 mcg/kg/min</v>
      </c>
      <c r="E9" s="152" t="s">
        <v>170</v>
      </c>
      <c r="F9" s="321">
        <v>80</v>
      </c>
      <c r="G9" s="321">
        <v>50</v>
      </c>
      <c r="H9" s="321">
        <v>200</v>
      </c>
      <c r="I9" s="321">
        <v>50</v>
      </c>
      <c r="J9" s="467">
        <v>400</v>
      </c>
      <c r="K9" s="467">
        <v>50</v>
      </c>
      <c r="L9" s="321">
        <f t="shared" si="0"/>
        <v>80</v>
      </c>
      <c r="M9" s="321">
        <f t="shared" si="1"/>
        <v>50</v>
      </c>
      <c r="N9" s="321">
        <f t="shared" si="5"/>
        <v>0</v>
      </c>
      <c r="O9" s="321">
        <f t="shared" si="8"/>
        <v>0</v>
      </c>
      <c r="P9" s="321">
        <f t="shared" si="6"/>
        <v>80</v>
      </c>
      <c r="Q9" s="321">
        <f t="shared" si="7"/>
        <v>50</v>
      </c>
      <c r="R9" s="321">
        <v>10</v>
      </c>
      <c r="S9" s="321" t="e">
        <f>IF(Q9&gt;0,ROUND(1000*R9/10*(P9/Q9)/(_Pat_Gewicht/10)/60,3),0)</f>
        <v>#DIV/0!</v>
      </c>
      <c r="T9" s="321">
        <v>1</v>
      </c>
      <c r="U9" s="321">
        <v>20</v>
      </c>
      <c r="V9" s="321">
        <v>30</v>
      </c>
      <c r="W9" s="321">
        <v>1</v>
      </c>
    </row>
    <row r="10" spans="1:25" x14ac:dyDescent="0.2">
      <c r="A10" s="321">
        <v>8</v>
      </c>
      <c r="B10" s="321" t="s">
        <v>313</v>
      </c>
      <c r="C10" s="152" t="s">
        <v>433</v>
      </c>
      <c r="D10" s="152" t="str">
        <f t="shared" si="4"/>
        <v>1-20 mcg/kg/min</v>
      </c>
      <c r="E10" s="152" t="s">
        <v>170</v>
      </c>
      <c r="F10" s="321">
        <v>80</v>
      </c>
      <c r="G10" s="321">
        <v>50</v>
      </c>
      <c r="H10" s="321">
        <v>200</v>
      </c>
      <c r="I10" s="321">
        <v>50</v>
      </c>
      <c r="J10" s="467">
        <v>400</v>
      </c>
      <c r="K10" s="467">
        <v>50</v>
      </c>
      <c r="L10" s="321">
        <f t="shared" si="0"/>
        <v>80</v>
      </c>
      <c r="M10" s="321">
        <f t="shared" si="1"/>
        <v>50</v>
      </c>
      <c r="N10" s="321">
        <f t="shared" si="5"/>
        <v>0</v>
      </c>
      <c r="O10" s="321">
        <f t="shared" si="8"/>
        <v>0</v>
      </c>
      <c r="P10" s="321">
        <f t="shared" si="6"/>
        <v>80</v>
      </c>
      <c r="Q10" s="321">
        <f t="shared" si="7"/>
        <v>50</v>
      </c>
      <c r="R10" s="321">
        <v>10</v>
      </c>
      <c r="S10" s="321" t="e">
        <f>IF(Q10&gt;0,ROUND(1000*R10/10*(P10/Q10)/(_Pat_Gewicht/10)/60,3),0)</f>
        <v>#DIV/0!</v>
      </c>
      <c r="T10" s="321">
        <v>1</v>
      </c>
      <c r="U10" s="321">
        <v>20</v>
      </c>
      <c r="V10" s="321">
        <v>30</v>
      </c>
      <c r="W10" s="321">
        <v>1</v>
      </c>
    </row>
    <row r="11" spans="1:25" x14ac:dyDescent="0.2">
      <c r="A11" s="321">
        <v>9</v>
      </c>
      <c r="B11" s="321" t="s">
        <v>509</v>
      </c>
      <c r="C11" s="152" t="s">
        <v>457</v>
      </c>
      <c r="D11" s="152" t="s">
        <v>510</v>
      </c>
      <c r="E11" s="152" t="s">
        <v>171</v>
      </c>
      <c r="F11" s="321">
        <f>IF(_Pat_Gewicht/10&gt;48,48,_Pat_Gewicht/10)</f>
        <v>0</v>
      </c>
      <c r="G11" s="321">
        <v>24</v>
      </c>
      <c r="H11" s="321">
        <f>IF(_Pat_Gewicht/10&gt;48,48,_Pat_Gewicht/10)</f>
        <v>0</v>
      </c>
      <c r="I11" s="321">
        <v>48</v>
      </c>
      <c r="J11" s="321">
        <f>IF(_Pat_Gewicht/10&gt;48,48,_Pat_Gewicht/10)</f>
        <v>0</v>
      </c>
      <c r="K11" s="467">
        <v>48</v>
      </c>
      <c r="L11" s="321">
        <f t="shared" si="0"/>
        <v>0</v>
      </c>
      <c r="M11" s="321">
        <f t="shared" si="1"/>
        <v>24</v>
      </c>
      <c r="N11" s="321">
        <f>INDEX(tblBerMedContIV,IFERROR(VLOOKUP(A11,tblBerMedContIV,2,FALSE),1),3)</f>
        <v>0</v>
      </c>
      <c r="O11" s="321">
        <f>INDEX(tblBerMedContIV,IFERROR(VLOOKUP(A11,tblBerMedContIV,2,FALSE),1),4)</f>
        <v>0</v>
      </c>
      <c r="P11" s="321">
        <f>IF(N11&gt;0,N11,L11)</f>
        <v>0</v>
      </c>
      <c r="Q11" s="321">
        <f>IF(O11&gt;0,O11,M11)</f>
        <v>24</v>
      </c>
      <c r="R11" s="321">
        <v>10</v>
      </c>
      <c r="S11" s="321">
        <f>R11/10</f>
        <v>1</v>
      </c>
      <c r="T11" s="321">
        <v>1</v>
      </c>
      <c r="U11" s="321">
        <v>8</v>
      </c>
      <c r="V11" s="321">
        <v>8</v>
      </c>
      <c r="W11" s="321">
        <v>1</v>
      </c>
    </row>
    <row r="12" spans="1:25" x14ac:dyDescent="0.2">
      <c r="A12" s="321">
        <v>10</v>
      </c>
      <c r="B12" s="152" t="s">
        <v>508</v>
      </c>
      <c r="C12" s="152" t="s">
        <v>457</v>
      </c>
      <c r="D12" s="152" t="s">
        <v>510</v>
      </c>
      <c r="E12" s="152" t="s">
        <v>171</v>
      </c>
      <c r="F12" s="321">
        <f>IF(_Pat_Gewicht/10&gt;48,48,_Pat_Gewicht/10)</f>
        <v>0</v>
      </c>
      <c r="G12" s="321">
        <v>24</v>
      </c>
      <c r="H12" s="321">
        <f>IF(_Pat_Gewicht/10&gt;48,48,_Pat_Gewicht/10)</f>
        <v>0</v>
      </c>
      <c r="I12" s="321">
        <v>48</v>
      </c>
      <c r="J12" s="321">
        <f>IF(_Pat_Gewicht/10&gt;48,48,_Pat_Gewicht/10)</f>
        <v>0</v>
      </c>
      <c r="K12" s="467">
        <v>48</v>
      </c>
      <c r="L12" s="321">
        <f t="shared" si="0"/>
        <v>0</v>
      </c>
      <c r="M12" s="321">
        <f t="shared" si="1"/>
        <v>24</v>
      </c>
      <c r="N12" s="321">
        <f t="shared" si="5"/>
        <v>0</v>
      </c>
      <c r="O12" s="321">
        <f t="shared" si="8"/>
        <v>0</v>
      </c>
      <c r="P12" s="321">
        <f t="shared" si="6"/>
        <v>0</v>
      </c>
      <c r="Q12" s="321">
        <f t="shared" si="7"/>
        <v>24</v>
      </c>
      <c r="R12" s="321">
        <v>10</v>
      </c>
      <c r="S12" s="321">
        <f>R12/10</f>
        <v>1</v>
      </c>
      <c r="T12" s="321">
        <v>1</v>
      </c>
      <c r="U12" s="321">
        <v>8</v>
      </c>
      <c r="V12" s="321">
        <v>8</v>
      </c>
      <c r="W12" s="321">
        <v>1</v>
      </c>
    </row>
    <row r="13" spans="1:25" x14ac:dyDescent="0.2">
      <c r="A13" s="321">
        <v>11</v>
      </c>
      <c r="B13" s="152" t="s">
        <v>96</v>
      </c>
      <c r="C13" s="152" t="s">
        <v>434</v>
      </c>
      <c r="D13" s="152" t="str">
        <f>CONCATENATE(T13,"-",U13," ",C13)</f>
        <v>0,5-50 nanog/kg/min</v>
      </c>
      <c r="E13" s="152" t="s">
        <v>170</v>
      </c>
      <c r="F13" s="321">
        <v>0.2</v>
      </c>
      <c r="G13" s="321">
        <v>50</v>
      </c>
      <c r="H13" s="321">
        <v>0.4</v>
      </c>
      <c r="I13" s="321">
        <v>50</v>
      </c>
      <c r="J13" s="467">
        <v>0.8</v>
      </c>
      <c r="K13" s="467">
        <v>50</v>
      </c>
      <c r="L13" s="321">
        <f t="shared" si="0"/>
        <v>0.2</v>
      </c>
      <c r="M13" s="321">
        <f t="shared" si="1"/>
        <v>50</v>
      </c>
      <c r="N13" s="321">
        <f t="shared" si="5"/>
        <v>0</v>
      </c>
      <c r="O13" s="321">
        <f t="shared" si="8"/>
        <v>0</v>
      </c>
      <c r="P13" s="321">
        <f t="shared" si="6"/>
        <v>0.2</v>
      </c>
      <c r="Q13" s="321">
        <f t="shared" si="7"/>
        <v>50</v>
      </c>
      <c r="R13" s="321">
        <v>10</v>
      </c>
      <c r="S13" s="321" t="e">
        <f>IF(Q13&gt;0,ROUND(1000*1000*R13/10*(P13/Q13)/(_Pat_Gewicht/10)/60,3),0)</f>
        <v>#DIV/0!</v>
      </c>
      <c r="T13" s="321">
        <v>0.5</v>
      </c>
      <c r="U13" s="321">
        <v>50</v>
      </c>
      <c r="V13" s="321">
        <v>50</v>
      </c>
      <c r="W13" s="321">
        <v>2</v>
      </c>
    </row>
    <row r="14" spans="1:25" x14ac:dyDescent="0.2">
      <c r="A14" s="321">
        <v>12</v>
      </c>
      <c r="B14" s="321" t="s">
        <v>149</v>
      </c>
      <c r="C14" s="152" t="s">
        <v>373</v>
      </c>
      <c r="D14" s="152" t="str">
        <f t="shared" ref="D14:D33" si="9">CONCATENATE(T14,"-",U14," ",C14)</f>
        <v>0,5-1 mg/kg/uur</v>
      </c>
      <c r="E14" s="152" t="s">
        <v>170</v>
      </c>
      <c r="F14" s="321">
        <v>100</v>
      </c>
      <c r="G14" s="152">
        <v>50</v>
      </c>
      <c r="H14" s="321">
        <v>250</v>
      </c>
      <c r="I14" s="321">
        <v>50</v>
      </c>
      <c r="J14" s="467">
        <v>250</v>
      </c>
      <c r="K14" s="467">
        <v>50</v>
      </c>
      <c r="L14" s="321">
        <f t="shared" si="0"/>
        <v>100</v>
      </c>
      <c r="M14" s="321">
        <f t="shared" si="1"/>
        <v>50</v>
      </c>
      <c r="N14" s="321">
        <f t="shared" si="5"/>
        <v>0</v>
      </c>
      <c r="O14" s="321">
        <f t="shared" si="8"/>
        <v>0</v>
      </c>
      <c r="P14" s="321">
        <f t="shared" si="6"/>
        <v>100</v>
      </c>
      <c r="Q14" s="321">
        <f t="shared" si="7"/>
        <v>50</v>
      </c>
      <c r="R14" s="321">
        <v>10</v>
      </c>
      <c r="S14" s="321" t="e">
        <f>IF(Q14&gt;0,ROUND(R14/10*(P14/Q14)/(_Pat_Gewicht/10),3),0)</f>
        <v>#DIV/0!</v>
      </c>
      <c r="T14" s="321">
        <v>0.5</v>
      </c>
      <c r="U14" s="321">
        <v>1</v>
      </c>
      <c r="V14" s="321">
        <v>2</v>
      </c>
      <c r="W14" s="321">
        <v>1</v>
      </c>
    </row>
    <row r="15" spans="1:25" x14ac:dyDescent="0.2">
      <c r="A15" s="321">
        <v>13</v>
      </c>
      <c r="B15" s="321" t="s">
        <v>485</v>
      </c>
      <c r="C15" s="152" t="s">
        <v>498</v>
      </c>
      <c r="D15" s="152" t="str">
        <f t="shared" si="9"/>
        <v>0,1-1 mg/kg/min</v>
      </c>
      <c r="E15" s="152" t="s">
        <v>170</v>
      </c>
      <c r="F15" s="321">
        <v>500</v>
      </c>
      <c r="G15" s="321">
        <v>50</v>
      </c>
      <c r="H15" s="321">
        <v>500</v>
      </c>
      <c r="I15" s="321">
        <v>50</v>
      </c>
      <c r="J15" s="467">
        <v>500</v>
      </c>
      <c r="K15" s="467">
        <v>50</v>
      </c>
      <c r="L15" s="321">
        <f t="shared" si="0"/>
        <v>500</v>
      </c>
      <c r="M15" s="321">
        <f t="shared" si="1"/>
        <v>50</v>
      </c>
      <c r="N15" s="321">
        <f t="shared" si="5"/>
        <v>0</v>
      </c>
      <c r="O15" s="321">
        <f t="shared" si="8"/>
        <v>0</v>
      </c>
      <c r="P15" s="321">
        <f t="shared" si="6"/>
        <v>500</v>
      </c>
      <c r="Q15" s="321">
        <f t="shared" si="7"/>
        <v>50</v>
      </c>
      <c r="R15" s="321">
        <v>10</v>
      </c>
      <c r="S15" s="321" t="e">
        <f>IF(Q15&gt;0,ROUND(R15/10*(P15/Q15)/(_Pat_Gewicht/10)/60,3),0)</f>
        <v>#DIV/0!</v>
      </c>
      <c r="T15" s="321">
        <v>0.1</v>
      </c>
      <c r="U15" s="321">
        <v>1</v>
      </c>
      <c r="V15" s="321">
        <v>2</v>
      </c>
      <c r="W15" s="321">
        <v>1</v>
      </c>
    </row>
    <row r="16" spans="1:25" x14ac:dyDescent="0.2">
      <c r="A16" s="321">
        <v>14</v>
      </c>
      <c r="B16" s="321" t="s">
        <v>507</v>
      </c>
      <c r="C16" s="152" t="s">
        <v>199</v>
      </c>
      <c r="D16" s="152" t="str">
        <f t="shared" si="9"/>
        <v>1-5 mcg/kg/uur</v>
      </c>
      <c r="E16" s="152" t="s">
        <v>170</v>
      </c>
      <c r="F16" s="321">
        <v>0.5</v>
      </c>
      <c r="G16" s="321">
        <v>50</v>
      </c>
      <c r="H16" s="321">
        <v>1</v>
      </c>
      <c r="I16" s="321">
        <v>50</v>
      </c>
      <c r="J16" s="467">
        <v>5</v>
      </c>
      <c r="K16" s="467">
        <v>50</v>
      </c>
      <c r="L16" s="321">
        <f t="shared" si="0"/>
        <v>0.5</v>
      </c>
      <c r="M16" s="321">
        <f t="shared" si="1"/>
        <v>50</v>
      </c>
      <c r="N16" s="321">
        <f>INDEX(tblBerMedContIV,IFERROR(VLOOKUP(A16,tblBerMedContIV,2,FALSE),1),3)</f>
        <v>0</v>
      </c>
      <c r="O16" s="321">
        <f>INDEX(tblBerMedContIV,IFERROR(VLOOKUP(A16,tblBerMedContIV,2,FALSE),1),4)</f>
        <v>0</v>
      </c>
      <c r="P16" s="321">
        <f>IF(N16&gt;0,N16,L16)</f>
        <v>0.5</v>
      </c>
      <c r="Q16" s="321">
        <f>IF(O16&gt;0,O16,M16)</f>
        <v>50</v>
      </c>
      <c r="R16" s="321">
        <v>10</v>
      </c>
      <c r="S16" s="321" t="e">
        <f>IF(Q16&gt;0,ROUND(1000*R16/10*(P16/Q16)/(_Pat_Gewicht/10),3),0)</f>
        <v>#DIV/0!</v>
      </c>
      <c r="T16" s="321">
        <v>1</v>
      </c>
      <c r="U16" s="321">
        <v>5</v>
      </c>
      <c r="V16" s="321">
        <v>10</v>
      </c>
      <c r="W16" s="321">
        <v>1</v>
      </c>
    </row>
    <row r="17" spans="1:23" x14ac:dyDescent="0.2">
      <c r="A17" s="321">
        <v>15</v>
      </c>
      <c r="B17" s="321" t="s">
        <v>486</v>
      </c>
      <c r="C17" s="152" t="s">
        <v>433</v>
      </c>
      <c r="D17" s="152" t="str">
        <f t="shared" si="9"/>
        <v>0,05-5 mcg/kg/min</v>
      </c>
      <c r="E17" s="152" t="s">
        <v>170</v>
      </c>
      <c r="F17" s="321">
        <v>0.2</v>
      </c>
      <c r="G17" s="321">
        <v>20</v>
      </c>
      <c r="H17" s="321">
        <v>0.4</v>
      </c>
      <c r="I17" s="321">
        <v>20</v>
      </c>
      <c r="J17" s="467">
        <v>0.8</v>
      </c>
      <c r="K17" s="467">
        <v>20</v>
      </c>
      <c r="L17" s="321">
        <f t="shared" si="0"/>
        <v>0.2</v>
      </c>
      <c r="M17" s="321">
        <f t="shared" si="1"/>
        <v>20</v>
      </c>
      <c r="N17" s="321">
        <f t="shared" si="5"/>
        <v>0</v>
      </c>
      <c r="O17" s="321">
        <f t="shared" si="8"/>
        <v>0</v>
      </c>
      <c r="P17" s="321">
        <f t="shared" si="6"/>
        <v>0.2</v>
      </c>
      <c r="Q17" s="321">
        <f t="shared" si="7"/>
        <v>20</v>
      </c>
      <c r="R17" s="321">
        <v>10</v>
      </c>
      <c r="S17" s="321" t="e">
        <f>IF(Q17&gt;0,ROUND(1000*R17/10*(P17/Q17)/(_Pat_Gewicht/10)/60,3),0)</f>
        <v>#DIV/0!</v>
      </c>
      <c r="T17" s="321">
        <v>0.05</v>
      </c>
      <c r="U17" s="321">
        <v>5</v>
      </c>
      <c r="V17" s="321">
        <v>10</v>
      </c>
      <c r="W17" s="321">
        <v>1</v>
      </c>
    </row>
    <row r="18" spans="1:23" x14ac:dyDescent="0.2">
      <c r="A18" s="321">
        <v>16</v>
      </c>
      <c r="B18" s="321" t="s">
        <v>179</v>
      </c>
      <c r="C18" s="152" t="s">
        <v>374</v>
      </c>
      <c r="D18" s="152" t="str">
        <f t="shared" si="9"/>
        <v>1-4 mg/kg/dag</v>
      </c>
      <c r="E18" s="152" t="s">
        <v>170</v>
      </c>
      <c r="F18" s="321">
        <v>10</v>
      </c>
      <c r="G18" s="321">
        <v>50</v>
      </c>
      <c r="H18" s="321">
        <v>20</v>
      </c>
      <c r="I18" s="321">
        <v>50</v>
      </c>
      <c r="J18" s="467">
        <v>40</v>
      </c>
      <c r="K18" s="467">
        <v>50</v>
      </c>
      <c r="L18" s="321">
        <f t="shared" si="0"/>
        <v>10</v>
      </c>
      <c r="M18" s="321">
        <f t="shared" si="1"/>
        <v>50</v>
      </c>
      <c r="N18" s="321">
        <f t="shared" si="5"/>
        <v>0</v>
      </c>
      <c r="O18" s="321">
        <f t="shared" si="8"/>
        <v>0</v>
      </c>
      <c r="P18" s="321">
        <f t="shared" si="6"/>
        <v>10</v>
      </c>
      <c r="Q18" s="321">
        <f t="shared" si="7"/>
        <v>50</v>
      </c>
      <c r="R18" s="321">
        <v>10</v>
      </c>
      <c r="S18" s="321" t="e">
        <f>IF(Q18&gt;0,ROUND(24*R18/10*(P18/Q18)/(_Pat_Gewicht/10),3),0)</f>
        <v>#DIV/0!</v>
      </c>
      <c r="T18" s="321">
        <v>1</v>
      </c>
      <c r="U18" s="321">
        <v>4</v>
      </c>
      <c r="V18" s="321">
        <v>6</v>
      </c>
      <c r="W18" s="321">
        <v>1</v>
      </c>
    </row>
    <row r="19" spans="1:23" x14ac:dyDescent="0.2">
      <c r="A19" s="321">
        <v>17</v>
      </c>
      <c r="B19" s="321" t="s">
        <v>197</v>
      </c>
      <c r="C19" s="152" t="s">
        <v>198</v>
      </c>
      <c r="D19" s="152" t="str">
        <f t="shared" si="9"/>
        <v>10-20 IE/kg/uur</v>
      </c>
      <c r="E19" s="152" t="s">
        <v>487</v>
      </c>
      <c r="F19" s="321">
        <v>5000</v>
      </c>
      <c r="G19" s="321">
        <v>50</v>
      </c>
      <c r="H19" s="321">
        <v>10000</v>
      </c>
      <c r="I19" s="321">
        <v>50</v>
      </c>
      <c r="J19" s="467">
        <v>20000</v>
      </c>
      <c r="K19" s="467">
        <v>50</v>
      </c>
      <c r="L19" s="321">
        <f t="shared" si="0"/>
        <v>5000</v>
      </c>
      <c r="M19" s="321">
        <f t="shared" si="1"/>
        <v>50</v>
      </c>
      <c r="N19" s="321">
        <f t="shared" si="5"/>
        <v>0</v>
      </c>
      <c r="O19" s="321">
        <f t="shared" si="8"/>
        <v>0</v>
      </c>
      <c r="P19" s="321">
        <f t="shared" si="6"/>
        <v>5000</v>
      </c>
      <c r="Q19" s="321">
        <f t="shared" si="7"/>
        <v>50</v>
      </c>
      <c r="R19" s="321">
        <v>10</v>
      </c>
      <c r="S19" s="321" t="e">
        <f>IF(Q19&gt;0,ROUND(R19/10*(P19/Q19)/(_Pat_Gewicht/10),3),0)</f>
        <v>#DIV/0!</v>
      </c>
      <c r="T19" s="321">
        <v>10</v>
      </c>
      <c r="U19" s="321">
        <v>20</v>
      </c>
      <c r="V19" s="321">
        <v>50</v>
      </c>
      <c r="W19" s="321">
        <v>1</v>
      </c>
    </row>
    <row r="20" spans="1:23" x14ac:dyDescent="0.2">
      <c r="A20" s="321">
        <v>18</v>
      </c>
      <c r="B20" s="321" t="s">
        <v>488</v>
      </c>
      <c r="C20" s="152" t="s">
        <v>68</v>
      </c>
      <c r="D20" s="152" t="str">
        <f t="shared" si="9"/>
        <v>0,02-0,125 E/kg/uur</v>
      </c>
      <c r="E20" s="152" t="s">
        <v>487</v>
      </c>
      <c r="F20" s="321">
        <v>10</v>
      </c>
      <c r="G20" s="321">
        <v>50</v>
      </c>
      <c r="H20" s="321">
        <v>10</v>
      </c>
      <c r="I20" s="321">
        <v>50</v>
      </c>
      <c r="J20" s="467">
        <v>50</v>
      </c>
      <c r="K20" s="467">
        <v>50</v>
      </c>
      <c r="L20" s="321">
        <f t="shared" si="0"/>
        <v>10</v>
      </c>
      <c r="M20" s="321">
        <f t="shared" si="1"/>
        <v>50</v>
      </c>
      <c r="N20" s="321">
        <f t="shared" si="5"/>
        <v>0</v>
      </c>
      <c r="O20" s="321">
        <f t="shared" si="8"/>
        <v>0</v>
      </c>
      <c r="P20" s="321">
        <f t="shared" si="6"/>
        <v>10</v>
      </c>
      <c r="Q20" s="321">
        <f t="shared" si="7"/>
        <v>50</v>
      </c>
      <c r="R20" s="321">
        <v>10</v>
      </c>
      <c r="S20" s="321" t="e">
        <f>IF(Q20&gt;0,ROUND(R20/10*(P20/Q20)/(_Pat_Gewicht/10),3),0)</f>
        <v>#DIV/0!</v>
      </c>
      <c r="T20" s="321">
        <v>0.02</v>
      </c>
      <c r="U20" s="321">
        <v>0.125</v>
      </c>
      <c r="V20" s="321">
        <v>2</v>
      </c>
      <c r="W20" s="321">
        <v>1</v>
      </c>
    </row>
    <row r="21" spans="1:23" x14ac:dyDescent="0.2">
      <c r="A21" s="321">
        <v>19</v>
      </c>
      <c r="B21" s="321" t="s">
        <v>404</v>
      </c>
      <c r="C21" s="152" t="s">
        <v>433</v>
      </c>
      <c r="D21" s="152" t="str">
        <f t="shared" si="9"/>
        <v>0,01-1,5 mcg/kg/min</v>
      </c>
      <c r="E21" s="152" t="s">
        <v>170</v>
      </c>
      <c r="F21" s="321">
        <v>2</v>
      </c>
      <c r="G21" s="321">
        <v>50</v>
      </c>
      <c r="H21" s="321">
        <v>2</v>
      </c>
      <c r="I21" s="321">
        <v>50</v>
      </c>
      <c r="J21" s="467">
        <v>2</v>
      </c>
      <c r="K21" s="467">
        <v>50</v>
      </c>
      <c r="L21" s="321">
        <f t="shared" si="0"/>
        <v>2</v>
      </c>
      <c r="M21" s="321">
        <f t="shared" si="1"/>
        <v>50</v>
      </c>
      <c r="N21" s="321">
        <f t="shared" si="5"/>
        <v>0</v>
      </c>
      <c r="O21" s="321">
        <f t="shared" si="8"/>
        <v>0</v>
      </c>
      <c r="P21" s="321">
        <f t="shared" si="6"/>
        <v>2</v>
      </c>
      <c r="Q21" s="321">
        <f t="shared" si="7"/>
        <v>50</v>
      </c>
      <c r="R21" s="321">
        <v>10</v>
      </c>
      <c r="S21" s="321" t="e">
        <f>IF(Q21&gt;0,ROUND(1000*R21/10*(P21/Q21)/(_Pat_Gewicht/10)/60,3),0)</f>
        <v>#DIV/0!</v>
      </c>
      <c r="T21" s="321">
        <v>0.01</v>
      </c>
      <c r="U21" s="321">
        <v>1.5</v>
      </c>
      <c r="V21" s="321">
        <v>3</v>
      </c>
      <c r="W21" s="321">
        <v>1</v>
      </c>
    </row>
    <row r="22" spans="1:23" x14ac:dyDescent="0.2">
      <c r="A22" s="321">
        <v>20</v>
      </c>
      <c r="B22" s="321" t="s">
        <v>489</v>
      </c>
      <c r="C22" s="152" t="s">
        <v>373</v>
      </c>
      <c r="D22" s="152" t="str">
        <f t="shared" si="9"/>
        <v>0,25-3 mg/kg/uur</v>
      </c>
      <c r="E22" s="152" t="s">
        <v>170</v>
      </c>
      <c r="F22" s="321">
        <v>250</v>
      </c>
      <c r="G22" s="321">
        <v>50</v>
      </c>
      <c r="H22" s="321">
        <v>250</v>
      </c>
      <c r="I22" s="321">
        <v>50</v>
      </c>
      <c r="J22" s="467">
        <v>250</v>
      </c>
      <c r="K22" s="467">
        <v>50</v>
      </c>
      <c r="L22" s="321">
        <f t="shared" si="0"/>
        <v>250</v>
      </c>
      <c r="M22" s="321">
        <f t="shared" si="1"/>
        <v>50</v>
      </c>
      <c r="N22" s="321">
        <f t="shared" si="5"/>
        <v>0</v>
      </c>
      <c r="O22" s="321">
        <f t="shared" si="8"/>
        <v>0</v>
      </c>
      <c r="P22" s="321">
        <f t="shared" si="6"/>
        <v>250</v>
      </c>
      <c r="Q22" s="321">
        <f t="shared" si="7"/>
        <v>50</v>
      </c>
      <c r="R22" s="321">
        <v>10</v>
      </c>
      <c r="S22" s="321" t="e">
        <f>IF(Q22&gt;0,ROUND(R22/10*(P22/Q22)/(_Pat_Gewicht/10),3),0)</f>
        <v>#DIV/0!</v>
      </c>
      <c r="T22" s="321">
        <v>0.25</v>
      </c>
      <c r="U22" s="321">
        <v>3</v>
      </c>
      <c r="V22" s="321">
        <v>4</v>
      </c>
      <c r="W22" s="321">
        <v>1</v>
      </c>
    </row>
    <row r="23" spans="1:23" x14ac:dyDescent="0.2">
      <c r="A23" s="321">
        <v>21</v>
      </c>
      <c r="B23" s="321" t="s">
        <v>490</v>
      </c>
      <c r="C23" s="152" t="s">
        <v>373</v>
      </c>
      <c r="D23" s="152" t="s">
        <v>505</v>
      </c>
      <c r="E23" s="152" t="s">
        <v>170</v>
      </c>
      <c r="F23" s="321">
        <v>500</v>
      </c>
      <c r="G23" s="321">
        <v>50</v>
      </c>
      <c r="H23" s="321">
        <v>1000</v>
      </c>
      <c r="I23" s="321">
        <v>50</v>
      </c>
      <c r="J23" s="467">
        <v>2000</v>
      </c>
      <c r="K23" s="467">
        <v>50</v>
      </c>
      <c r="L23" s="321">
        <f t="shared" si="0"/>
        <v>500</v>
      </c>
      <c r="M23" s="321">
        <f t="shared" si="1"/>
        <v>50</v>
      </c>
      <c r="N23" s="321">
        <f t="shared" si="5"/>
        <v>0</v>
      </c>
      <c r="O23" s="321">
        <f t="shared" si="8"/>
        <v>0</v>
      </c>
      <c r="P23" s="321">
        <f t="shared" si="6"/>
        <v>500</v>
      </c>
      <c r="Q23" s="321">
        <f t="shared" si="7"/>
        <v>50</v>
      </c>
      <c r="R23" s="321">
        <v>10</v>
      </c>
      <c r="S23" s="321" t="e">
        <f>IF(Q23&gt;0,ROUND(R23/10*(P23/Q23)/(_Pat_Gewicht/10),3),0)</f>
        <v>#DIV/0!</v>
      </c>
      <c r="T23" s="321">
        <v>3</v>
      </c>
      <c r="U23" s="321">
        <v>20</v>
      </c>
      <c r="V23" s="321">
        <v>25</v>
      </c>
      <c r="W23" s="321">
        <v>1</v>
      </c>
    </row>
    <row r="24" spans="1:23" x14ac:dyDescent="0.2">
      <c r="A24" s="321">
        <v>22</v>
      </c>
      <c r="B24" s="321" t="s">
        <v>368</v>
      </c>
      <c r="C24" s="152" t="s">
        <v>373</v>
      </c>
      <c r="D24" s="152" t="str">
        <f t="shared" si="9"/>
        <v>0,05-0,5 mg/kg/uur</v>
      </c>
      <c r="E24" s="152" t="s">
        <v>170</v>
      </c>
      <c r="F24" s="321">
        <v>25</v>
      </c>
      <c r="G24" s="152">
        <v>50</v>
      </c>
      <c r="H24" s="321">
        <v>50</v>
      </c>
      <c r="I24" s="321">
        <v>50</v>
      </c>
      <c r="J24" s="467">
        <v>50</v>
      </c>
      <c r="K24" s="467">
        <v>50</v>
      </c>
      <c r="L24" s="321">
        <f t="shared" si="0"/>
        <v>25</v>
      </c>
      <c r="M24" s="321">
        <f t="shared" si="1"/>
        <v>50</v>
      </c>
      <c r="N24" s="321">
        <f t="shared" si="5"/>
        <v>0</v>
      </c>
      <c r="O24" s="321">
        <f t="shared" si="8"/>
        <v>0</v>
      </c>
      <c r="P24" s="321">
        <f t="shared" si="6"/>
        <v>25</v>
      </c>
      <c r="Q24" s="321">
        <f t="shared" si="7"/>
        <v>50</v>
      </c>
      <c r="R24" s="321">
        <v>10</v>
      </c>
      <c r="S24" s="321" t="e">
        <f>IF(Q24&gt;0,ROUND(R24/10*(P24/Q24)/(_Pat_Gewicht/10),3),0)</f>
        <v>#DIV/0!</v>
      </c>
      <c r="T24" s="321">
        <v>0.05</v>
      </c>
      <c r="U24" s="321">
        <v>0.5</v>
      </c>
      <c r="V24" s="321">
        <v>1</v>
      </c>
      <c r="W24" s="321">
        <v>1</v>
      </c>
    </row>
    <row r="25" spans="1:23" x14ac:dyDescent="0.2">
      <c r="A25" s="321">
        <v>23</v>
      </c>
      <c r="B25" s="321" t="s">
        <v>491</v>
      </c>
      <c r="C25" s="152" t="s">
        <v>433</v>
      </c>
      <c r="D25" s="152" t="str">
        <f t="shared" si="9"/>
        <v>0,15-0,5 mcg/kg/min</v>
      </c>
      <c r="E25" s="152" t="s">
        <v>170</v>
      </c>
      <c r="F25" s="321">
        <v>5</v>
      </c>
      <c r="G25" s="321">
        <v>50</v>
      </c>
      <c r="H25" s="321">
        <v>10</v>
      </c>
      <c r="I25" s="321">
        <v>50</v>
      </c>
      <c r="J25" s="467">
        <v>20</v>
      </c>
      <c r="K25" s="467">
        <v>50</v>
      </c>
      <c r="L25" s="321">
        <f t="shared" si="0"/>
        <v>5</v>
      </c>
      <c r="M25" s="321">
        <f t="shared" si="1"/>
        <v>50</v>
      </c>
      <c r="N25" s="321">
        <f t="shared" si="5"/>
        <v>0</v>
      </c>
      <c r="O25" s="321">
        <f t="shared" si="8"/>
        <v>0</v>
      </c>
      <c r="P25" s="321">
        <f t="shared" si="6"/>
        <v>5</v>
      </c>
      <c r="Q25" s="321">
        <f t="shared" si="7"/>
        <v>50</v>
      </c>
      <c r="R25" s="321">
        <v>10</v>
      </c>
      <c r="S25" s="321" t="e">
        <f>IF(Q25&gt;0,ROUND(1000*R25/10*(P25/Q25)/(_Pat_Gewicht/10)/60,3),0)</f>
        <v>#DIV/0!</v>
      </c>
      <c r="T25" s="321">
        <v>0.15</v>
      </c>
      <c r="U25" s="321">
        <v>0.5</v>
      </c>
      <c r="V25" s="321">
        <v>0.75</v>
      </c>
      <c r="W25" s="321">
        <v>1</v>
      </c>
    </row>
    <row r="26" spans="1:23" x14ac:dyDescent="0.2">
      <c r="A26" s="321">
        <v>24</v>
      </c>
      <c r="B26" s="321" t="s">
        <v>124</v>
      </c>
      <c r="C26" s="152" t="s">
        <v>374</v>
      </c>
      <c r="D26" s="152" t="str">
        <f t="shared" si="9"/>
        <v>0,1-0,5 mg/kg/dag</v>
      </c>
      <c r="E26" s="152" t="s">
        <v>170</v>
      </c>
      <c r="F26" s="321">
        <v>2</v>
      </c>
      <c r="G26" s="152">
        <v>50</v>
      </c>
      <c r="H26" s="321">
        <v>5</v>
      </c>
      <c r="I26" s="321">
        <v>50</v>
      </c>
      <c r="J26" s="467">
        <v>10</v>
      </c>
      <c r="K26" s="467">
        <v>50</v>
      </c>
      <c r="L26" s="321">
        <f t="shared" si="0"/>
        <v>2</v>
      </c>
      <c r="M26" s="321">
        <f t="shared" si="1"/>
        <v>50</v>
      </c>
      <c r="N26" s="321">
        <f t="shared" si="5"/>
        <v>0</v>
      </c>
      <c r="O26" s="321">
        <f t="shared" si="8"/>
        <v>0</v>
      </c>
      <c r="P26" s="321">
        <f>IF(N26&gt;0,N26,L26)</f>
        <v>2</v>
      </c>
      <c r="Q26" s="321">
        <f t="shared" si="7"/>
        <v>50</v>
      </c>
      <c r="R26" s="321">
        <v>10</v>
      </c>
      <c r="S26" s="321" t="e">
        <f>IF(Q26&gt;0,ROUND(24*(R26/10)*(P26/Q26)/(_Pat_Gewicht/10),3),0)</f>
        <v>#DIV/0!</v>
      </c>
      <c r="T26" s="321">
        <v>0.1</v>
      </c>
      <c r="U26" s="321">
        <v>0.5</v>
      </c>
      <c r="V26" s="321">
        <v>1</v>
      </c>
      <c r="W26" s="321">
        <v>1</v>
      </c>
    </row>
    <row r="27" spans="1:23" x14ac:dyDescent="0.2">
      <c r="A27" s="321">
        <v>25</v>
      </c>
      <c r="B27" s="152" t="s">
        <v>347</v>
      </c>
      <c r="C27" s="152" t="s">
        <v>402</v>
      </c>
      <c r="D27" s="152" t="str">
        <f t="shared" si="9"/>
        <v>2-4 mmol/kg/dag</v>
      </c>
      <c r="E27" s="152" t="s">
        <v>506</v>
      </c>
      <c r="F27" s="321">
        <v>25</v>
      </c>
      <c r="G27" s="152">
        <v>50</v>
      </c>
      <c r="H27" s="321">
        <v>25</v>
      </c>
      <c r="I27" s="321">
        <v>50</v>
      </c>
      <c r="J27" s="467">
        <v>25</v>
      </c>
      <c r="K27" s="467">
        <v>50</v>
      </c>
      <c r="L27" s="321">
        <f t="shared" si="0"/>
        <v>25</v>
      </c>
      <c r="M27" s="321">
        <f t="shared" si="1"/>
        <v>50</v>
      </c>
      <c r="N27" s="321">
        <f t="shared" si="5"/>
        <v>0</v>
      </c>
      <c r="O27" s="321">
        <f t="shared" si="8"/>
        <v>0</v>
      </c>
      <c r="P27" s="321">
        <f t="shared" si="6"/>
        <v>25</v>
      </c>
      <c r="Q27" s="321">
        <f t="shared" si="7"/>
        <v>50</v>
      </c>
      <c r="R27" s="321">
        <v>10</v>
      </c>
      <c r="S27" s="321" t="e">
        <f>IF(Q27&gt;0,ROUND(24*(R27/10)*(P27/Q27)/(_Pat_Gewicht/10),3),0)</f>
        <v>#DIV/0!</v>
      </c>
      <c r="T27" s="321">
        <v>2</v>
      </c>
      <c r="U27" s="321">
        <v>4</v>
      </c>
      <c r="V27" s="321">
        <v>6</v>
      </c>
      <c r="W27" s="321">
        <v>1</v>
      </c>
    </row>
    <row r="28" spans="1:23" x14ac:dyDescent="0.2">
      <c r="A28" s="321">
        <v>26</v>
      </c>
      <c r="B28" s="321" t="s">
        <v>58</v>
      </c>
      <c r="C28" s="152" t="s">
        <v>433</v>
      </c>
      <c r="D28" s="152" t="str">
        <f t="shared" si="9"/>
        <v>0,5-8 mcg/kg/min</v>
      </c>
      <c r="E28" s="152" t="s">
        <v>170</v>
      </c>
      <c r="F28" s="321">
        <v>10</v>
      </c>
      <c r="G28" s="321">
        <v>50</v>
      </c>
      <c r="H28" s="321">
        <v>20</v>
      </c>
      <c r="I28" s="321">
        <v>50</v>
      </c>
      <c r="J28" s="467">
        <v>40</v>
      </c>
      <c r="K28" s="467">
        <v>50</v>
      </c>
      <c r="L28" s="321">
        <f t="shared" si="0"/>
        <v>10</v>
      </c>
      <c r="M28" s="321">
        <f t="shared" si="1"/>
        <v>50</v>
      </c>
      <c r="N28" s="321">
        <f t="shared" si="5"/>
        <v>0</v>
      </c>
      <c r="O28" s="321">
        <f t="shared" si="8"/>
        <v>0</v>
      </c>
      <c r="P28" s="321">
        <f t="shared" si="6"/>
        <v>10</v>
      </c>
      <c r="Q28" s="321">
        <f t="shared" si="7"/>
        <v>50</v>
      </c>
      <c r="R28" s="321">
        <v>10</v>
      </c>
      <c r="S28" s="321" t="e">
        <f>IF(Q28&gt;0,ROUND(1000*R28/10*(P28/Q28)/(_Pat_Gewicht/10)/60,3),0)</f>
        <v>#DIV/0!</v>
      </c>
      <c r="T28" s="321">
        <v>0.5</v>
      </c>
      <c r="U28" s="321">
        <v>8</v>
      </c>
      <c r="V28" s="321">
        <v>10</v>
      </c>
      <c r="W28" s="321">
        <v>1</v>
      </c>
    </row>
    <row r="29" spans="1:23" x14ac:dyDescent="0.2">
      <c r="A29" s="321">
        <v>27</v>
      </c>
      <c r="B29" s="321" t="s">
        <v>400</v>
      </c>
      <c r="C29" s="152" t="s">
        <v>433</v>
      </c>
      <c r="D29" s="152" t="str">
        <f t="shared" si="9"/>
        <v>0,05-0,5 mcg/kg/min</v>
      </c>
      <c r="E29" s="152" t="s">
        <v>170</v>
      </c>
      <c r="F29" s="321">
        <v>1</v>
      </c>
      <c r="G29" s="321">
        <v>50</v>
      </c>
      <c r="H29" s="321">
        <v>2</v>
      </c>
      <c r="I29" s="321">
        <v>50</v>
      </c>
      <c r="J29" s="467">
        <v>5</v>
      </c>
      <c r="K29" s="467">
        <v>50</v>
      </c>
      <c r="L29" s="321">
        <f t="shared" si="0"/>
        <v>1</v>
      </c>
      <c r="M29" s="321">
        <f t="shared" si="1"/>
        <v>50</v>
      </c>
      <c r="N29" s="321">
        <f t="shared" si="5"/>
        <v>0</v>
      </c>
      <c r="O29" s="321">
        <f t="shared" si="8"/>
        <v>0</v>
      </c>
      <c r="P29" s="321">
        <f t="shared" si="6"/>
        <v>1</v>
      </c>
      <c r="Q29" s="321">
        <f t="shared" si="7"/>
        <v>50</v>
      </c>
      <c r="R29" s="321">
        <v>10</v>
      </c>
      <c r="S29" s="321" t="e">
        <f>IF(Q29&gt;0,ROUND(1000*R29/10*(P29/Q29)/(_Pat_Gewicht/10)/60,3),0)</f>
        <v>#DIV/0!</v>
      </c>
      <c r="T29" s="321">
        <v>0.05</v>
      </c>
      <c r="U29" s="321">
        <v>0.5</v>
      </c>
      <c r="V29" s="321">
        <v>1</v>
      </c>
      <c r="W29" s="321">
        <v>1</v>
      </c>
    </row>
    <row r="30" spans="1:23" x14ac:dyDescent="0.2">
      <c r="A30" s="321">
        <v>28</v>
      </c>
      <c r="B30" s="152" t="s">
        <v>338</v>
      </c>
      <c r="C30" s="152" t="s">
        <v>373</v>
      </c>
      <c r="D30" s="152" t="str">
        <f t="shared" si="9"/>
        <v>1-4 mg/kg/uur</v>
      </c>
      <c r="E30" s="152" t="s">
        <v>170</v>
      </c>
      <c r="F30" s="321">
        <v>10</v>
      </c>
      <c r="G30" s="321">
        <v>1</v>
      </c>
      <c r="H30" s="321">
        <v>10</v>
      </c>
      <c r="I30" s="321">
        <v>1</v>
      </c>
      <c r="J30" s="467">
        <v>10</v>
      </c>
      <c r="K30" s="467">
        <v>1</v>
      </c>
      <c r="L30" s="321">
        <f t="shared" si="0"/>
        <v>10</v>
      </c>
      <c r="M30" s="321">
        <f t="shared" si="1"/>
        <v>1</v>
      </c>
      <c r="N30" s="321">
        <f t="shared" si="5"/>
        <v>0</v>
      </c>
      <c r="O30" s="321">
        <f t="shared" si="8"/>
        <v>0</v>
      </c>
      <c r="P30" s="321">
        <f t="shared" si="6"/>
        <v>10</v>
      </c>
      <c r="Q30" s="321">
        <f t="shared" si="7"/>
        <v>1</v>
      </c>
      <c r="R30" s="321">
        <v>10</v>
      </c>
      <c r="S30" s="321" t="e">
        <f>IF(Q30&gt;0,ROUND(R30/10*(P30/Q30)/(_Pat_Gewicht/10),3),0)</f>
        <v>#DIV/0!</v>
      </c>
      <c r="T30" s="321">
        <v>1</v>
      </c>
      <c r="U30" s="321">
        <v>4</v>
      </c>
      <c r="V30" s="321">
        <v>4</v>
      </c>
      <c r="W30" s="321">
        <v>1</v>
      </c>
    </row>
    <row r="31" spans="1:23" x14ac:dyDescent="0.2">
      <c r="A31" s="321">
        <v>29</v>
      </c>
      <c r="B31" s="152" t="s">
        <v>339</v>
      </c>
      <c r="C31" s="152" t="s">
        <v>373</v>
      </c>
      <c r="D31" s="152" t="str">
        <f t="shared" si="9"/>
        <v>1-4 mg/kg/uur</v>
      </c>
      <c r="E31" s="152" t="s">
        <v>170</v>
      </c>
      <c r="F31" s="321">
        <v>20</v>
      </c>
      <c r="G31" s="321">
        <v>1</v>
      </c>
      <c r="H31" s="321">
        <v>20</v>
      </c>
      <c r="I31" s="321">
        <v>1</v>
      </c>
      <c r="J31" s="467">
        <v>20</v>
      </c>
      <c r="K31" s="467">
        <v>1</v>
      </c>
      <c r="L31" s="321">
        <f t="shared" si="0"/>
        <v>20</v>
      </c>
      <c r="M31" s="321">
        <f t="shared" si="1"/>
        <v>1</v>
      </c>
      <c r="N31" s="321">
        <f t="shared" si="5"/>
        <v>0</v>
      </c>
      <c r="O31" s="321">
        <f t="shared" si="8"/>
        <v>0</v>
      </c>
      <c r="P31" s="321">
        <f t="shared" si="6"/>
        <v>20</v>
      </c>
      <c r="Q31" s="321">
        <f t="shared" si="7"/>
        <v>1</v>
      </c>
      <c r="R31" s="321">
        <v>10</v>
      </c>
      <c r="S31" s="321" t="e">
        <f>IF(Q31&gt;0,ROUND(R31/10*(P31/Q31)/(_Pat_Gewicht/10),3),0)</f>
        <v>#DIV/0!</v>
      </c>
      <c r="T31" s="321">
        <v>1</v>
      </c>
      <c r="U31" s="321">
        <v>4</v>
      </c>
      <c r="V31" s="321">
        <v>4</v>
      </c>
      <c r="W31" s="321">
        <v>1</v>
      </c>
    </row>
    <row r="32" spans="1:23" x14ac:dyDescent="0.2">
      <c r="A32" s="321">
        <v>30</v>
      </c>
      <c r="B32" s="321" t="s">
        <v>285</v>
      </c>
      <c r="C32" s="152" t="s">
        <v>373</v>
      </c>
      <c r="D32" s="152" t="str">
        <f t="shared" si="9"/>
        <v>0,6-1,2 mg/kg/uur</v>
      </c>
      <c r="E32" s="152" t="s">
        <v>170</v>
      </c>
      <c r="F32" s="321">
        <v>50</v>
      </c>
      <c r="G32" s="321">
        <v>50</v>
      </c>
      <c r="H32" s="321">
        <v>100</v>
      </c>
      <c r="I32" s="321">
        <v>50</v>
      </c>
      <c r="J32" s="467">
        <v>200</v>
      </c>
      <c r="K32" s="467">
        <v>50</v>
      </c>
      <c r="L32" s="321">
        <f t="shared" si="0"/>
        <v>50</v>
      </c>
      <c r="M32" s="321">
        <f t="shared" si="1"/>
        <v>50</v>
      </c>
      <c r="N32" s="321">
        <f t="shared" si="5"/>
        <v>0</v>
      </c>
      <c r="O32" s="321">
        <f t="shared" si="8"/>
        <v>0</v>
      </c>
      <c r="P32" s="321">
        <f t="shared" si="6"/>
        <v>50</v>
      </c>
      <c r="Q32" s="321">
        <f t="shared" si="7"/>
        <v>50</v>
      </c>
      <c r="R32" s="321">
        <v>10</v>
      </c>
      <c r="S32" s="321" t="e">
        <f>IF(Q32&gt;0,ROUND(R32/10*(P32/Q32)/(_Pat_Gewicht/10),3),0)</f>
        <v>#DIV/0!</v>
      </c>
      <c r="T32" s="321">
        <v>0.6</v>
      </c>
      <c r="U32" s="321">
        <v>1.2</v>
      </c>
      <c r="V32" s="321">
        <v>2</v>
      </c>
      <c r="W32" s="321">
        <v>1</v>
      </c>
    </row>
    <row r="33" spans="1:23" x14ac:dyDescent="0.2">
      <c r="A33" s="321">
        <v>31</v>
      </c>
      <c r="B33" s="321" t="s">
        <v>27</v>
      </c>
      <c r="C33" s="152" t="s">
        <v>433</v>
      </c>
      <c r="D33" s="152" t="str">
        <f t="shared" si="9"/>
        <v>0,1-10 mcg/kg/min</v>
      </c>
      <c r="E33" s="152" t="s">
        <v>170</v>
      </c>
      <c r="F33" s="321">
        <v>5</v>
      </c>
      <c r="G33" s="321">
        <v>50</v>
      </c>
      <c r="H33" s="321">
        <v>10</v>
      </c>
      <c r="I33" s="321">
        <v>50</v>
      </c>
      <c r="J33" s="467">
        <v>20</v>
      </c>
      <c r="K33" s="467">
        <v>50</v>
      </c>
      <c r="L33" s="321">
        <f t="shared" si="0"/>
        <v>5</v>
      </c>
      <c r="M33" s="321">
        <f t="shared" si="1"/>
        <v>50</v>
      </c>
      <c r="N33" s="321">
        <f t="shared" si="5"/>
        <v>0</v>
      </c>
      <c r="O33" s="321">
        <f t="shared" si="8"/>
        <v>0</v>
      </c>
      <c r="P33" s="321">
        <f t="shared" si="6"/>
        <v>5</v>
      </c>
      <c r="Q33" s="321">
        <f t="shared" si="7"/>
        <v>50</v>
      </c>
      <c r="R33" s="321">
        <v>10</v>
      </c>
      <c r="S33" s="321" t="e">
        <f>IF(Q33&gt;0,ROUND(1000*R33/10*(P33/Q33)/(_Pat_Gewicht/10)/60,3),0)</f>
        <v>#DIV/0!</v>
      </c>
      <c r="T33" s="321">
        <v>0.1</v>
      </c>
      <c r="U33" s="321">
        <v>10</v>
      </c>
      <c r="V33" s="321">
        <v>15</v>
      </c>
      <c r="W33" s="321">
        <v>1</v>
      </c>
    </row>
    <row r="34" spans="1:23" x14ac:dyDescent="0.2">
      <c r="A34" s="321">
        <v>32</v>
      </c>
      <c r="B34" s="321" t="s">
        <v>366</v>
      </c>
      <c r="C34" s="152" t="s">
        <v>373</v>
      </c>
      <c r="D34" s="152" t="s">
        <v>454</v>
      </c>
      <c r="E34" s="152" t="s">
        <v>170</v>
      </c>
      <c r="F34" s="321">
        <v>1000</v>
      </c>
      <c r="G34" s="321">
        <v>50</v>
      </c>
      <c r="H34" s="321">
        <v>2000</v>
      </c>
      <c r="I34" s="321">
        <v>50</v>
      </c>
      <c r="J34" s="467">
        <v>4000</v>
      </c>
      <c r="K34" s="467">
        <v>50</v>
      </c>
      <c r="L34" s="321">
        <f t="shared" si="0"/>
        <v>1000</v>
      </c>
      <c r="M34" s="321">
        <f t="shared" si="1"/>
        <v>50</v>
      </c>
      <c r="N34" s="321">
        <f t="shared" si="5"/>
        <v>0</v>
      </c>
      <c r="O34" s="321">
        <f t="shared" si="8"/>
        <v>0</v>
      </c>
      <c r="P34" s="321">
        <f t="shared" si="6"/>
        <v>1000</v>
      </c>
      <c r="Q34" s="321">
        <f t="shared" si="7"/>
        <v>50</v>
      </c>
      <c r="R34" s="321">
        <v>10</v>
      </c>
      <c r="S34" s="321" t="e">
        <f>IF(Q34&gt;0,ROUND(R34/10*(P34/Q34)/(_Pat_Gewicht/10),3),0)</f>
        <v>#DIV/0!</v>
      </c>
      <c r="T34" s="321">
        <v>5</v>
      </c>
      <c r="U34" s="321">
        <v>10</v>
      </c>
      <c r="V34" s="321">
        <v>20</v>
      </c>
      <c r="W34" s="321">
        <v>1</v>
      </c>
    </row>
    <row r="35" spans="1:23" x14ac:dyDescent="0.2">
      <c r="A35" s="321" t="s">
        <v>504</v>
      </c>
      <c r="B35" s="321">
        <v>1</v>
      </c>
      <c r="C35" s="321">
        <v>2</v>
      </c>
      <c r="D35" s="321">
        <v>3</v>
      </c>
      <c r="E35" s="321">
        <v>4</v>
      </c>
      <c r="F35" s="321">
        <v>5</v>
      </c>
      <c r="G35" s="321">
        <v>6</v>
      </c>
      <c r="H35" s="321">
        <v>7</v>
      </c>
      <c r="I35" s="321">
        <v>8</v>
      </c>
      <c r="J35" s="321">
        <v>9</v>
      </c>
      <c r="K35" s="321">
        <v>10</v>
      </c>
      <c r="L35" s="321">
        <v>11</v>
      </c>
      <c r="M35" s="321">
        <v>12</v>
      </c>
      <c r="N35" s="321">
        <v>13</v>
      </c>
      <c r="O35" s="321">
        <v>14</v>
      </c>
      <c r="P35" s="321">
        <v>15</v>
      </c>
      <c r="Q35" s="321">
        <v>16</v>
      </c>
      <c r="R35" s="321">
        <v>17</v>
      </c>
      <c r="S35" s="321">
        <v>18</v>
      </c>
      <c r="T35" s="321">
        <v>19</v>
      </c>
      <c r="U35" s="321">
        <v>20</v>
      </c>
      <c r="V35" s="321">
        <v>21</v>
      </c>
      <c r="W35" s="321">
        <v>22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Disc">
    <tabColor rgb="FFFFC000"/>
  </sheetPr>
  <dimension ref="A1:E14"/>
  <sheetViews>
    <sheetView workbookViewId="0">
      <selection activeCell="C2" sqref="C2:D14"/>
    </sheetView>
  </sheetViews>
  <sheetFormatPr defaultRowHeight="12.75" x14ac:dyDescent="0.2"/>
  <cols>
    <col min="1" max="5" width="21.140625" customWidth="1"/>
  </cols>
  <sheetData>
    <row r="1" spans="1:5" s="2" customFormat="1" x14ac:dyDescent="0.2">
      <c r="A1" s="2" t="s">
        <v>1068</v>
      </c>
      <c r="B1" s="2" t="s">
        <v>1069</v>
      </c>
      <c r="C1" s="448" t="s">
        <v>1070</v>
      </c>
      <c r="D1" s="448" t="s">
        <v>1071</v>
      </c>
      <c r="E1" s="2" t="s">
        <v>1072</v>
      </c>
    </row>
    <row r="2" spans="1:5" x14ac:dyDescent="0.2">
      <c r="A2" s="320"/>
      <c r="B2" s="320"/>
      <c r="C2" s="320"/>
      <c r="D2" s="320"/>
      <c r="E2" s="320"/>
    </row>
    <row r="3" spans="1:5" x14ac:dyDescent="0.2">
      <c r="A3" s="320" t="s">
        <v>94</v>
      </c>
      <c r="B3" s="320" t="s">
        <v>1114</v>
      </c>
      <c r="C3" s="320">
        <v>0</v>
      </c>
      <c r="D3" s="320" t="s">
        <v>456</v>
      </c>
      <c r="E3" s="320" t="s">
        <v>172</v>
      </c>
    </row>
    <row r="4" spans="1:5" x14ac:dyDescent="0.2">
      <c r="A4" s="320" t="s">
        <v>93</v>
      </c>
      <c r="B4" s="320" t="s">
        <v>293</v>
      </c>
      <c r="C4" s="320">
        <v>1</v>
      </c>
      <c r="D4" s="320" t="s">
        <v>386</v>
      </c>
      <c r="E4" s="320" t="s">
        <v>170</v>
      </c>
    </row>
    <row r="5" spans="1:5" x14ac:dyDescent="0.2">
      <c r="A5" s="320" t="s">
        <v>39</v>
      </c>
      <c r="B5" s="320" t="s">
        <v>294</v>
      </c>
      <c r="C5" s="320">
        <v>0</v>
      </c>
      <c r="D5" s="321" t="s">
        <v>1060</v>
      </c>
      <c r="E5" s="320" t="s">
        <v>31</v>
      </c>
    </row>
    <row r="6" spans="1:5" x14ac:dyDescent="0.2">
      <c r="A6" s="320" t="s">
        <v>319</v>
      </c>
      <c r="B6" s="320"/>
      <c r="C6" s="320">
        <v>1</v>
      </c>
      <c r="D6" s="320" t="s">
        <v>406</v>
      </c>
      <c r="E6" s="320" t="s">
        <v>69</v>
      </c>
    </row>
    <row r="7" spans="1:5" x14ac:dyDescent="0.2">
      <c r="A7" s="320" t="s">
        <v>40</v>
      </c>
      <c r="B7" s="320"/>
      <c r="C7" s="320">
        <v>2</v>
      </c>
      <c r="D7" s="320" t="s">
        <v>407</v>
      </c>
      <c r="E7" s="320" t="s">
        <v>171</v>
      </c>
    </row>
    <row r="8" spans="1:5" x14ac:dyDescent="0.2">
      <c r="A8" s="320" t="s">
        <v>216</v>
      </c>
      <c r="B8" s="320"/>
      <c r="C8" s="320">
        <v>3</v>
      </c>
      <c r="D8" s="320" t="s">
        <v>408</v>
      </c>
      <c r="E8" s="320"/>
    </row>
    <row r="9" spans="1:5" x14ac:dyDescent="0.2">
      <c r="A9" s="320" t="s">
        <v>377</v>
      </c>
      <c r="B9" s="320"/>
      <c r="C9" s="320">
        <v>4</v>
      </c>
      <c r="D9" s="320" t="s">
        <v>409</v>
      </c>
      <c r="E9" s="320"/>
    </row>
    <row r="10" spans="1:5" x14ac:dyDescent="0.2">
      <c r="A10" s="320" t="s">
        <v>378</v>
      </c>
      <c r="B10" s="320"/>
      <c r="C10" s="320">
        <v>5</v>
      </c>
      <c r="D10" s="320" t="s">
        <v>455</v>
      </c>
      <c r="E10" s="320"/>
    </row>
    <row r="11" spans="1:5" x14ac:dyDescent="0.2">
      <c r="A11" s="320" t="s">
        <v>379</v>
      </c>
      <c r="B11" s="320"/>
      <c r="C11" s="320">
        <v>6</v>
      </c>
      <c r="D11" s="320" t="s">
        <v>190</v>
      </c>
      <c r="E11" s="320"/>
    </row>
    <row r="12" spans="1:5" x14ac:dyDescent="0.2">
      <c r="A12" s="320" t="s">
        <v>51</v>
      </c>
      <c r="B12" s="320"/>
      <c r="C12" s="320">
        <v>8</v>
      </c>
      <c r="D12" s="320" t="s">
        <v>191</v>
      </c>
      <c r="E12" s="320"/>
    </row>
    <row r="13" spans="1:5" x14ac:dyDescent="0.2">
      <c r="A13" s="320" t="s">
        <v>157</v>
      </c>
      <c r="B13" s="320"/>
      <c r="C13" s="320">
        <v>12</v>
      </c>
      <c r="D13" s="320" t="s">
        <v>192</v>
      </c>
      <c r="E13" s="320"/>
    </row>
    <row r="14" spans="1:5" x14ac:dyDescent="0.2">
      <c r="A14" s="320"/>
      <c r="B14" s="320"/>
      <c r="C14" s="320">
        <v>24</v>
      </c>
      <c r="D14" s="320" t="s">
        <v>26</v>
      </c>
      <c r="E14" s="320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N32"/>
  <sheetViews>
    <sheetView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796" customWidth="1"/>
    <col min="2" max="2" width="6" style="796" customWidth="1"/>
    <col min="3" max="3" width="3" style="796" customWidth="1"/>
    <col min="4" max="4" width="16.5703125" style="796" customWidth="1"/>
    <col min="5" max="5" width="17.28515625" style="796" customWidth="1"/>
    <col min="6" max="6" width="17.5703125" style="796" customWidth="1"/>
    <col min="7" max="7" width="18.5703125" style="796" customWidth="1"/>
    <col min="8" max="8" width="18.28515625" style="796" customWidth="1"/>
    <col min="9" max="9" width="9.7109375" style="796" customWidth="1"/>
    <col min="10" max="10" width="9.140625" style="796"/>
    <col min="11" max="11" width="9.42578125" style="796" bestFit="1" customWidth="1"/>
    <col min="12" max="12" width="9.28515625" style="796" bestFit="1" customWidth="1"/>
    <col min="13" max="16384" width="9.140625" style="796"/>
  </cols>
  <sheetData>
    <row r="1" spans="2:14" s="782" customFormat="1" ht="17.25" customHeight="1" x14ac:dyDescent="0.2">
      <c r="B1" s="704"/>
      <c r="C1" s="930"/>
      <c r="D1" s="704"/>
      <c r="E1" s="704"/>
      <c r="F1" s="704"/>
      <c r="G1" s="704"/>
      <c r="H1" s="704"/>
      <c r="I1" s="704"/>
      <c r="J1" s="704"/>
      <c r="K1" s="704"/>
    </row>
    <row r="2" spans="2:14" s="782" customFormat="1" ht="17.25" customHeight="1" x14ac:dyDescent="0.2">
      <c r="B2" s="704"/>
      <c r="C2" s="704"/>
      <c r="D2" s="736" t="s">
        <v>316</v>
      </c>
      <c r="E2" s="737">
        <f ca="1">Var_AfspraakDatum</f>
        <v>42748</v>
      </c>
      <c r="F2" s="736" t="s">
        <v>317</v>
      </c>
      <c r="G2" s="931" t="str">
        <f>PatDetails!B13</f>
        <v/>
      </c>
      <c r="H2" s="740" t="str">
        <f>PatDetails!B21</f>
        <v>Gewicht:</v>
      </c>
      <c r="I2" s="740"/>
      <c r="J2" s="934" t="s">
        <v>536</v>
      </c>
      <c r="K2" s="932">
        <f>__1_Bed</f>
        <v>0</v>
      </c>
    </row>
    <row r="3" spans="2:14" s="782" customFormat="1" ht="17.25" customHeight="1" x14ac:dyDescent="0.2">
      <c r="B3" s="704"/>
      <c r="C3" s="704"/>
      <c r="D3" s="736" t="s">
        <v>28</v>
      </c>
      <c r="E3" s="741" t="str">
        <f>PatDetails!B19</f>
        <v/>
      </c>
      <c r="F3" s="736" t="s">
        <v>324</v>
      </c>
      <c r="G3" s="933" t="str">
        <f ca="1">PatDetails!B14</f>
        <v/>
      </c>
      <c r="H3" s="740" t="str">
        <f>PatDetails!B22</f>
        <v>Lengte:</v>
      </c>
      <c r="I3" s="740"/>
      <c r="J3" s="736"/>
      <c r="K3" s="736"/>
      <c r="L3" s="792"/>
    </row>
    <row r="4" spans="2:14" s="782" customFormat="1" ht="17.25" customHeight="1" x14ac:dyDescent="0.2">
      <c r="B4" s="704"/>
      <c r="C4" s="771"/>
      <c r="D4" s="742" t="s">
        <v>5108</v>
      </c>
      <c r="E4" s="736" t="str">
        <f>PatDetails!B15</f>
        <v/>
      </c>
      <c r="F4" s="736" t="s">
        <v>287</v>
      </c>
      <c r="G4" s="771" t="str">
        <f ca="1">PatDetails!B18</f>
        <v/>
      </c>
      <c r="H4" s="740" t="str">
        <f>PatDetails!B23</f>
        <v>Lichamelijk oppervlak:</v>
      </c>
      <c r="I4" s="740"/>
      <c r="J4" s="736"/>
      <c r="K4" s="736"/>
      <c r="L4" s="792"/>
    </row>
    <row r="5" spans="2:14" s="782" customFormat="1" ht="8.1" customHeight="1" x14ac:dyDescent="0.2">
      <c r="B5" s="704"/>
      <c r="C5" s="771"/>
      <c r="D5" s="736"/>
      <c r="E5" s="736"/>
      <c r="F5" s="738"/>
      <c r="G5" s="736"/>
      <c r="H5" s="745"/>
      <c r="I5" s="736"/>
      <c r="J5" s="736"/>
      <c r="K5" s="736"/>
      <c r="L5" s="792"/>
    </row>
    <row r="6" spans="2:14" ht="12.75" customHeight="1" x14ac:dyDescent="0.2"/>
    <row r="7" spans="2:14" ht="20.100000000000001" customHeight="1" x14ac:dyDescent="0.2">
      <c r="B7" s="705" t="s">
        <v>4903</v>
      </c>
      <c r="C7" s="950"/>
      <c r="D7" s="951" t="s">
        <v>25</v>
      </c>
      <c r="E7" s="705"/>
      <c r="F7" s="705"/>
      <c r="G7" s="705"/>
      <c r="H7" s="705"/>
      <c r="I7" s="705"/>
      <c r="J7" s="705"/>
      <c r="K7" s="705"/>
      <c r="L7" s="782"/>
      <c r="M7" s="797"/>
      <c r="N7" s="797"/>
    </row>
    <row r="8" spans="2:14" ht="9" customHeight="1" x14ac:dyDescent="0.2">
      <c r="B8" s="798"/>
      <c r="J8" s="782"/>
      <c r="K8" s="799"/>
      <c r="L8" s="799"/>
      <c r="M8" s="797"/>
      <c r="N8" s="797"/>
    </row>
    <row r="9" spans="2:14" ht="20.100000000000001" customHeight="1" x14ac:dyDescent="0.2">
      <c r="B9" s="800" t="str">
        <f>PedBerIVenPM!D2</f>
        <v/>
      </c>
      <c r="C9" s="703">
        <v>1</v>
      </c>
      <c r="E9" s="801"/>
      <c r="G9" s="802"/>
      <c r="H9" s="803" t="str">
        <f>PedBerIVenPM!C2</f>
        <v/>
      </c>
      <c r="J9" s="782"/>
      <c r="K9" s="804"/>
      <c r="L9" s="805"/>
      <c r="M9" s="797"/>
      <c r="N9" s="797"/>
    </row>
    <row r="10" spans="2:14" ht="20.100000000000001" customHeight="1" x14ac:dyDescent="0.2">
      <c r="B10" s="800" t="str">
        <f>PedBerIVenPM!D3</f>
        <v/>
      </c>
      <c r="C10" s="703">
        <v>2</v>
      </c>
      <c r="G10" s="802"/>
      <c r="H10" s="803" t="str">
        <f>PedBerIVenPM!C3</f>
        <v/>
      </c>
      <c r="J10" s="782"/>
      <c r="K10" s="805"/>
      <c r="L10" s="805"/>
      <c r="M10" s="797"/>
      <c r="N10" s="797"/>
    </row>
    <row r="11" spans="2:14" ht="20.100000000000001" customHeight="1" x14ac:dyDescent="0.2">
      <c r="B11" s="800" t="str">
        <f>PedBerIVenPM!D4</f>
        <v/>
      </c>
      <c r="C11" s="703">
        <v>3</v>
      </c>
      <c r="G11" s="802"/>
      <c r="H11" s="803" t="str">
        <f>PedBerIVenPM!C4</f>
        <v/>
      </c>
      <c r="J11" s="782"/>
      <c r="M11" s="797"/>
      <c r="N11" s="797"/>
    </row>
    <row r="12" spans="2:14" ht="20.100000000000001" customHeight="1" x14ac:dyDescent="0.2">
      <c r="B12" s="800" t="str">
        <f>PedBerIVenPM!D5</f>
        <v/>
      </c>
      <c r="C12" s="703">
        <v>4</v>
      </c>
      <c r="G12" s="802"/>
      <c r="H12" s="803" t="str">
        <f>PedBerIVenPM!C5</f>
        <v/>
      </c>
      <c r="J12" s="782"/>
      <c r="M12" s="797"/>
      <c r="N12" s="797"/>
    </row>
    <row r="13" spans="2:14" ht="20.100000000000001" customHeight="1" x14ac:dyDescent="0.2">
      <c r="B13" s="800" t="str">
        <f>PedBerIVenPM!D6</f>
        <v/>
      </c>
      <c r="C13" s="703">
        <v>5</v>
      </c>
      <c r="G13" s="802"/>
      <c r="H13" s="803" t="str">
        <f>PedBerIVenPM!C6</f>
        <v/>
      </c>
      <c r="J13" s="782"/>
      <c r="M13" s="797"/>
      <c r="N13" s="797"/>
    </row>
    <row r="14" spans="2:14" ht="20.100000000000001" customHeight="1" x14ac:dyDescent="0.2">
      <c r="B14" s="800" t="str">
        <f>PedBerIVenPM!D7</f>
        <v/>
      </c>
      <c r="C14" s="703">
        <v>6</v>
      </c>
      <c r="D14" s="782"/>
      <c r="E14" s="782"/>
      <c r="F14" s="782"/>
      <c r="G14" s="782"/>
      <c r="H14" s="782" t="str">
        <f>PedBerIVenPM!C7</f>
        <v/>
      </c>
      <c r="J14" s="782"/>
      <c r="M14" s="797"/>
      <c r="N14" s="797"/>
    </row>
    <row r="15" spans="2:14" ht="17.25" customHeight="1" x14ac:dyDescent="0.2">
      <c r="B15" s="798"/>
      <c r="J15" s="782"/>
      <c r="M15" s="797"/>
      <c r="N15" s="797"/>
    </row>
    <row r="16" spans="2:14" ht="20.100000000000001" customHeight="1" x14ac:dyDescent="0.2">
      <c r="B16" s="800" t="str">
        <f>PedBerIVenPM!D9</f>
        <v/>
      </c>
      <c r="C16" s="703"/>
      <c r="D16" s="733" t="s">
        <v>304</v>
      </c>
      <c r="E16" s="979">
        <f>_Ped_IVLijn_Opm</f>
        <v>0</v>
      </c>
      <c r="F16" s="980"/>
      <c r="G16" s="980"/>
      <c r="H16" s="980"/>
      <c r="I16" s="806"/>
      <c r="J16" s="807"/>
      <c r="M16" s="797"/>
      <c r="N16" s="797"/>
    </row>
    <row r="17" spans="2:14" ht="17.25" customHeight="1" x14ac:dyDescent="0.2">
      <c r="B17" s="798"/>
      <c r="D17" s="802"/>
      <c r="E17" s="802"/>
      <c r="F17" s="802"/>
      <c r="G17" s="802"/>
      <c r="H17" s="802"/>
      <c r="I17" s="802"/>
      <c r="J17" s="799"/>
      <c r="M17" s="797"/>
      <c r="N17" s="797"/>
    </row>
    <row r="18" spans="2:14" ht="20.100000000000001" customHeight="1" x14ac:dyDescent="0.2">
      <c r="B18" s="798"/>
      <c r="D18" s="769"/>
      <c r="E18" s="805"/>
      <c r="F18" s="805"/>
      <c r="G18" s="805"/>
      <c r="H18" s="805"/>
      <c r="I18" s="805"/>
      <c r="J18" s="804"/>
    </row>
    <row r="19" spans="2:14" ht="20.100000000000001" customHeight="1" x14ac:dyDescent="0.2">
      <c r="B19" s="951" t="str">
        <f>PedBerIVenPM!M2</f>
        <v/>
      </c>
      <c r="C19" s="705"/>
      <c r="D19" s="705" t="s">
        <v>20</v>
      </c>
      <c r="E19" s="952"/>
      <c r="F19" s="705"/>
      <c r="G19" s="705"/>
      <c r="H19" s="705"/>
      <c r="I19" s="705"/>
      <c r="J19" s="953"/>
      <c r="K19" s="705"/>
    </row>
    <row r="20" spans="2:14" ht="8.1" customHeight="1" x14ac:dyDescent="0.2">
      <c r="B20" s="808"/>
    </row>
    <row r="21" spans="2:14" ht="20.100000000000001" customHeight="1" x14ac:dyDescent="0.2">
      <c r="B21" s="808"/>
      <c r="D21" s="703" t="s">
        <v>278</v>
      </c>
      <c r="G21" s="703" t="s">
        <v>62</v>
      </c>
    </row>
    <row r="22" spans="2:14" ht="8.1" customHeight="1" x14ac:dyDescent="0.2">
      <c r="B22" s="808"/>
    </row>
    <row r="23" spans="2:14" ht="20.100000000000001" customHeight="1" x14ac:dyDescent="0.2">
      <c r="B23" s="800" t="str">
        <f>PedBerIVenPM!M3</f>
        <v/>
      </c>
      <c r="D23" s="703" t="s">
        <v>307</v>
      </c>
      <c r="E23" s="879" t="str">
        <f>IF(PedBerIVenPM!H1&gt;1,PedBerIVenPM!K1&amp;" /min","")</f>
        <v>30 /min</v>
      </c>
    </row>
    <row r="24" spans="2:14" ht="8.1" customHeight="1" x14ac:dyDescent="0.2">
      <c r="B24" s="810"/>
      <c r="D24" s="808"/>
      <c r="E24" s="809"/>
    </row>
    <row r="25" spans="2:14" ht="20.100000000000001" customHeight="1" x14ac:dyDescent="0.2">
      <c r="B25" s="810"/>
      <c r="D25" s="703" t="s">
        <v>63</v>
      </c>
      <c r="E25" s="880" t="str">
        <f>IF(PedBerIVenPM!H1&gt;1,(PedBerIVenPM!K2/10)&amp;" V","")</f>
        <v>0,1 V</v>
      </c>
    </row>
    <row r="26" spans="2:14" ht="20.100000000000001" customHeight="1" thickBot="1" x14ac:dyDescent="0.25">
      <c r="B26" s="810"/>
      <c r="D26" s="703" t="s">
        <v>4914</v>
      </c>
      <c r="E26" s="881" t="str">
        <f>IF(PedBerIVenPM!H1&gt;1,(PedBerIVenPM!K3/10)&amp;" V","")</f>
        <v>0,1 V</v>
      </c>
    </row>
    <row r="27" spans="2:14" ht="8.1" customHeight="1" thickTop="1" thickBot="1" x14ac:dyDescent="0.25">
      <c r="B27" s="810"/>
      <c r="D27" s="808"/>
      <c r="E27" s="811"/>
    </row>
    <row r="28" spans="2:14" ht="20.100000000000001" customHeight="1" thickTop="1" thickBot="1" x14ac:dyDescent="0.25">
      <c r="B28" s="810"/>
      <c r="D28" s="703" t="s">
        <v>64</v>
      </c>
      <c r="E28" s="878" t="str">
        <f>IF(PedBerIVenPM!H1&gt;1,PedBerIVenPM!K4&amp;" msec","")</f>
        <v>20 msec</v>
      </c>
    </row>
    <row r="29" spans="2:14" ht="8.1" customHeight="1" thickTop="1" thickBot="1" x14ac:dyDescent="0.25">
      <c r="B29" s="810"/>
      <c r="D29" s="808"/>
      <c r="E29" s="811"/>
    </row>
    <row r="30" spans="2:14" ht="20.100000000000001" customHeight="1" thickTop="1" x14ac:dyDescent="0.2">
      <c r="B30" s="810"/>
      <c r="D30" s="703" t="s">
        <v>65</v>
      </c>
      <c r="E30" s="882" t="str">
        <f>IF(PedBerIVenPM!H1&gt;1,PedBerIVenPM!K5/10&amp;" mV","")</f>
        <v>0,2 mV</v>
      </c>
    </row>
    <row r="31" spans="2:14" ht="20.100000000000001" customHeight="1" thickBot="1" x14ac:dyDescent="0.25">
      <c r="B31" s="810"/>
      <c r="D31" s="703" t="s">
        <v>4915</v>
      </c>
      <c r="E31" s="881" t="str">
        <f>IF(PedBerIVenPM!H1&gt;1,(PedBerIVenPM!K6/10)&amp;" mV","")</f>
        <v>1 mV</v>
      </c>
    </row>
    <row r="32" spans="2:14" ht="17.25" customHeight="1" thickTop="1" x14ac:dyDescent="0.2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8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M33"/>
  <sheetViews>
    <sheetView workbookViewId="0">
      <selection activeCell="K1" sqref="K1:K6"/>
    </sheetView>
  </sheetViews>
  <sheetFormatPr defaultRowHeight="12.75" x14ac:dyDescent="0.2"/>
  <cols>
    <col min="1" max="2" width="15.42578125" customWidth="1"/>
    <col min="3" max="6" width="15.42578125" style="320" customWidth="1"/>
  </cols>
  <sheetData>
    <row r="1" spans="1:13" x14ac:dyDescent="0.2">
      <c r="A1" s="2" t="s">
        <v>1075</v>
      </c>
      <c r="B1" s="2" t="s">
        <v>1076</v>
      </c>
      <c r="C1" s="2" t="s">
        <v>196</v>
      </c>
      <c r="D1" s="2" t="s">
        <v>4903</v>
      </c>
      <c r="E1" s="2" t="s">
        <v>128</v>
      </c>
      <c r="F1" s="2" t="s">
        <v>349</v>
      </c>
      <c r="H1" s="2" t="s">
        <v>277</v>
      </c>
      <c r="I1" s="2" t="s">
        <v>66</v>
      </c>
      <c r="J1" s="2" t="s">
        <v>219</v>
      </c>
      <c r="K1">
        <v>30</v>
      </c>
      <c r="L1">
        <v>70</v>
      </c>
      <c r="M1" s="2" t="s">
        <v>4903</v>
      </c>
    </row>
    <row r="2" spans="1:13" x14ac:dyDescent="0.2">
      <c r="A2" s="8">
        <v>1</v>
      </c>
      <c r="B2" s="8">
        <v>1</v>
      </c>
      <c r="C2" s="8" t="str">
        <f t="shared" ref="C2:C7" si="0">IF(INDEX(tblInfusenBer,B2,2)=0,"",INDEX(tblInfusenBer,B2,2)&amp;" ml")</f>
        <v/>
      </c>
      <c r="D2" s="8" t="str">
        <f>IF(B2&gt;1,"verw","")</f>
        <v/>
      </c>
      <c r="E2" s="8" t="b">
        <f t="shared" ref="E2:E7" si="1">IF(INDEX(tblInfusenBer,B2,2)&lt;&gt;0,INDEX(tblInfusenBer,B2,3))</f>
        <v>0</v>
      </c>
      <c r="F2" s="8">
        <f t="shared" ref="F2:F7" si="2">IF(INDEX(tblInfusenBer,B2,2)&lt;&gt;0,INDEX(tblInfusenBer,B2,2),0)</f>
        <v>0</v>
      </c>
      <c r="H2">
        <v>1</v>
      </c>
      <c r="I2">
        <v>1</v>
      </c>
      <c r="J2" s="2" t="s">
        <v>273</v>
      </c>
      <c r="K2">
        <v>1</v>
      </c>
      <c r="L2">
        <v>10</v>
      </c>
      <c r="M2" t="str">
        <f>IF(_Ped_PM_Actief&gt;1,"verw","")</f>
        <v/>
      </c>
    </row>
    <row r="3" spans="1:13" x14ac:dyDescent="0.2">
      <c r="A3" s="8">
        <v>2</v>
      </c>
      <c r="B3" s="8">
        <v>1</v>
      </c>
      <c r="C3" s="8" t="str">
        <f t="shared" si="0"/>
        <v/>
      </c>
      <c r="D3" s="8" t="str">
        <f t="shared" ref="D3:D7" si="3">IF(B3&gt;1,"verw","")</f>
        <v/>
      </c>
      <c r="E3" s="8" t="b">
        <f t="shared" si="1"/>
        <v>0</v>
      </c>
      <c r="F3" s="8">
        <f t="shared" si="2"/>
        <v>0</v>
      </c>
      <c r="J3" s="2" t="s">
        <v>274</v>
      </c>
      <c r="K3">
        <v>1</v>
      </c>
      <c r="L3">
        <v>10</v>
      </c>
      <c r="M3" t="str">
        <f>IF(_Ped_PM_Actief&gt;1,"stand","")</f>
        <v/>
      </c>
    </row>
    <row r="4" spans="1:13" x14ac:dyDescent="0.2">
      <c r="A4" s="8">
        <v>3</v>
      </c>
      <c r="B4" s="8">
        <v>1</v>
      </c>
      <c r="C4" s="8" t="str">
        <f t="shared" si="0"/>
        <v/>
      </c>
      <c r="D4" s="8" t="str">
        <f t="shared" si="3"/>
        <v/>
      </c>
      <c r="E4" s="8" t="b">
        <f t="shared" si="1"/>
        <v>0</v>
      </c>
      <c r="F4" s="8">
        <f t="shared" si="2"/>
        <v>0</v>
      </c>
      <c r="J4" s="2" t="s">
        <v>275</v>
      </c>
      <c r="K4">
        <v>20</v>
      </c>
      <c r="L4">
        <v>170</v>
      </c>
    </row>
    <row r="5" spans="1:13" x14ac:dyDescent="0.2">
      <c r="A5" s="8">
        <v>4</v>
      </c>
      <c r="B5" s="8">
        <v>1</v>
      </c>
      <c r="C5" s="8" t="str">
        <f t="shared" si="0"/>
        <v/>
      </c>
      <c r="D5" s="8" t="str">
        <f t="shared" si="3"/>
        <v/>
      </c>
      <c r="E5" s="8" t="b">
        <f t="shared" si="1"/>
        <v>0</v>
      </c>
      <c r="F5" s="8">
        <f t="shared" si="2"/>
        <v>0</v>
      </c>
      <c r="G5" s="394"/>
      <c r="J5" s="2" t="s">
        <v>276</v>
      </c>
      <c r="K5">
        <v>2</v>
      </c>
      <c r="L5">
        <v>20</v>
      </c>
    </row>
    <row r="6" spans="1:13" x14ac:dyDescent="0.2">
      <c r="A6" s="8">
        <v>5</v>
      </c>
      <c r="B6" s="8">
        <v>1</v>
      </c>
      <c r="C6" s="8" t="str">
        <f t="shared" si="0"/>
        <v/>
      </c>
      <c r="D6" s="8" t="str">
        <f t="shared" si="3"/>
        <v/>
      </c>
      <c r="E6" s="8" t="b">
        <f t="shared" si="1"/>
        <v>0</v>
      </c>
      <c r="F6" s="8">
        <f t="shared" si="2"/>
        <v>0</v>
      </c>
      <c r="G6" s="394"/>
      <c r="J6" s="2" t="s">
        <v>310</v>
      </c>
      <c r="K6">
        <v>10</v>
      </c>
      <c r="L6">
        <v>20</v>
      </c>
    </row>
    <row r="7" spans="1:13" x14ac:dyDescent="0.2">
      <c r="A7" s="8">
        <v>6</v>
      </c>
      <c r="B7" s="8">
        <v>1</v>
      </c>
      <c r="C7" s="8" t="str">
        <f t="shared" si="0"/>
        <v/>
      </c>
      <c r="D7" s="8" t="str">
        <f t="shared" si="3"/>
        <v/>
      </c>
      <c r="E7" s="8" t="b">
        <f t="shared" si="1"/>
        <v>0</v>
      </c>
      <c r="F7" s="8">
        <f t="shared" si="2"/>
        <v>0</v>
      </c>
      <c r="G7" s="394"/>
    </row>
    <row r="8" spans="1:13" x14ac:dyDescent="0.2">
      <c r="A8" s="394"/>
      <c r="B8" s="394"/>
      <c r="C8" s="394"/>
      <c r="D8" s="394"/>
      <c r="E8" s="394"/>
      <c r="F8" s="394"/>
      <c r="G8" s="394"/>
    </row>
    <row r="9" spans="1:13" x14ac:dyDescent="0.2">
      <c r="A9" s="394" t="s">
        <v>256</v>
      </c>
      <c r="B9" s="394"/>
      <c r="C9" s="394"/>
      <c r="D9" s="394" t="str">
        <f>IF(_Ped_IVLijn_Opm="","","verw")</f>
        <v/>
      </c>
      <c r="E9" s="394">
        <f>SUM(E2:E8)</f>
        <v>0</v>
      </c>
      <c r="F9" s="394">
        <f>SUM(F2:F8)</f>
        <v>0</v>
      </c>
      <c r="G9" s="394"/>
    </row>
    <row r="10" spans="1:13" x14ac:dyDescent="0.2">
      <c r="A10" s="394"/>
      <c r="B10" s="394"/>
      <c r="C10" s="394"/>
      <c r="D10" s="394"/>
      <c r="E10" s="394"/>
      <c r="F10" s="394"/>
      <c r="G10" s="394"/>
    </row>
    <row r="11" spans="1:13" x14ac:dyDescent="0.2">
      <c r="A11" s="394"/>
      <c r="B11" s="394"/>
      <c r="C11" s="394"/>
      <c r="D11" s="394"/>
      <c r="E11" s="394"/>
      <c r="F11" s="394"/>
      <c r="G11" s="394"/>
    </row>
    <row r="12" spans="1:13" x14ac:dyDescent="0.2">
      <c r="A12" s="394"/>
      <c r="B12" s="394"/>
      <c r="C12" s="394"/>
      <c r="D12" s="394"/>
      <c r="E12" s="394"/>
      <c r="F12" s="394"/>
      <c r="G12" s="394"/>
    </row>
    <row r="13" spans="1:13" x14ac:dyDescent="0.2">
      <c r="A13" s="394"/>
      <c r="B13" s="394"/>
      <c r="C13" s="394"/>
      <c r="D13" s="394"/>
      <c r="E13" s="394"/>
      <c r="F13" s="394"/>
      <c r="G13" s="394"/>
    </row>
    <row r="14" spans="1:13" x14ac:dyDescent="0.2">
      <c r="A14" s="394"/>
      <c r="B14" s="394"/>
      <c r="C14" s="394"/>
      <c r="D14" s="394"/>
      <c r="E14" s="394"/>
      <c r="F14" s="394"/>
      <c r="G14" s="394"/>
    </row>
    <row r="15" spans="1:13" x14ac:dyDescent="0.2">
      <c r="A15" s="394"/>
      <c r="B15" s="394"/>
      <c r="C15" s="394"/>
      <c r="D15" s="394"/>
      <c r="E15" s="394"/>
      <c r="F15" s="394"/>
      <c r="G15" s="394"/>
    </row>
    <row r="16" spans="1:13" x14ac:dyDescent="0.2">
      <c r="A16" s="394"/>
      <c r="B16" s="394"/>
      <c r="C16" s="394"/>
      <c r="D16" s="394"/>
      <c r="E16" s="394"/>
      <c r="F16" s="394"/>
      <c r="G16" s="394"/>
    </row>
    <row r="17" spans="1:7" x14ac:dyDescent="0.2">
      <c r="A17" s="394"/>
      <c r="B17" s="394"/>
      <c r="C17" s="394"/>
      <c r="D17" s="394"/>
      <c r="E17" s="394"/>
      <c r="F17" s="394"/>
      <c r="G17" s="394"/>
    </row>
    <row r="18" spans="1:7" x14ac:dyDescent="0.2">
      <c r="A18" s="394"/>
      <c r="B18" s="394"/>
      <c r="C18" s="394"/>
      <c r="D18" s="394"/>
      <c r="E18" s="394"/>
      <c r="F18" s="394"/>
      <c r="G18" s="394"/>
    </row>
    <row r="19" spans="1:7" x14ac:dyDescent="0.2">
      <c r="A19" s="394"/>
      <c r="B19" s="394"/>
      <c r="C19" s="394"/>
      <c r="D19" s="394"/>
      <c r="E19" s="394"/>
      <c r="F19" s="394"/>
      <c r="G19" s="394"/>
    </row>
    <row r="20" spans="1:7" x14ac:dyDescent="0.2">
      <c r="A20" s="394"/>
      <c r="B20" s="394"/>
      <c r="C20" s="394"/>
      <c r="D20" s="394"/>
      <c r="E20" s="394"/>
      <c r="F20" s="394"/>
      <c r="G20" s="394"/>
    </row>
    <row r="21" spans="1:7" x14ac:dyDescent="0.2">
      <c r="A21" s="394"/>
      <c r="B21" s="394"/>
      <c r="C21" s="394"/>
      <c r="D21" s="394"/>
      <c r="E21" s="394"/>
      <c r="F21" s="394"/>
      <c r="G21" s="394"/>
    </row>
    <row r="22" spans="1:7" x14ac:dyDescent="0.2">
      <c r="A22" s="394"/>
      <c r="B22" s="394"/>
      <c r="C22" s="394"/>
      <c r="D22" s="394"/>
      <c r="E22" s="394"/>
      <c r="F22" s="394"/>
      <c r="G22" s="394"/>
    </row>
    <row r="23" spans="1:7" x14ac:dyDescent="0.2">
      <c r="A23" s="394"/>
      <c r="B23" s="394"/>
      <c r="C23" s="394"/>
      <c r="D23" s="394"/>
      <c r="E23" s="394"/>
      <c r="F23" s="394"/>
      <c r="G23" s="394"/>
    </row>
    <row r="24" spans="1:7" x14ac:dyDescent="0.2">
      <c r="A24" s="394"/>
      <c r="B24" s="394"/>
      <c r="C24" s="394"/>
      <c r="D24" s="394"/>
      <c r="E24" s="394"/>
      <c r="F24" s="394"/>
      <c r="G24" s="394"/>
    </row>
    <row r="25" spans="1:7" x14ac:dyDescent="0.2">
      <c r="A25" s="394"/>
      <c r="B25" s="394"/>
      <c r="C25" s="394"/>
      <c r="D25" s="394"/>
      <c r="E25" s="394"/>
      <c r="F25" s="394"/>
      <c r="G25" s="394"/>
    </row>
    <row r="26" spans="1:7" x14ac:dyDescent="0.2">
      <c r="A26" s="394"/>
      <c r="B26" s="394"/>
      <c r="C26" s="394"/>
      <c r="D26" s="394"/>
      <c r="E26" s="394"/>
      <c r="F26" s="394"/>
      <c r="G26" s="394"/>
    </row>
    <row r="27" spans="1:7" x14ac:dyDescent="0.2">
      <c r="A27" s="394"/>
      <c r="B27" s="394"/>
      <c r="C27" s="394"/>
      <c r="D27" s="394"/>
      <c r="E27" s="394"/>
      <c r="F27" s="394"/>
      <c r="G27" s="394"/>
    </row>
    <row r="28" spans="1:7" x14ac:dyDescent="0.2">
      <c r="A28" s="394"/>
      <c r="B28" s="394"/>
      <c r="C28" s="394"/>
      <c r="D28" s="394"/>
      <c r="E28" s="394"/>
      <c r="F28" s="394"/>
      <c r="G28" s="394"/>
    </row>
    <row r="29" spans="1:7" x14ac:dyDescent="0.2">
      <c r="A29" s="394"/>
      <c r="B29" s="394"/>
      <c r="C29" s="394"/>
      <c r="D29" s="394"/>
      <c r="E29" s="394"/>
      <c r="F29" s="394"/>
      <c r="G29" s="394"/>
    </row>
    <row r="30" spans="1:7" x14ac:dyDescent="0.2">
      <c r="A30" s="394"/>
      <c r="B30" s="394"/>
      <c r="C30" s="394"/>
      <c r="D30" s="394"/>
      <c r="E30" s="394"/>
      <c r="F30" s="394"/>
      <c r="G30" s="394"/>
    </row>
    <row r="31" spans="1:7" x14ac:dyDescent="0.2">
      <c r="A31" s="394"/>
      <c r="B31" s="394"/>
      <c r="C31" s="394"/>
      <c r="D31" s="394"/>
      <c r="E31" s="394"/>
      <c r="F31" s="394"/>
      <c r="G31" s="394"/>
    </row>
    <row r="32" spans="1:7" x14ac:dyDescent="0.2">
      <c r="A32" s="394"/>
      <c r="B32" s="394"/>
      <c r="C32" s="394"/>
      <c r="D32" s="394"/>
      <c r="E32" s="394"/>
      <c r="F32" s="394"/>
      <c r="G32" s="394"/>
    </row>
    <row r="33" spans="1:7" x14ac:dyDescent="0.2">
      <c r="A33" s="394"/>
      <c r="B33" s="394"/>
      <c r="C33" s="394"/>
      <c r="D33" s="394"/>
      <c r="E33" s="394"/>
      <c r="F33" s="394"/>
      <c r="G33" s="394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C34"/>
    </sheetView>
  </sheetViews>
  <sheetFormatPr defaultRowHeight="12.75" x14ac:dyDescent="0.2"/>
  <cols>
    <col min="1" max="1" width="59.42578125" customWidth="1"/>
    <col min="5" max="6" width="18.7109375" customWidth="1"/>
  </cols>
  <sheetData>
    <row r="1" spans="1:6" s="2" customFormat="1" x14ac:dyDescent="0.2">
      <c r="A1" s="2" t="s">
        <v>1073</v>
      </c>
      <c r="B1" s="2" t="s">
        <v>288</v>
      </c>
      <c r="C1" s="2" t="s">
        <v>1074</v>
      </c>
      <c r="E1" s="2" t="s">
        <v>1077</v>
      </c>
      <c r="F1" s="2" t="s">
        <v>1078</v>
      </c>
    </row>
    <row r="2" spans="1:6" x14ac:dyDescent="0.2">
      <c r="A2" s="371"/>
      <c r="B2" s="320"/>
      <c r="C2" s="320"/>
      <c r="E2" s="320"/>
      <c r="F2" s="320"/>
    </row>
    <row r="3" spans="1:6" x14ac:dyDescent="0.2">
      <c r="A3" s="8" t="s">
        <v>162</v>
      </c>
      <c r="B3" s="320"/>
      <c r="C3" s="320"/>
      <c r="E3" s="320" t="s">
        <v>376</v>
      </c>
      <c r="F3" s="320" t="s">
        <v>270</v>
      </c>
    </row>
    <row r="4" spans="1:6" x14ac:dyDescent="0.2">
      <c r="A4" s="392" t="s">
        <v>1115</v>
      </c>
      <c r="B4" s="393">
        <v>48</v>
      </c>
      <c r="C4" s="393">
        <v>7.44</v>
      </c>
      <c r="E4" s="320" t="s">
        <v>268</v>
      </c>
      <c r="F4" s="320" t="s">
        <v>271</v>
      </c>
    </row>
    <row r="5" spans="1:6" x14ac:dyDescent="0.2">
      <c r="A5" s="392" t="s">
        <v>1116</v>
      </c>
      <c r="B5" s="393">
        <v>72</v>
      </c>
      <c r="C5" s="393">
        <v>11.16</v>
      </c>
      <c r="E5" s="320" t="s">
        <v>269</v>
      </c>
      <c r="F5" s="320" t="s">
        <v>272</v>
      </c>
    </row>
    <row r="6" spans="1:6" x14ac:dyDescent="0.2">
      <c r="A6" s="392" t="s">
        <v>1037</v>
      </c>
      <c r="B6" s="394"/>
      <c r="C6" s="394"/>
    </row>
    <row r="7" spans="1:6" x14ac:dyDescent="0.2">
      <c r="A7" s="392" t="s">
        <v>1117</v>
      </c>
      <c r="B7" s="393">
        <v>48</v>
      </c>
      <c r="C7" s="393">
        <v>7.44</v>
      </c>
    </row>
    <row r="8" spans="1:6" x14ac:dyDescent="0.2">
      <c r="A8" s="392" t="s">
        <v>1118</v>
      </c>
      <c r="B8" s="393">
        <v>72</v>
      </c>
      <c r="C8" s="393">
        <v>11.16</v>
      </c>
    </row>
    <row r="9" spans="1:6" x14ac:dyDescent="0.2">
      <c r="A9" s="392" t="s">
        <v>84</v>
      </c>
      <c r="B9" s="394"/>
      <c r="C9" s="394"/>
    </row>
    <row r="10" spans="1:6" x14ac:dyDescent="0.2">
      <c r="A10" s="392" t="s">
        <v>414</v>
      </c>
      <c r="B10" s="394"/>
      <c r="C10" s="394"/>
    </row>
    <row r="11" spans="1:6" x14ac:dyDescent="0.2">
      <c r="A11" s="392" t="s">
        <v>415</v>
      </c>
      <c r="B11" s="394"/>
      <c r="C11" s="394"/>
    </row>
    <row r="12" spans="1:6" x14ac:dyDescent="0.2">
      <c r="A12" s="392" t="s">
        <v>354</v>
      </c>
      <c r="B12" s="394"/>
      <c r="C12" s="394"/>
    </row>
    <row r="13" spans="1:6" x14ac:dyDescent="0.2">
      <c r="A13" s="392" t="s">
        <v>355</v>
      </c>
      <c r="B13" s="394"/>
      <c r="C13" s="394"/>
    </row>
    <row r="14" spans="1:6" x14ac:dyDescent="0.2">
      <c r="A14" s="392" t="s">
        <v>127</v>
      </c>
      <c r="B14" s="394"/>
      <c r="C14" s="394"/>
    </row>
    <row r="15" spans="1:6" x14ac:dyDescent="0.2">
      <c r="A15" s="392" t="s">
        <v>1119</v>
      </c>
      <c r="B15" s="393">
        <v>48</v>
      </c>
      <c r="C15" s="393">
        <v>7.44</v>
      </c>
    </row>
    <row r="16" spans="1:6" x14ac:dyDescent="0.2">
      <c r="A16" s="392" t="s">
        <v>1120</v>
      </c>
      <c r="B16" s="393">
        <v>72</v>
      </c>
      <c r="C16" s="393">
        <v>11.16</v>
      </c>
    </row>
    <row r="17" spans="1:1" x14ac:dyDescent="0.2">
      <c r="A17" s="392" t="s">
        <v>195</v>
      </c>
    </row>
    <row r="18" spans="1:1" x14ac:dyDescent="0.2">
      <c r="A18" s="392" t="s">
        <v>414</v>
      </c>
    </row>
    <row r="19" spans="1:1" x14ac:dyDescent="0.2">
      <c r="A19" s="392" t="s">
        <v>415</v>
      </c>
    </row>
    <row r="20" spans="1:1" x14ac:dyDescent="0.2">
      <c r="A20" s="392" t="s">
        <v>356</v>
      </c>
    </row>
    <row r="21" spans="1:1" x14ac:dyDescent="0.2">
      <c r="A21" s="392" t="s">
        <v>331</v>
      </c>
    </row>
    <row r="22" spans="1:1" x14ac:dyDescent="0.2">
      <c r="A22" s="392" t="s">
        <v>161</v>
      </c>
    </row>
    <row r="23" spans="1:1" x14ac:dyDescent="0.2">
      <c r="A23" s="392" t="s">
        <v>332</v>
      </c>
    </row>
    <row r="24" spans="1:1" x14ac:dyDescent="0.2">
      <c r="A24" s="392" t="s">
        <v>318</v>
      </c>
    </row>
    <row r="25" spans="1:1" x14ac:dyDescent="0.2">
      <c r="A25" s="392" t="s">
        <v>1121</v>
      </c>
    </row>
    <row r="26" spans="1:1" x14ac:dyDescent="0.2">
      <c r="A26" s="392" t="s">
        <v>395</v>
      </c>
    </row>
    <row r="27" spans="1:1" x14ac:dyDescent="0.2">
      <c r="A27" s="392" t="s">
        <v>393</v>
      </c>
    </row>
    <row r="28" spans="1:1" x14ac:dyDescent="0.2">
      <c r="A28" s="392" t="s">
        <v>394</v>
      </c>
    </row>
    <row r="29" spans="1:1" x14ac:dyDescent="0.2">
      <c r="A29" s="392" t="s">
        <v>1122</v>
      </c>
    </row>
    <row r="30" spans="1:1" x14ac:dyDescent="0.2">
      <c r="A30" s="392" t="s">
        <v>1123</v>
      </c>
    </row>
    <row r="31" spans="1:1" x14ac:dyDescent="0.2">
      <c r="A31" s="392" t="s">
        <v>437</v>
      </c>
    </row>
    <row r="32" spans="1:1" x14ac:dyDescent="0.2">
      <c r="A32" s="392" t="s">
        <v>438</v>
      </c>
    </row>
    <row r="33" spans="1:3" x14ac:dyDescent="0.2">
      <c r="A33" s="392" t="s">
        <v>1165</v>
      </c>
      <c r="B33" s="393"/>
      <c r="C33" s="393"/>
    </row>
    <row r="34" spans="1:3" x14ac:dyDescent="0.2">
      <c r="A34" s="392" t="s">
        <v>1157</v>
      </c>
      <c r="B34" s="393">
        <v>48</v>
      </c>
      <c r="C34" s="393">
        <v>7.44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W45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802" customWidth="1"/>
    <col min="2" max="2" width="6" style="802" customWidth="1"/>
    <col min="3" max="3" width="3.140625" style="802" customWidth="1"/>
    <col min="4" max="4" width="14.28515625" style="802" customWidth="1"/>
    <col min="5" max="5" width="14.42578125" style="802" customWidth="1"/>
    <col min="6" max="6" width="12.140625" style="802" customWidth="1"/>
    <col min="7" max="7" width="26.42578125" style="802" customWidth="1"/>
    <col min="8" max="8" width="13.85546875" style="802" customWidth="1"/>
    <col min="9" max="9" width="15.28515625" style="802" customWidth="1"/>
    <col min="10" max="10" width="15.140625" style="802" customWidth="1"/>
    <col min="11" max="11" width="9.140625" style="802"/>
    <col min="12" max="12" width="10" style="802" customWidth="1"/>
    <col min="13" max="13" width="9.140625" style="802"/>
    <col min="14" max="14" width="10.42578125" style="802" customWidth="1"/>
    <col min="15" max="16" width="9.140625" style="802"/>
    <col min="17" max="17" width="10.7109375" style="802" bestFit="1" customWidth="1"/>
    <col min="18" max="19" width="9.140625" style="802"/>
    <col min="20" max="20" width="10.7109375" style="802" bestFit="1" customWidth="1"/>
    <col min="21" max="16384" width="9.140625" style="802"/>
  </cols>
  <sheetData>
    <row r="1" spans="2:23" s="785" customFormat="1" ht="17.25" customHeight="1" x14ac:dyDescent="0.2">
      <c r="B1" s="935"/>
      <c r="C1" s="771"/>
      <c r="D1" s="771"/>
      <c r="E1" s="771"/>
      <c r="F1" s="771"/>
      <c r="G1" s="771"/>
      <c r="H1" s="771"/>
      <c r="I1" s="771"/>
      <c r="J1" s="771"/>
      <c r="K1" s="771"/>
      <c r="L1" s="771"/>
    </row>
    <row r="2" spans="2:23" s="785" customFormat="1" ht="17.25" customHeight="1" x14ac:dyDescent="0.2">
      <c r="B2" s="771"/>
      <c r="C2" s="736"/>
      <c r="D2" s="771" t="s">
        <v>316</v>
      </c>
      <c r="E2" s="737">
        <f ca="1">Var_AfspraakDatum</f>
        <v>42748</v>
      </c>
      <c r="F2" s="738"/>
      <c r="G2" s="736" t="s">
        <v>5114</v>
      </c>
      <c r="H2" s="740" t="str">
        <f>PatDetails!B13</f>
        <v/>
      </c>
      <c r="I2" s="736" t="str">
        <f>PatDetails!B21</f>
        <v>Gewicht:</v>
      </c>
      <c r="J2" s="771"/>
      <c r="K2" s="771" t="s">
        <v>536</v>
      </c>
      <c r="L2" s="736">
        <f>__1_Bed</f>
        <v>0</v>
      </c>
    </row>
    <row r="3" spans="2:23" s="785" customFormat="1" ht="17.25" customHeight="1" x14ac:dyDescent="0.2">
      <c r="B3" s="771"/>
      <c r="C3" s="736"/>
      <c r="D3" s="771" t="s">
        <v>28</v>
      </c>
      <c r="E3" s="741" t="str">
        <f>PatDetails!B19</f>
        <v/>
      </c>
      <c r="F3" s="741"/>
      <c r="G3" s="736" t="s">
        <v>5115</v>
      </c>
      <c r="H3" s="740" t="str">
        <f ca="1">PatDetails!B14</f>
        <v/>
      </c>
      <c r="I3" s="736" t="str">
        <f>PatDetails!B22</f>
        <v>Lengte:</v>
      </c>
      <c r="J3" s="771"/>
      <c r="K3" s="984"/>
      <c r="L3" s="984"/>
      <c r="N3" s="812"/>
    </row>
    <row r="4" spans="2:23" s="785" customFormat="1" ht="17.25" customHeight="1" x14ac:dyDescent="0.2">
      <c r="B4" s="771"/>
      <c r="C4" s="736"/>
      <c r="D4" s="936" t="s">
        <v>5108</v>
      </c>
      <c r="E4" s="736" t="str">
        <f>PatDetails!B15</f>
        <v/>
      </c>
      <c r="F4" s="738"/>
      <c r="G4" s="736" t="s">
        <v>287</v>
      </c>
      <c r="H4" s="745" t="str">
        <f ca="1">PatDetails!B18</f>
        <v/>
      </c>
      <c r="I4" s="736" t="str">
        <f>PatDetails!B23</f>
        <v>Lichamelijk oppervlak:</v>
      </c>
      <c r="J4" s="771"/>
      <c r="K4" s="984"/>
      <c r="L4" s="984"/>
    </row>
    <row r="5" spans="2:23" s="785" customFormat="1" ht="8.1" customHeight="1" x14ac:dyDescent="0.2">
      <c r="B5" s="771"/>
      <c r="C5" s="736"/>
      <c r="D5" s="771"/>
      <c r="E5" s="771"/>
      <c r="F5" s="738"/>
      <c r="G5" s="736"/>
      <c r="H5" s="745"/>
      <c r="I5" s="736"/>
      <c r="J5" s="771"/>
      <c r="K5" s="984"/>
      <c r="L5" s="984"/>
    </row>
    <row r="6" spans="2:23" s="785" customFormat="1" ht="8.1" customHeight="1" x14ac:dyDescent="0.2">
      <c r="C6" s="783"/>
      <c r="E6" s="783"/>
      <c r="F6" s="784"/>
      <c r="G6" s="783"/>
      <c r="H6" s="795"/>
      <c r="I6" s="783"/>
    </row>
    <row r="7" spans="2:23" s="785" customFormat="1" ht="20.100000000000001" customHeight="1" x14ac:dyDescent="0.2">
      <c r="B7" s="772" t="s">
        <v>4903</v>
      </c>
      <c r="C7" s="954"/>
      <c r="D7" s="772" t="s">
        <v>5109</v>
      </c>
      <c r="E7" s="954"/>
      <c r="F7" s="955"/>
      <c r="G7" s="954"/>
      <c r="H7" s="956"/>
      <c r="I7" s="954"/>
      <c r="J7" s="772"/>
      <c r="K7" s="772"/>
      <c r="L7" s="772"/>
    </row>
    <row r="8" spans="2:23" ht="8.1" customHeight="1" x14ac:dyDescent="0.2">
      <c r="B8" s="813"/>
      <c r="D8" s="814"/>
      <c r="E8" s="756"/>
      <c r="F8" s="757"/>
      <c r="G8" s="755"/>
      <c r="H8" s="758"/>
      <c r="I8" s="755"/>
      <c r="J8" s="755"/>
      <c r="K8" s="755"/>
      <c r="L8" s="755"/>
    </row>
    <row r="9" spans="2:23" ht="20.100000000000001" customHeight="1" x14ac:dyDescent="0.2">
      <c r="B9" s="815" t="str">
        <f>PedBerEnt!Q2</f>
        <v/>
      </c>
      <c r="C9" s="733"/>
      <c r="D9" s="733" t="s">
        <v>164</v>
      </c>
      <c r="G9" s="733"/>
      <c r="H9" s="813"/>
      <c r="I9" s="813"/>
      <c r="J9" s="733" t="s">
        <v>5110</v>
      </c>
      <c r="K9" s="733"/>
      <c r="L9" s="733"/>
      <c r="O9" s="816"/>
    </row>
    <row r="10" spans="2:23" ht="20.100000000000001" customHeight="1" x14ac:dyDescent="0.2">
      <c r="B10" s="815"/>
      <c r="D10" s="813"/>
      <c r="H10" s="813"/>
      <c r="I10" s="813"/>
      <c r="J10" s="920" t="s">
        <v>175</v>
      </c>
      <c r="K10" s="886">
        <f>PedBerEnt!H2</f>
        <v>0</v>
      </c>
      <c r="L10" s="813"/>
      <c r="M10" s="817"/>
      <c r="O10" s="816"/>
    </row>
    <row r="11" spans="2:23" ht="20.100000000000001" customHeight="1" x14ac:dyDescent="0.2">
      <c r="B11" s="815"/>
      <c r="C11" s="733"/>
      <c r="D11" s="919" t="s">
        <v>296</v>
      </c>
      <c r="E11" s="733"/>
      <c r="F11" s="733"/>
      <c r="G11" s="733"/>
      <c r="H11" s="813"/>
      <c r="I11" s="813"/>
      <c r="J11" s="920" t="s">
        <v>232</v>
      </c>
      <c r="K11" s="887">
        <f>PedBerEnt!H3</f>
        <v>0</v>
      </c>
      <c r="L11" s="818" t="s">
        <v>31</v>
      </c>
    </row>
    <row r="12" spans="2:23" ht="20.100000000000001" customHeight="1" x14ac:dyDescent="0.2">
      <c r="B12" s="815" t="str">
        <f>PedBerEnt!P2</f>
        <v/>
      </c>
      <c r="C12" s="733"/>
      <c r="D12" s="890" t="str">
        <f>PedBerEnt!R2</f>
        <v/>
      </c>
      <c r="E12" s="891" t="str">
        <f>IF(PedBerEnt!M2&lt;&gt;0,PedBerEnt!L2&amp;" ml","")</f>
        <v/>
      </c>
      <c r="H12" s="819" t="str">
        <f>PedBerEnt!T2</f>
        <v/>
      </c>
      <c r="I12" s="813"/>
      <c r="J12" s="920" t="s">
        <v>176</v>
      </c>
      <c r="K12" s="887">
        <f>PedBerEnt!H4</f>
        <v>0</v>
      </c>
      <c r="L12" s="818" t="s">
        <v>31</v>
      </c>
      <c r="Q12" s="820"/>
      <c r="R12" s="820"/>
      <c r="S12" s="820"/>
      <c r="T12" s="820"/>
      <c r="U12" s="820"/>
      <c r="V12" s="820"/>
      <c r="W12" s="820"/>
    </row>
    <row r="13" spans="2:23" ht="20.100000000000001" customHeight="1" x14ac:dyDescent="0.2">
      <c r="B13" s="815"/>
      <c r="C13" s="733"/>
      <c r="D13" s="733" t="s">
        <v>1031</v>
      </c>
      <c r="E13" s="918"/>
      <c r="F13" s="733"/>
      <c r="G13" s="733"/>
      <c r="H13" s="819"/>
      <c r="I13" s="813"/>
      <c r="J13" s="921" t="s">
        <v>233</v>
      </c>
      <c r="K13" s="887">
        <f>PedBerEnt!H5</f>
        <v>0</v>
      </c>
      <c r="L13" s="818" t="s">
        <v>31</v>
      </c>
      <c r="Q13" s="820"/>
      <c r="R13" s="820"/>
      <c r="S13" s="820"/>
      <c r="T13" s="820"/>
      <c r="U13" s="820"/>
      <c r="V13" s="820"/>
      <c r="W13" s="820"/>
    </row>
    <row r="14" spans="2:23" ht="20.100000000000001" customHeight="1" thickBot="1" x14ac:dyDescent="0.25">
      <c r="B14" s="815" t="str">
        <f>PedBerEnt!P3</f>
        <v/>
      </c>
      <c r="C14" s="733"/>
      <c r="D14" s="892" t="str">
        <f>PedBerEnt!R3</f>
        <v/>
      </c>
      <c r="E14" s="893" t="str">
        <f>IF(PedBerEnt!N3&gt;1,PedBerEnt!L3&amp;" gram","")</f>
        <v/>
      </c>
      <c r="F14" s="821"/>
      <c r="G14" s="822"/>
      <c r="H14" s="819" t="str">
        <f>PedBerEnt!T3</f>
        <v/>
      </c>
      <c r="I14" s="813"/>
      <c r="J14" s="921" t="s">
        <v>177</v>
      </c>
      <c r="K14" s="887">
        <f>PedBerEnt!H6</f>
        <v>0</v>
      </c>
      <c r="L14" s="818" t="s">
        <v>170</v>
      </c>
      <c r="Q14" s="820"/>
      <c r="R14" s="820"/>
      <c r="S14" s="820"/>
      <c r="T14" s="820"/>
      <c r="U14" s="820"/>
      <c r="V14" s="820"/>
      <c r="W14" s="820"/>
    </row>
    <row r="15" spans="2:23" ht="20.100000000000001" customHeight="1" thickTop="1" thickBot="1" x14ac:dyDescent="0.25">
      <c r="B15" s="815" t="str">
        <f>PedBerEnt!P4</f>
        <v/>
      </c>
      <c r="C15" s="733"/>
      <c r="D15" s="894" t="str">
        <f>PedBerEnt!R4</f>
        <v/>
      </c>
      <c r="E15" s="895" t="str">
        <f>IF(PedBerEnt!N4&gt;1,PedBerEnt!L4&amp;" gram","")</f>
        <v/>
      </c>
      <c r="F15" s="823"/>
      <c r="G15" s="824"/>
      <c r="H15" s="819" t="str">
        <f>PedBerEnt!T4</f>
        <v/>
      </c>
      <c r="I15" s="813"/>
      <c r="J15" s="921" t="s">
        <v>291</v>
      </c>
      <c r="K15" s="887">
        <f>PedBerEnt!H7</f>
        <v>0</v>
      </c>
      <c r="L15" s="818" t="s">
        <v>170</v>
      </c>
      <c r="Q15" s="820"/>
      <c r="R15" s="820"/>
      <c r="S15" s="820"/>
      <c r="T15" s="820"/>
      <c r="U15" s="820"/>
      <c r="V15" s="820"/>
      <c r="W15" s="820"/>
    </row>
    <row r="16" spans="2:23" ht="20.100000000000001" customHeight="1" thickTop="1" thickBot="1" x14ac:dyDescent="0.25">
      <c r="B16" s="815" t="str">
        <f>PedBerEnt!P5</f>
        <v/>
      </c>
      <c r="C16" s="733"/>
      <c r="D16" s="896" t="str">
        <f>PedBerEnt!R5</f>
        <v/>
      </c>
      <c r="E16" s="897" t="str">
        <f>IF(PedBerEnt!N5&gt;1,PedBerEnt!L5&amp;" gram","")</f>
        <v/>
      </c>
      <c r="F16" s="823"/>
      <c r="G16" s="824"/>
      <c r="H16" s="819" t="str">
        <f>PedBerEnt!T5</f>
        <v/>
      </c>
      <c r="I16" s="813"/>
      <c r="J16" s="921" t="s">
        <v>234</v>
      </c>
      <c r="K16" s="887">
        <f>PedBerEnt!H8</f>
        <v>0</v>
      </c>
      <c r="L16" s="818" t="s">
        <v>170</v>
      </c>
      <c r="Q16" s="820"/>
      <c r="R16" s="820"/>
      <c r="S16" s="820"/>
      <c r="T16" s="820"/>
      <c r="U16" s="820"/>
      <c r="V16" s="820"/>
      <c r="W16" s="820"/>
    </row>
    <row r="17" spans="2:23" ht="20.100000000000001" customHeight="1" thickTop="1" x14ac:dyDescent="0.2">
      <c r="D17" s="769"/>
      <c r="E17" s="755"/>
      <c r="I17" s="813"/>
      <c r="J17" s="920" t="s">
        <v>178</v>
      </c>
      <c r="K17" s="887">
        <f>PedBerEnt!H9</f>
        <v>0</v>
      </c>
      <c r="L17" s="818" t="s">
        <v>170</v>
      </c>
      <c r="M17" s="820"/>
      <c r="Q17" s="820"/>
      <c r="R17" s="820"/>
      <c r="S17" s="820"/>
      <c r="T17" s="820"/>
      <c r="U17" s="820"/>
      <c r="V17" s="820"/>
      <c r="W17" s="820"/>
    </row>
    <row r="18" spans="2:23" ht="20.100000000000001" customHeight="1" thickBot="1" x14ac:dyDescent="0.25">
      <c r="B18" s="815" t="str">
        <f>PedBerEnt!D16</f>
        <v/>
      </c>
      <c r="C18" s="733"/>
      <c r="D18" s="920" t="s">
        <v>304</v>
      </c>
      <c r="E18" s="982">
        <f>_Ped_Ent_Opm</f>
        <v>0</v>
      </c>
      <c r="F18" s="983"/>
      <c r="G18" s="983"/>
      <c r="H18" s="983"/>
      <c r="I18" s="813"/>
      <c r="J18" s="921" t="s">
        <v>328</v>
      </c>
      <c r="K18" s="888">
        <f>PedBerEnt!H10</f>
        <v>0</v>
      </c>
      <c r="L18" s="818" t="s">
        <v>170</v>
      </c>
      <c r="M18" s="820"/>
      <c r="Q18" s="820"/>
      <c r="R18" s="820"/>
      <c r="S18" s="820"/>
      <c r="T18" s="820"/>
      <c r="U18" s="820"/>
      <c r="V18" s="820"/>
      <c r="W18" s="820"/>
    </row>
    <row r="19" spans="2:23" ht="8.1" customHeight="1" thickTop="1" x14ac:dyDescent="0.2">
      <c r="D19" s="825"/>
      <c r="E19" s="755"/>
      <c r="I19" s="813"/>
      <c r="J19" s="826"/>
      <c r="L19" s="820"/>
      <c r="M19" s="820"/>
      <c r="Q19" s="820"/>
      <c r="R19" s="820"/>
      <c r="S19" s="820"/>
      <c r="T19" s="820"/>
      <c r="U19" s="820"/>
      <c r="V19" s="820"/>
      <c r="W19" s="820"/>
    </row>
    <row r="20" spans="2:23" ht="20.100000000000001" customHeight="1" x14ac:dyDescent="0.2">
      <c r="B20" s="772" t="s">
        <v>4903</v>
      </c>
      <c r="C20" s="772"/>
      <c r="D20" s="772" t="s">
        <v>576</v>
      </c>
      <c r="E20" s="772"/>
      <c r="F20" s="772"/>
      <c r="G20" s="772"/>
      <c r="H20" s="772"/>
      <c r="I20" s="952"/>
      <c r="J20" s="772"/>
      <c r="K20" s="957"/>
      <c r="L20" s="957"/>
      <c r="M20" s="820"/>
      <c r="Q20" s="820"/>
      <c r="R20" s="820"/>
      <c r="S20" s="820"/>
      <c r="T20" s="820"/>
      <c r="U20" s="820"/>
      <c r="V20" s="820"/>
      <c r="W20" s="820"/>
    </row>
    <row r="21" spans="2:23" ht="8.1" customHeight="1" x14ac:dyDescent="0.2">
      <c r="B21" s="786"/>
      <c r="C21" s="786"/>
      <c r="D21" s="785"/>
      <c r="E21" s="786"/>
      <c r="F21" s="786"/>
      <c r="G21" s="786"/>
      <c r="H21" s="786"/>
      <c r="I21" s="827"/>
      <c r="J21" s="786"/>
      <c r="K21" s="828"/>
      <c r="L21" s="828"/>
      <c r="M21" s="820"/>
      <c r="Q21" s="820"/>
      <c r="R21" s="820"/>
      <c r="S21" s="820"/>
      <c r="T21" s="820"/>
      <c r="U21" s="820"/>
      <c r="V21" s="820"/>
      <c r="W21" s="820"/>
    </row>
    <row r="22" spans="2:23" ht="20.100000000000001" customHeight="1" x14ac:dyDescent="0.2">
      <c r="B22" s="815" t="str">
        <f>IF(AND(E22="",J22=""),"","verw")</f>
        <v/>
      </c>
      <c r="C22" s="733"/>
      <c r="D22" s="920" t="s">
        <v>5119</v>
      </c>
      <c r="E22" s="885" t="str">
        <f>IF(PedBerTPN!F3&lt;&gt;0,IF(PedBerTPN!F3/24&gt;=10,ROUND(PedBerTPN!F3/24,1),ROUND(PedBerTPN!F3/24,1))&amp;" ml/uur","")</f>
        <v/>
      </c>
      <c r="F22" s="814"/>
      <c r="G22" s="813"/>
      <c r="H22" s="813" t="str">
        <f>IF(E22&lt;&gt;"",PedBerTPN!F3&amp;" mL/dag","")</f>
        <v/>
      </c>
      <c r="I22" s="920" t="s">
        <v>5130</v>
      </c>
      <c r="J22" s="816" t="str">
        <f>IF(PedBerTPN!D19&lt;&gt;0,PedBerTPN!E19&amp;" ml/uur","")</f>
        <v/>
      </c>
      <c r="K22" s="813"/>
      <c r="L22" s="814" t="str">
        <f>IF(J22&lt;&gt;"",PedBerTPN!F19&amp;" mL/dag","")</f>
        <v/>
      </c>
      <c r="Q22" s="820"/>
      <c r="U22" s="820"/>
      <c r="V22" s="820"/>
      <c r="W22" s="820"/>
    </row>
    <row r="23" spans="2:23" ht="20.100000000000001" customHeight="1" x14ac:dyDescent="0.2">
      <c r="B23" s="815"/>
      <c r="C23" s="733"/>
      <c r="D23" s="733"/>
      <c r="F23" s="886" t="str">
        <f>IF(AND(PedBerTPN!E4&lt;&gt;0,PedBerTPN!E4&lt;&gt;"",PedBerTPN!B4&lt;&gt;1,PedBerTPN!F4&lt;&gt;0),PedBerTPN!F4&amp;" ml","")</f>
        <v/>
      </c>
      <c r="G23" s="814"/>
      <c r="H23" s="813"/>
      <c r="I23" s="733"/>
      <c r="K23" s="818"/>
      <c r="L23" s="818"/>
      <c r="Q23" s="820"/>
      <c r="U23" s="820"/>
      <c r="V23" s="820"/>
      <c r="W23" s="820"/>
    </row>
    <row r="24" spans="2:23" ht="20.100000000000001" customHeight="1" thickBot="1" x14ac:dyDescent="0.25">
      <c r="B24" s="815" t="str">
        <f>IF(E24="","","verw")</f>
        <v/>
      </c>
      <c r="C24" s="733"/>
      <c r="D24" s="920" t="s">
        <v>5120</v>
      </c>
      <c r="E24" s="813" t="str">
        <f>IF(AND(_Pat_Gewicht/10&gt;=16,_Ped_TPN_Keuze=2),ROUND((PedBerTPN!F5+PedBerTPN!F17)/24,1)&amp;" ml/uur","")</f>
        <v/>
      </c>
      <c r="F24" s="888" t="str">
        <f>IF(AND(_Pat_Gewicht/10&gt;=16,_Ped_TPN_Keuze=2),PedBerTPN!F5&amp;" ml","")</f>
        <v/>
      </c>
      <c r="G24" s="814" t="str">
        <f>IF(AND(_Pat_Gewicht/10&gt;=16,_Ped_TPN_Keuze=2)," in 100 ml glucose 10%,","")</f>
        <v/>
      </c>
      <c r="H24" s="813"/>
      <c r="I24" s="733"/>
      <c r="K24" s="818"/>
      <c r="L24" s="818"/>
      <c r="Q24" s="820"/>
      <c r="U24" s="820"/>
      <c r="V24" s="820"/>
      <c r="W24" s="820"/>
    </row>
    <row r="25" spans="2:23" ht="20.100000000000001" customHeight="1" thickTop="1" thickBot="1" x14ac:dyDescent="0.25">
      <c r="B25" s="815"/>
      <c r="C25" s="733"/>
      <c r="D25" s="733"/>
      <c r="F25" s="829" t="str">
        <f>IF(PedBerTPN!F6&lt;&gt;0,ROUND(PedBerTPN!F6,1)&amp;" ml","")</f>
        <v/>
      </c>
      <c r="G25" s="981"/>
      <c r="H25" s="981"/>
      <c r="I25" s="733"/>
      <c r="K25" s="813" t="str">
        <f>IF(PedBerTPN!F20&lt;&gt;0,ROUND(PedBerTPN!F20,1)&amp;" ml","")</f>
        <v/>
      </c>
      <c r="L25" s="813"/>
      <c r="Q25" s="820"/>
      <c r="U25" s="820"/>
      <c r="V25" s="820"/>
      <c r="W25" s="820"/>
    </row>
    <row r="26" spans="2:23" ht="20.100000000000001" customHeight="1" thickTop="1" x14ac:dyDescent="0.2">
      <c r="B26" s="815"/>
      <c r="C26" s="733"/>
      <c r="D26" s="920" t="s">
        <v>5121</v>
      </c>
      <c r="E26" s="813"/>
      <c r="F26" s="889" t="str">
        <f>IF(PedBerTPN!C7,PedBerTPN!F7&amp;" ml","")</f>
        <v/>
      </c>
      <c r="G26" s="813"/>
      <c r="H26" s="813"/>
      <c r="I26" s="920" t="s">
        <v>5121</v>
      </c>
      <c r="J26" s="886" t="str">
        <f>IF(PedBerTPN!C21,PedBerTPN!F21&amp;" ml","")</f>
        <v/>
      </c>
      <c r="K26" s="813"/>
      <c r="L26" s="813"/>
      <c r="Q26" s="820"/>
      <c r="U26" s="820"/>
      <c r="V26" s="820"/>
      <c r="W26" s="820"/>
    </row>
    <row r="27" spans="2:23" ht="20.100000000000001" customHeight="1" thickBot="1" x14ac:dyDescent="0.25">
      <c r="B27" s="815"/>
      <c r="C27" s="733"/>
      <c r="D27" s="920" t="s">
        <v>5122</v>
      </c>
      <c r="E27" s="813"/>
      <c r="F27" s="888" t="str">
        <f>IF(PedBerTPN!C8,PedBerTPN!F8&amp;" ml","")</f>
        <v/>
      </c>
      <c r="G27" s="813"/>
      <c r="H27" s="813"/>
      <c r="I27" s="920" t="s">
        <v>5122</v>
      </c>
      <c r="J27" s="888" t="str">
        <f>IF(PedBerTPN!C22,PedBerTPN!F22&amp;" ml","")</f>
        <v/>
      </c>
      <c r="K27" s="813"/>
      <c r="L27" s="813"/>
      <c r="Q27" s="820"/>
      <c r="U27" s="820"/>
      <c r="V27" s="820"/>
      <c r="W27" s="820"/>
    </row>
    <row r="28" spans="2:23" ht="9.9499999999999993" customHeight="1" thickTop="1" thickBot="1" x14ac:dyDescent="0.25">
      <c r="B28" s="815"/>
      <c r="C28" s="733"/>
      <c r="D28" s="920"/>
      <c r="E28" s="813"/>
      <c r="F28" s="829"/>
      <c r="G28" s="813"/>
      <c r="H28" s="813"/>
      <c r="I28" s="769"/>
      <c r="K28" s="816"/>
      <c r="L28" s="816"/>
      <c r="Q28" s="820"/>
      <c r="U28" s="820"/>
      <c r="V28" s="820"/>
      <c r="W28" s="820"/>
    </row>
    <row r="29" spans="2:23" ht="20.100000000000001" customHeight="1" thickTop="1" x14ac:dyDescent="0.2">
      <c r="B29" s="815" t="str">
        <f>IF(E29="","","verw")</f>
        <v/>
      </c>
      <c r="C29" s="733"/>
      <c r="D29" s="920" t="s">
        <v>5123</v>
      </c>
      <c r="E29" s="813" t="str">
        <f>IF(AND(_Pat_Gewicht/10&lt;=50,_Ped_TPN_SST1Keuze&lt;11,_Ped_TPN_Keuze=2),ROUND((PedBerTPN!F17+PedBerTPN!F10+PedBerTPN!F9)/24,1)&amp;" ml/uur","")</f>
        <v/>
      </c>
      <c r="F29" s="889" t="str">
        <f>IF(PedBerTPN!C9,PedBerTPN!D9&amp;" ml","")</f>
        <v/>
      </c>
      <c r="G29" s="813" t="str">
        <f>IF(AND(_Pat_Gewicht/10&lt;=50,_Ped_TPN_SST1Keuze&lt;11,_Ped_TPN_Keuze=2),"in "&amp;PedBerTPN!F17&amp;" ml glucose 10%","")</f>
        <v/>
      </c>
      <c r="H29" s="813"/>
      <c r="I29" s="769"/>
      <c r="K29" s="820"/>
      <c r="L29" s="820"/>
      <c r="M29" s="820"/>
      <c r="O29" s="820"/>
      <c r="P29" s="820"/>
      <c r="Q29" s="820"/>
      <c r="U29" s="820"/>
      <c r="V29" s="820"/>
      <c r="W29" s="820"/>
    </row>
    <row r="30" spans="2:23" ht="20.100000000000001" customHeight="1" thickBot="1" x14ac:dyDescent="0.25">
      <c r="B30" s="815"/>
      <c r="C30" s="733"/>
      <c r="D30" s="920" t="s">
        <v>5124</v>
      </c>
      <c r="E30" s="813"/>
      <c r="F30" s="888" t="str">
        <f>IF(PedBerTPN!C10,PedBerTPN!D10&amp;" ml","")</f>
        <v/>
      </c>
      <c r="G30" s="813"/>
      <c r="H30" s="830"/>
      <c r="K30" s="820"/>
      <c r="L30" s="820"/>
      <c r="M30" s="820"/>
      <c r="N30" s="820"/>
      <c r="O30" s="820"/>
      <c r="P30" s="820"/>
      <c r="Q30" s="820"/>
      <c r="U30" s="820"/>
      <c r="V30" s="820"/>
      <c r="W30" s="820"/>
    </row>
    <row r="31" spans="2:23" ht="9.9499999999999993" customHeight="1" thickTop="1" thickBot="1" x14ac:dyDescent="0.25">
      <c r="B31" s="815"/>
      <c r="D31" s="812"/>
      <c r="E31" s="813"/>
      <c r="F31" s="829"/>
      <c r="G31" s="813"/>
      <c r="H31" s="813"/>
      <c r="K31" s="820"/>
      <c r="L31" s="820"/>
      <c r="M31" s="820"/>
      <c r="N31" s="820"/>
      <c r="O31" s="820"/>
      <c r="P31" s="820"/>
      <c r="Q31" s="820"/>
      <c r="U31" s="820"/>
      <c r="V31" s="820"/>
      <c r="W31" s="820"/>
    </row>
    <row r="32" spans="2:23" ht="20.100000000000001" customHeight="1" thickTop="1" thickBot="1" x14ac:dyDescent="0.25">
      <c r="B32" s="815" t="str">
        <f>IF(E32="","","verw")</f>
        <v/>
      </c>
      <c r="C32" s="733"/>
      <c r="D32" s="920" t="s">
        <v>327</v>
      </c>
      <c r="E32" s="813" t="str">
        <f>IF(PedBerTPN!F11&gt;0,((ROUND(PedBerTPN!F11*1.5/(_Pat_Gewicht/10)/24/0.01,1)*24-PedBerTPN!F11)+PedBerTPN!F11)/24&amp;" ml/uur","")</f>
        <v/>
      </c>
      <c r="F32" s="884" t="str">
        <f>IF(PedBerTPN!C11,PedBerTPN!F11&amp;" ml","")</f>
        <v/>
      </c>
      <c r="G32" s="813" t="str">
        <f>IF(PedBerTPN!F11&gt;0,"plus "&amp;(ROUND(PedBerTPN!F11*1.5/(_Pat_Gewicht/10)/24/0.01,1)*24-PedBerTPN!F11)&amp;" ml gluc 5%","")</f>
        <v/>
      </c>
      <c r="H32" s="813" t="str">
        <f>IF(PedBerTPN!F11&gt;0,ROUND(PedBerTPN!F11*1.5/(_Pat_Gewicht/10),2)&amp;" mmol/kg","")</f>
        <v/>
      </c>
      <c r="K32" s="820"/>
      <c r="L32" s="820"/>
      <c r="M32" s="820"/>
      <c r="N32" s="820"/>
      <c r="O32" s="820"/>
      <c r="P32" s="820"/>
      <c r="Q32" s="820"/>
      <c r="U32" s="820"/>
      <c r="V32" s="820"/>
      <c r="W32" s="820"/>
    </row>
    <row r="33" spans="2:23" ht="8.1" customHeight="1" thickTop="1" x14ac:dyDescent="0.2">
      <c r="B33" s="815"/>
      <c r="C33" s="786"/>
      <c r="D33" s="812"/>
      <c r="F33" s="816"/>
      <c r="G33" s="813"/>
      <c r="H33" s="813"/>
      <c r="K33" s="820"/>
      <c r="L33" s="820"/>
      <c r="M33" s="820"/>
      <c r="N33" s="820"/>
      <c r="O33" s="820"/>
      <c r="P33" s="820"/>
      <c r="Q33" s="820"/>
      <c r="U33" s="820"/>
      <c r="V33" s="820"/>
      <c r="W33" s="820"/>
    </row>
    <row r="34" spans="2:23" ht="20.100000000000001" customHeight="1" x14ac:dyDescent="0.2">
      <c r="B34" s="815" t="str">
        <f>IF(E34="","","verw")</f>
        <v/>
      </c>
      <c r="C34" s="733"/>
      <c r="D34" s="920" t="s">
        <v>5125</v>
      </c>
      <c r="E34" s="885" t="str">
        <f>IF(PedBerTPN!D12&lt;&gt;0,PedBerTPN!E12&amp;" ml/uur","")</f>
        <v/>
      </c>
      <c r="F34" s="813"/>
      <c r="G34" s="813"/>
      <c r="H34" s="813" t="str">
        <f>IF(PedBerTPN!F12&lt;&gt;0,PedBerTPN!F12&amp;" ml per dag","")</f>
        <v/>
      </c>
      <c r="K34" s="820"/>
      <c r="L34" s="820"/>
      <c r="M34" s="820"/>
      <c r="N34" s="820"/>
      <c r="O34" s="820"/>
      <c r="P34" s="820"/>
      <c r="Q34" s="820"/>
      <c r="U34" s="820"/>
      <c r="V34" s="820"/>
      <c r="W34" s="820"/>
    </row>
    <row r="35" spans="2:23" ht="20.100000000000001" customHeight="1" x14ac:dyDescent="0.2">
      <c r="B35" s="815"/>
      <c r="C35" s="733"/>
      <c r="D35" s="920" t="s">
        <v>5126</v>
      </c>
      <c r="E35" s="813"/>
      <c r="F35" s="816" t="str">
        <f>IF(PedBerTPN!F13&lt;&gt;0,ROUND(PedBerTPN!F13,0)&amp;" ml","")</f>
        <v/>
      </c>
      <c r="G35" s="813"/>
      <c r="H35" s="813"/>
      <c r="K35" s="820"/>
      <c r="L35" s="820"/>
      <c r="M35" s="820"/>
      <c r="N35" s="820"/>
      <c r="O35" s="820"/>
      <c r="P35" s="820"/>
      <c r="Q35" s="820"/>
      <c r="U35" s="820"/>
      <c r="V35" s="820"/>
      <c r="W35" s="820"/>
    </row>
    <row r="36" spans="2:23" ht="20.100000000000001" customHeight="1" x14ac:dyDescent="0.2">
      <c r="B36" s="815"/>
      <c r="C36" s="733"/>
      <c r="D36" s="920" t="s">
        <v>5127</v>
      </c>
      <c r="E36" s="813"/>
      <c r="F36" s="886" t="str">
        <f>IF(PedBerTPN!C14,PedBerTPN!F14&amp;" ml","")</f>
        <v/>
      </c>
      <c r="G36" s="813"/>
      <c r="H36" s="813"/>
      <c r="K36" s="820"/>
      <c r="L36" s="820"/>
      <c r="M36" s="820"/>
      <c r="N36" s="820"/>
      <c r="O36" s="820"/>
      <c r="P36" s="820"/>
      <c r="Q36" s="820"/>
      <c r="R36" s="820"/>
      <c r="S36" s="820"/>
      <c r="T36" s="820"/>
      <c r="U36" s="820"/>
      <c r="V36" s="820"/>
      <c r="W36" s="820"/>
    </row>
    <row r="37" spans="2:23" ht="20.100000000000001" customHeight="1" thickBot="1" x14ac:dyDescent="0.25">
      <c r="B37" s="815"/>
      <c r="C37" s="733"/>
      <c r="D37" s="920" t="s">
        <v>5128</v>
      </c>
      <c r="E37" s="813"/>
      <c r="F37" s="888" t="str">
        <f>IF(PedBerTPN!C15,PedBerTPN!F15&amp;" ml","")</f>
        <v/>
      </c>
      <c r="G37" s="813"/>
      <c r="H37" s="813"/>
      <c r="K37" s="820"/>
      <c r="L37" s="820"/>
      <c r="M37" s="820"/>
      <c r="N37" s="820"/>
      <c r="O37" s="820"/>
      <c r="P37" s="820"/>
      <c r="Q37" s="820"/>
      <c r="R37" s="820"/>
      <c r="S37" s="820"/>
      <c r="T37" s="820"/>
      <c r="U37" s="820"/>
      <c r="V37" s="820"/>
      <c r="W37" s="820"/>
    </row>
    <row r="38" spans="2:23" ht="9.9499999999999993" customHeight="1" thickTop="1" x14ac:dyDescent="0.2">
      <c r="B38" s="815"/>
      <c r="F38" s="816"/>
      <c r="K38" s="820"/>
      <c r="L38" s="820"/>
      <c r="M38" s="820"/>
      <c r="N38" s="820"/>
      <c r="O38" s="820"/>
      <c r="P38" s="820"/>
      <c r="Q38" s="820"/>
      <c r="R38" s="820"/>
      <c r="S38" s="820"/>
      <c r="T38" s="820"/>
      <c r="U38" s="820"/>
      <c r="V38" s="820"/>
      <c r="W38" s="820"/>
    </row>
    <row r="39" spans="2:23" ht="20.100000000000001" customHeight="1" x14ac:dyDescent="0.2">
      <c r="B39" s="815" t="str">
        <f>IF(OR(E39=0,E39=""),"","verw")</f>
        <v/>
      </c>
      <c r="C39" s="733"/>
      <c r="D39" s="920" t="s">
        <v>5129</v>
      </c>
      <c r="E39" s="982">
        <f>GlobBerOpm!B4</f>
        <v>0</v>
      </c>
      <c r="F39" s="983"/>
      <c r="G39" s="983"/>
      <c r="H39" s="983"/>
      <c r="K39" s="820"/>
      <c r="L39" s="820"/>
      <c r="M39" s="820"/>
      <c r="N39" s="820"/>
      <c r="O39" s="820"/>
      <c r="P39" s="820"/>
      <c r="Q39" s="820"/>
      <c r="R39" s="820"/>
      <c r="S39" s="820"/>
      <c r="T39" s="820"/>
      <c r="U39" s="820"/>
      <c r="V39" s="820"/>
      <c r="W39" s="820"/>
    </row>
    <row r="40" spans="2:23" ht="10.5" customHeight="1" x14ac:dyDescent="0.2">
      <c r="D40" s="816"/>
      <c r="F40" s="816"/>
      <c r="K40" s="820"/>
      <c r="L40" s="820"/>
      <c r="M40" s="820"/>
      <c r="N40" s="820"/>
      <c r="O40" s="820"/>
      <c r="P40" s="820"/>
      <c r="Q40" s="820"/>
      <c r="R40" s="820"/>
      <c r="S40" s="820"/>
      <c r="T40" s="820"/>
      <c r="U40" s="820"/>
      <c r="V40" s="820"/>
      <c r="W40" s="820"/>
    </row>
    <row r="41" spans="2:23" x14ac:dyDescent="0.2">
      <c r="B41" s="773"/>
      <c r="C41" s="773" t="s">
        <v>288</v>
      </c>
      <c r="D41" s="773"/>
      <c r="E41" s="773" t="str">
        <f>ROUND(PedBerTot!C2,0)&amp;" ml/kg"</f>
        <v>0 ml/kg</v>
      </c>
      <c r="F41" s="773" t="str">
        <f ca="1">ROUND(GlobBerNorm!$A$18,0)&amp;" ml/kg"</f>
        <v>150 ml/kg</v>
      </c>
      <c r="G41" s="773" t="str">
        <f>"= "&amp;ROUND(PedBerTot!C2*_Pat_Gewicht/10,0)&amp;" ml/dag"</f>
        <v>= 0 ml/dag</v>
      </c>
      <c r="H41" s="773"/>
      <c r="I41" s="773" t="s">
        <v>232</v>
      </c>
      <c r="J41" s="773" t="str">
        <f>ROUND(PedBerTot!$C$9,1)&amp;"  gram/kg"</f>
        <v>0  gram/kg</v>
      </c>
      <c r="K41" s="773" t="str">
        <f>IF(_Pat_Gewicht/10&lt;30,"2-2,5 g/kg","1,5 g/kg")</f>
        <v>2-2,5 g/kg</v>
      </c>
      <c r="L41" s="773"/>
    </row>
    <row r="42" spans="2:23" x14ac:dyDescent="0.2">
      <c r="B42" s="773"/>
      <c r="C42" s="773" t="s">
        <v>289</v>
      </c>
      <c r="D42" s="773"/>
      <c r="E42" s="773" t="str">
        <f>ROUND(PedBerTot!E44,0)&amp;" kCal/kg"</f>
        <v>0 kCal/kg</v>
      </c>
      <c r="F42" s="773" t="str">
        <f ca="1">GlobBerNorm!$A$21&amp;" kCal/kg"</f>
        <v>0 kCal/kg</v>
      </c>
      <c r="G42" s="773"/>
      <c r="H42" s="773"/>
      <c r="I42" s="773" t="s">
        <v>233</v>
      </c>
      <c r="J42" s="773" t="str">
        <f>ROUND(PedBerTot!$C$13,1)&amp;" gram/kg"</f>
        <v>0 gram/kg</v>
      </c>
      <c r="K42" s="773" t="str">
        <f>IF(_Pat_Gewicht/10&lt;30,"4 g/kg","2 g/kg")</f>
        <v>4 g/kg</v>
      </c>
      <c r="L42" s="773"/>
    </row>
    <row r="43" spans="2:23" x14ac:dyDescent="0.2">
      <c r="B43" s="773"/>
      <c r="C43" s="773" t="s">
        <v>251</v>
      </c>
      <c r="D43" s="773"/>
      <c r="E43" s="773" t="str">
        <f>ROUND(PedBerTot!C5,1)&amp;" g/kg"</f>
        <v>0 g/kg</v>
      </c>
      <c r="F43" s="773" t="s">
        <v>365</v>
      </c>
      <c r="G43" s="773" t="str">
        <f>"= "&amp;ROUND(PedBerTot!C5/1.4,1)&amp;" mg/kg/min"</f>
        <v>= 0 mg/kg/min</v>
      </c>
      <c r="H43" s="773"/>
      <c r="I43" s="773" t="s">
        <v>234</v>
      </c>
      <c r="J43" s="773" t="str">
        <f>ROUND(PedBerTot!$C$27,1)&amp;" mmol/kg"</f>
        <v>0 mmol/kg</v>
      </c>
      <c r="K43" s="773" t="s">
        <v>441</v>
      </c>
      <c r="L43" s="773"/>
    </row>
    <row r="44" spans="2:23" x14ac:dyDescent="0.2">
      <c r="B44" s="773"/>
      <c r="C44" s="773" t="s">
        <v>290</v>
      </c>
      <c r="D44" s="773"/>
      <c r="E44" s="773" t="str">
        <f>ROUND(PedBerTot!C17,1)&amp;" mmol/kg"</f>
        <v>0 mmol/kg</v>
      </c>
      <c r="F44" s="773" t="s">
        <v>359</v>
      </c>
      <c r="G44" s="773"/>
      <c r="H44" s="773"/>
      <c r="I44" s="773" t="s">
        <v>328</v>
      </c>
      <c r="J44" s="773" t="str">
        <f>ROUND(PedBerTot!$C$33,1)&amp;" mmol/kg"</f>
        <v>0 mmol/kg</v>
      </c>
      <c r="K44" s="773" t="s">
        <v>364</v>
      </c>
      <c r="L44" s="773"/>
    </row>
    <row r="45" spans="2:23" x14ac:dyDescent="0.2">
      <c r="B45" s="773"/>
      <c r="C45" s="773" t="s">
        <v>291</v>
      </c>
      <c r="D45" s="773"/>
      <c r="E45" s="773" t="str">
        <f>ROUND(PedBerTot!C23,1)&amp;" mmol/kg"</f>
        <v>0 mmol/kg</v>
      </c>
      <c r="F45" s="773" t="s">
        <v>358</v>
      </c>
      <c r="G45" s="773"/>
      <c r="H45" s="773"/>
      <c r="I45" s="773" t="s">
        <v>235</v>
      </c>
      <c r="J45" s="773" t="str">
        <f>ROUND(PedBerTot!$C$30,1)&amp;" mmol/kg"</f>
        <v>0 mmol/kg</v>
      </c>
      <c r="K45" s="773" t="s">
        <v>363</v>
      </c>
      <c r="L45" s="773"/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4">
    <mergeCell ref="G25:H25"/>
    <mergeCell ref="E39:H39"/>
    <mergeCell ref="E18:H18"/>
    <mergeCell ref="K3:L5"/>
  </mergeCells>
  <phoneticPr fontId="28" type="noConversion"/>
  <conditionalFormatting sqref="K3:L5">
    <cfRule type="expression" dxfId="18" priority="1">
      <formula>NOT(ISBLANK(K3))</formula>
    </cfRule>
  </conditionalFormatting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3</xdr:col>
                    <xdr:colOff>800100</xdr:colOff>
                    <xdr:row>11</xdr:row>
                    <xdr:rowOff>0</xdr:rowOff>
                  </from>
                  <to>
                    <xdr:col>3</xdr:col>
                    <xdr:colOff>942975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4</xdr:col>
                    <xdr:colOff>819150</xdr:colOff>
                    <xdr:row>11</xdr:row>
                    <xdr:rowOff>0</xdr:rowOff>
                  </from>
                  <to>
                    <xdr:col>5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7</xdr:col>
                    <xdr:colOff>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5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5</xdr:col>
                    <xdr:colOff>638175</xdr:colOff>
                    <xdr:row>24</xdr:row>
                    <xdr:rowOff>238125</xdr:rowOff>
                  </from>
                  <to>
                    <xdr:col>5</xdr:col>
                    <xdr:colOff>781050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5</xdr:col>
                    <xdr:colOff>638175</xdr:colOff>
                    <xdr:row>25</xdr:row>
                    <xdr:rowOff>238125</xdr:rowOff>
                  </from>
                  <to>
                    <xdr:col>5</xdr:col>
                    <xdr:colOff>781050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1" name="Spinner 17">
              <controlPr defaultSize="0" autoPict="0" macro="[0]!PedEntTPN_ChangeCaGluc">
                <anchor moveWithCells="1" sizeWithCells="1">
                  <from>
                    <xdr:col>5</xdr:col>
                    <xdr:colOff>638175</xdr:colOff>
                    <xdr:row>28</xdr:row>
                    <xdr:rowOff>0</xdr:rowOff>
                  </from>
                  <to>
                    <xdr:col>5</xdr:col>
                    <xdr:colOff>781050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2" name="Check Box 18">
              <controlPr defaultSize="0" autoFill="0" autoLine="0" autoPict="0">
                <anchor moveWithCells="1">
                  <from>
                    <xdr:col>2</xdr:col>
                    <xdr:colOff>19050</xdr:colOff>
                    <xdr:row>25</xdr:row>
                    <xdr:rowOff>19050</xdr:rowOff>
                  </from>
                  <to>
                    <xdr:col>3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3" name="Check Box 19">
              <controlPr defaultSize="0" autoFill="0" autoLine="0" autoPict="0">
                <anchor moveWithCells="1">
                  <from>
                    <xdr:col>2</xdr:col>
                    <xdr:colOff>19050</xdr:colOff>
                    <xdr:row>26</xdr:row>
                    <xdr:rowOff>19050</xdr:rowOff>
                  </from>
                  <to>
                    <xdr:col>3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4" name="Check Box 20">
              <controlPr defaultSize="0" autoFill="0" autoLine="0" autoPict="0">
                <anchor moveWithCells="1">
                  <from>
                    <xdr:col>2</xdr:col>
                    <xdr:colOff>19050</xdr:colOff>
                    <xdr:row>28</xdr:row>
                    <xdr:rowOff>19050</xdr:rowOff>
                  </from>
                  <to>
                    <xdr:col>3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5" name="Spinner 21">
              <controlPr defaultSize="0" autoPict="0">
                <anchor moveWithCells="1" siz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5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6" name="Check Box 23">
              <controlPr defaultSize="0" autoFill="0" autoLine="0" autoPict="0">
                <anchor moveWithCells="1">
                  <from>
                    <xdr:col>2</xdr:col>
                    <xdr:colOff>19050</xdr:colOff>
                    <xdr:row>35</xdr:row>
                    <xdr:rowOff>19050</xdr:rowOff>
                  </from>
                  <to>
                    <xdr:col>3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7" name="Check Box 24">
              <controlPr defaultSize="0" autoFill="0" autoLine="0" autoPict="0">
                <anchor moveWithCells="1">
                  <from>
                    <xdr:col>2</xdr:col>
                    <xdr:colOff>19050</xdr:colOff>
                    <xdr:row>36</xdr:row>
                    <xdr:rowOff>57150</xdr:rowOff>
                  </from>
                  <to>
                    <xdr:col>3</xdr:col>
                    <xdr:colOff>114300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8" name="Spinner 25">
              <controlPr defaultSize="0" autoPict="0" macro="[0]!PedEntTPN_ChangeVitIntra">
                <anchor moveWithCells="1" sizeWithCells="1">
                  <from>
                    <xdr:col>5</xdr:col>
                    <xdr:colOff>638175</xdr:colOff>
                    <xdr:row>35</xdr:row>
                    <xdr:rowOff>0</xdr:rowOff>
                  </from>
                  <to>
                    <xdr:col>5</xdr:col>
                    <xdr:colOff>781050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9" name="Spinner 26">
              <controlPr defaultSize="0" autoPict="0" macro="[0]!PedEntTPN_ChangeSoluvit">
                <anchor moveWithCells="1" sizeWithCells="1">
                  <from>
                    <xdr:col>5</xdr:col>
                    <xdr:colOff>638175</xdr:colOff>
                    <xdr:row>36</xdr:row>
                    <xdr:rowOff>0</xdr:rowOff>
                  </from>
                  <to>
                    <xdr:col>5</xdr:col>
                    <xdr:colOff>781050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0" name="Drop Down 2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9525</xdr:rowOff>
                  </from>
                  <to>
                    <xdr:col>6</xdr:col>
                    <xdr:colOff>19050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Check Box 38">
              <controlPr defaultSize="0" autoFill="0" autoLine="0" autoPict="0">
                <anchor moveWithCells="1">
                  <from>
                    <xdr:col>2</xdr:col>
                    <xdr:colOff>19050</xdr:colOff>
                    <xdr:row>29</xdr:row>
                    <xdr:rowOff>19050</xdr:rowOff>
                  </from>
                  <to>
                    <xdr:col>3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2" name="Check Box 39">
              <controlPr defaultSize="0" autoFill="0" autoLine="0" autoPict="0">
                <anchor moveWithCells="1">
                  <from>
                    <xdr:col>2</xdr:col>
                    <xdr:colOff>19050</xdr:colOff>
                    <xdr:row>31</xdr:row>
                    <xdr:rowOff>19050</xdr:rowOff>
                  </from>
                  <to>
                    <xdr:col>3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3" name="Spinner 40">
              <controlPr defaultSize="0" autoPict="0" macro="[0]!PedEntTPN_ChangeMgCl">
                <anchor moveWithCells="1" sizeWithCells="1">
                  <from>
                    <xdr:col>5</xdr:col>
                    <xdr:colOff>638175</xdr:colOff>
                    <xdr:row>29</xdr:row>
                    <xdr:rowOff>0</xdr:rowOff>
                  </from>
                  <to>
                    <xdr:col>5</xdr:col>
                    <xdr:colOff>781050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4" name="Spinner 41">
              <controlPr defaultSize="0" autoPict="0" macro="[0]!PedEntTPN_ChangeKNaFosf">
                <anchor moveWithCells="1" sizeWithCells="1">
                  <from>
                    <xdr:col>5</xdr:col>
                    <xdr:colOff>638175</xdr:colOff>
                    <xdr:row>31</xdr:row>
                    <xdr:rowOff>9525</xdr:rowOff>
                  </from>
                  <to>
                    <xdr:col>5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Drop Down 51">
              <controlPr defaultSize="0" print="0" autoLine="0" autoPict="0">
                <anchor moveWithCells="1">
                  <from>
                    <xdr:col>2</xdr:col>
                    <xdr:colOff>76200</xdr:colOff>
                    <xdr:row>21</xdr:row>
                    <xdr:rowOff>238125</xdr:rowOff>
                  </from>
                  <to>
                    <xdr:col>4</xdr:col>
                    <xdr:colOff>838200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Drop Down 52">
              <controlPr defaultSize="0" print="0" autoLine="0" autoPict="0">
                <anchor moveWithCells="1">
                  <from>
                    <xdr:col>2</xdr:col>
                    <xdr:colOff>76200</xdr:colOff>
                    <xdr:row>24</xdr:row>
                    <xdr:rowOff>0</xdr:rowOff>
                  </from>
                  <to>
                    <xdr:col>4</xdr:col>
                    <xdr:colOff>838200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Spinner 53">
              <controlPr defaultSize="0" autoPict="0">
                <anchor moveWithCells="1" sizeWithCells="1">
                  <from>
                    <xdr:col>5</xdr:col>
                    <xdr:colOff>638175</xdr:colOff>
                    <xdr:row>21</xdr:row>
                    <xdr:rowOff>238125</xdr:rowOff>
                  </from>
                  <to>
                    <xdr:col>5</xdr:col>
                    <xdr:colOff>781050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8" name="Spinner 55">
              <controlPr defaultSize="0" autoPict="0">
                <anchor moveWithCells="1" sizeWithCells="1">
                  <from>
                    <xdr:col>3</xdr:col>
                    <xdr:colOff>800100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9" name="Spinner 56">
              <controlPr defaultSize="0" autoPict="0">
                <anchor moveWithCells="1" sizeWithCells="1">
                  <from>
                    <xdr:col>4</xdr:col>
                    <xdr:colOff>819150</xdr:colOff>
                    <xdr:row>13</xdr:row>
                    <xdr:rowOff>0</xdr:rowOff>
                  </from>
                  <to>
                    <xdr:col>5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0" name="Drop Down 57">
              <controlPr defaultSize="0" print="0" autoLine="0" autoPict="0" macro="[0]!PedEntTPN_ChangeEntAdd1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7</xdr:col>
                    <xdr:colOff>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1" name="Spinner 58">
              <controlPr defaultSize="0" autoPict="0">
                <anchor moveWithCells="1" sizeWithCells="1">
                  <from>
                    <xdr:col>5</xdr:col>
                    <xdr:colOff>638175</xdr:colOff>
                    <xdr:row>23</xdr:row>
                    <xdr:rowOff>9525</xdr:rowOff>
                  </from>
                  <to>
                    <xdr:col>5</xdr:col>
                    <xdr:colOff>781050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2" name="Spinner 60">
              <controlPr defaultSize="0" autoPict="0">
                <anchor moveWithCells="1" sizeWithCells="1">
                  <from>
                    <xdr:col>3</xdr:col>
                    <xdr:colOff>800100</xdr:colOff>
                    <xdr:row>14</xdr:row>
                    <xdr:rowOff>0</xdr:rowOff>
                  </from>
                  <to>
                    <xdr:col>4</xdr:col>
                    <xdr:colOff>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3" name="Spinner 61">
              <controlPr defaultSize="0" autoPict="0">
                <anchor moveWithCells="1" sizeWithCells="1">
                  <from>
                    <xdr:col>4</xdr:col>
                    <xdr:colOff>819150</xdr:colOff>
                    <xdr:row>14</xdr:row>
                    <xdr:rowOff>0</xdr:rowOff>
                  </from>
                  <to>
                    <xdr:col>5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4" name="Drop Down 62">
              <controlPr defaultSize="0" print="0" autoLine="0" autoPict="0" macro="[0]!PedEntTPN_ChangeEntAdd2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7</xdr:col>
                    <xdr:colOff>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5" name="Spinner 63">
              <controlPr defaultSize="0" autoPict="0">
                <anchor moveWithCells="1" sizeWithCells="1">
                  <from>
                    <xdr:col>3</xdr:col>
                    <xdr:colOff>800100</xdr:colOff>
                    <xdr:row>15</xdr:row>
                    <xdr:rowOff>0</xdr:rowOff>
                  </from>
                  <to>
                    <xdr:col>4</xdr:col>
                    <xdr:colOff>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6" name="Spinner 64">
              <controlPr defaultSize="0" autoPict="0">
                <anchor moveWithCells="1" sizeWithCells="1">
                  <from>
                    <xdr:col>4</xdr:col>
                    <xdr:colOff>819150</xdr:colOff>
                    <xdr:row>15</xdr:row>
                    <xdr:rowOff>0</xdr:rowOff>
                  </from>
                  <to>
                    <xdr:col>5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7" name="Drop Down 65">
              <controlPr defaultSize="0" print="0" autoLine="0" autoPict="0" macro="[0]!PedEntTPN_ChangeEntAdd3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7</xdr:col>
                    <xdr:colOff>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8" name="Spinner 66">
              <controlPr defaultSize="0" autoPict="0">
                <anchor moveWithCells="1" sizeWithCells="1">
                  <from>
                    <xdr:col>9</xdr:col>
                    <xdr:colOff>828675</xdr:colOff>
                    <xdr:row>21</xdr:row>
                    <xdr:rowOff>0</xdr:rowOff>
                  </from>
                  <to>
                    <xdr:col>9</xdr:col>
                    <xdr:colOff>981075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9" name="Spinner 67">
              <controlPr defaultSize="0" autoPict="0" macro="[0]!PedEntTPN_ChangeNaCl2">
                <anchor moveWithCells="1" sizeWithCells="1">
                  <from>
                    <xdr:col>9</xdr:col>
                    <xdr:colOff>828675</xdr:colOff>
                    <xdr:row>25</xdr:row>
                    <xdr:rowOff>0</xdr:rowOff>
                  </from>
                  <to>
                    <xdr:col>9</xdr:col>
                    <xdr:colOff>981075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0" name="Spinner 68">
              <controlPr defaultSize="0" autoPict="0" macro="[0]!PedEntTPN_ChangeKCl2">
                <anchor moveWithCells="1" sizeWithCells="1">
                  <from>
                    <xdr:col>9</xdr:col>
                    <xdr:colOff>828675</xdr:colOff>
                    <xdr:row>26</xdr:row>
                    <xdr:rowOff>0</xdr:rowOff>
                  </from>
                  <to>
                    <xdr:col>9</xdr:col>
                    <xdr:colOff>981075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1" name="Check Box 69">
              <controlPr defaultSize="0" autoFill="0" autoLine="0" autoPict="0">
                <anchor moveWithCells="1">
                  <from>
                    <xdr:col>8</xdr:col>
                    <xdr:colOff>9525</xdr:colOff>
                    <xdr:row>25</xdr:row>
                    <xdr:rowOff>19050</xdr:rowOff>
                  </from>
                  <to>
                    <xdr:col>8</xdr:col>
                    <xdr:colOff>314325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2" name="Check Box 70">
              <controlPr defaultSize="0" autoFill="0" autoLine="0" autoPict="0">
                <anchor moveWithCells="1">
                  <from>
                    <xdr:col>8</xdr:col>
                    <xdr:colOff>9525</xdr:colOff>
                    <xdr:row>26</xdr:row>
                    <xdr:rowOff>19050</xdr:rowOff>
                  </from>
                  <to>
                    <xdr:col>8</xdr:col>
                    <xdr:colOff>314325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3" name="Drop Down 71">
              <controlPr defaultSize="0" print="0" autoLine="0" autoPict="0">
                <anchor moveWithCells="1">
                  <from>
                    <xdr:col>8</xdr:col>
                    <xdr:colOff>76200</xdr:colOff>
                    <xdr:row>24</xdr:row>
                    <xdr:rowOff>0</xdr:rowOff>
                  </from>
                  <to>
                    <xdr:col>9</xdr:col>
                    <xdr:colOff>981075</xdr:colOff>
                    <xdr:row>24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T16"/>
  <sheetViews>
    <sheetView workbookViewId="0">
      <selection activeCell="I1" sqref="I1"/>
    </sheetView>
  </sheetViews>
  <sheetFormatPr defaultRowHeight="12.75" x14ac:dyDescent="0.2"/>
  <cols>
    <col min="1" max="1" width="5.42578125" customWidth="1"/>
    <col min="3" max="3" width="11" bestFit="1" customWidth="1"/>
    <col min="5" max="5" width="10.28515625" customWidth="1"/>
    <col min="6" max="6" width="11.85546875" customWidth="1"/>
    <col min="9" max="9" width="25.42578125" customWidth="1"/>
    <col min="12" max="12" width="9.42578125" bestFit="1" customWidth="1"/>
    <col min="16" max="17" width="10.5703125" customWidth="1"/>
    <col min="18" max="20" width="12.7109375" customWidth="1"/>
  </cols>
  <sheetData>
    <row r="1" spans="1:20" x14ac:dyDescent="0.2">
      <c r="A1" s="361"/>
      <c r="C1" s="139" t="s">
        <v>296</v>
      </c>
      <c r="D1" s="139" t="s">
        <v>523</v>
      </c>
      <c r="E1" s="139" t="s">
        <v>524</v>
      </c>
      <c r="F1" s="139" t="s">
        <v>525</v>
      </c>
      <c r="G1" s="139" t="s">
        <v>526</v>
      </c>
      <c r="H1" s="139" t="s">
        <v>527</v>
      </c>
      <c r="I1" s="139"/>
      <c r="J1" t="s">
        <v>119</v>
      </c>
      <c r="K1" t="s">
        <v>91</v>
      </c>
      <c r="M1" t="s">
        <v>295</v>
      </c>
      <c r="N1" t="s">
        <v>253</v>
      </c>
      <c r="O1" s="139" t="s">
        <v>532</v>
      </c>
      <c r="P1" s="321" t="s">
        <v>5111</v>
      </c>
      <c r="Q1" s="321" t="s">
        <v>5112</v>
      </c>
      <c r="R1" s="321" t="s">
        <v>5116</v>
      </c>
      <c r="S1" s="321" t="s">
        <v>5117</v>
      </c>
      <c r="T1" s="321" t="s">
        <v>5118</v>
      </c>
    </row>
    <row r="2" spans="1:20" x14ac:dyDescent="0.2">
      <c r="A2" s="22">
        <v>1</v>
      </c>
      <c r="B2" s="22" t="s">
        <v>246</v>
      </c>
      <c r="C2" s="22">
        <f>IF(PedBerEnt!$M$2&lt;&gt;0,INDEX(tblPerOs,_Ped_Ent_Keuze_1,A2+1)*PedBerEnt!$M$2,0)</f>
        <v>0</v>
      </c>
      <c r="D2" s="22">
        <f>IF(PedBerEnt!$M$3&lt;&gt;0,INDEX(tblPoeder,PedBerEnt!$N$3,$A2+1)*PedBerEnt!$M$3,0)</f>
        <v>0</v>
      </c>
      <c r="E2" s="22">
        <f>IF(PedBerEnt!$M$4&lt;&gt;0,INDEX(tblPoeder,PedBerEnt!$N$4,$A2+1)*PedBerEnt!$M$4,0)</f>
        <v>0</v>
      </c>
      <c r="F2" s="22">
        <f>IF(PedBerEnt!$M$5&lt;&gt;0,INDEX(tblPoeder,PedBerEnt!$N$5,$A2+1)*PedBerEnt!$M$5,0)</f>
        <v>0</v>
      </c>
      <c r="G2" s="22">
        <f t="shared" ref="G2:G13" si="0">SUM(C2:F2)</f>
        <v>0</v>
      </c>
      <c r="H2">
        <v>0</v>
      </c>
      <c r="I2" s="154"/>
      <c r="J2" s="22">
        <v>1</v>
      </c>
      <c r="K2" s="22">
        <v>0</v>
      </c>
      <c r="L2">
        <f>IF(K2&lt;51,K2/10,IF(K2&lt;66,(K2-49)+4,IF(K2&lt;82,(K2-61)*5,IF(K2&lt;122,(K2-71)*10,(K2-111)*50))))</f>
        <v>0</v>
      </c>
      <c r="M2" s="22">
        <f>IF(N2&gt;1,J2*L2,0)</f>
        <v>0</v>
      </c>
      <c r="N2">
        <v>1</v>
      </c>
      <c r="O2">
        <v>1</v>
      </c>
      <c r="P2" t="str">
        <f>IF(N2&gt;1,"verw","")</f>
        <v/>
      </c>
      <c r="Q2" s="320" t="str">
        <f>IF(O2&gt;1,"verw","")</f>
        <v/>
      </c>
      <c r="R2" t="str">
        <f>IF(AND(M2&lt;&gt;0,M2&lt;&gt;""),IF(J2=24,"continue drip",J2&amp;" dd"),"")</f>
        <v/>
      </c>
      <c r="S2" t="str">
        <f>IF(OR(M2=0,M2=""),"",K2&amp;" mL")</f>
        <v/>
      </c>
      <c r="T2" t="str">
        <f>IF(PedBerEnt!N2&gt;1,PedBerEnt!M2&amp;" mL/dag","")</f>
        <v/>
      </c>
    </row>
    <row r="3" spans="1:20" x14ac:dyDescent="0.2">
      <c r="A3" s="22">
        <v>2</v>
      </c>
      <c r="B3" s="22" t="s">
        <v>205</v>
      </c>
      <c r="C3" s="22">
        <f>IF(PedBerEnt!$M$2&lt;&gt;0,INDEX(tblPerOs,_Ped_Ent_Keuze_1,A3+1)*PedBerEnt!$M$2,0)</f>
        <v>0</v>
      </c>
      <c r="D3" s="22">
        <f>IF(PedBerEnt!$M$3&lt;&gt;0,INDEX(tblPoeder,PedBerEnt!$N$3,$A3+1)*PedBerEnt!$M$3,0)</f>
        <v>0</v>
      </c>
      <c r="E3" s="22">
        <f>IF(PedBerEnt!$M$4&lt;&gt;0,INDEX(tblPoeder,PedBerEnt!$N$4,$A3+1)*PedBerEnt!$M$4,0)</f>
        <v>0</v>
      </c>
      <c r="F3" s="22">
        <f>IF(PedBerEnt!$M$5&lt;&gt;0,INDEX(tblPoeder,PedBerEnt!$N$5,$A3+1)*PedBerEnt!$M$5,0)</f>
        <v>0</v>
      </c>
      <c r="G3" s="22">
        <f t="shared" si="0"/>
        <v>0</v>
      </c>
      <c r="H3">
        <v>0</v>
      </c>
      <c r="I3" s="154"/>
      <c r="J3">
        <v>1</v>
      </c>
      <c r="K3">
        <v>0</v>
      </c>
      <c r="L3">
        <f>IF(K3&lt;51,K3/10,IF(K3&lt;66,(K3-49)+4,IF(K3&lt;82,(K3-61)*5,IF(K3&lt;122,(K3-71)*10,(K3-111)*50))))</f>
        <v>0</v>
      </c>
      <c r="M3" s="22">
        <f>IF(N3&gt;1,J3*L3,0)</f>
        <v>0</v>
      </c>
      <c r="N3">
        <v>1</v>
      </c>
      <c r="P3" s="320" t="str">
        <f t="shared" ref="P3:P5" si="1">IF(N3&gt;1,"verw","")</f>
        <v/>
      </c>
      <c r="R3" s="320" t="str">
        <f t="shared" ref="R3:R5" si="2">IF(AND(M3&lt;&gt;0,M3&lt;&gt;""),J3&amp;" dd","")</f>
        <v/>
      </c>
      <c r="S3" s="320" t="str">
        <f t="shared" ref="S3:S5" si="3">IF(OR(M3=0,M3=""),"",K3&amp;" mL")</f>
        <v/>
      </c>
      <c r="T3" t="str">
        <f>IF(PedBerEnt!N3&gt;1,PedBerEnt!M3&amp;" gram/dag","")</f>
        <v/>
      </c>
    </row>
    <row r="4" spans="1:20" x14ac:dyDescent="0.2">
      <c r="A4" s="22">
        <v>3</v>
      </c>
      <c r="B4" s="22" t="s">
        <v>247</v>
      </c>
      <c r="C4" s="22">
        <f>IF(PedBerEnt!$M$2&lt;&gt;0,INDEX(tblPerOs,_Ped_Ent_Keuze_1,A4+1)*PedBerEnt!$M$2,0)</f>
        <v>0</v>
      </c>
      <c r="D4" s="22">
        <f>IF(PedBerEnt!$M$3&lt;&gt;0,INDEX(tblPoeder,PedBerEnt!$N$3,$A4+1)*PedBerEnt!$M$3,0)</f>
        <v>0</v>
      </c>
      <c r="E4" s="22">
        <f>IF(PedBerEnt!$M$4&lt;&gt;0,INDEX(tblPoeder,PedBerEnt!$N$4,$A4+1)*PedBerEnt!$M$4,0)</f>
        <v>0</v>
      </c>
      <c r="F4" s="22">
        <f>IF(PedBerEnt!$M$5&lt;&gt;0,INDEX(tblPoeder,PedBerEnt!$N$5,$A4+1)*PedBerEnt!$M$5,0)</f>
        <v>0</v>
      </c>
      <c r="G4" s="22">
        <f t="shared" si="0"/>
        <v>0</v>
      </c>
      <c r="H4">
        <v>0</v>
      </c>
      <c r="I4" s="154"/>
      <c r="J4">
        <v>1</v>
      </c>
      <c r="K4">
        <v>0</v>
      </c>
      <c r="L4">
        <f>IF(K4&lt;51,K4/10,IF(K4&lt;66,(K4-49)+4,IF(K4&lt;82,(K4-61)*5,IF(K4&lt;122,(K4-71)*10,(K4-111)*50))))</f>
        <v>0</v>
      </c>
      <c r="M4" s="22">
        <f>IF(N4&gt;1,J4*L4,0)</f>
        <v>0</v>
      </c>
      <c r="N4">
        <v>1</v>
      </c>
      <c r="P4" s="320" t="str">
        <f t="shared" si="1"/>
        <v/>
      </c>
      <c r="R4" s="320" t="str">
        <f t="shared" si="2"/>
        <v/>
      </c>
      <c r="S4" s="320" t="str">
        <f t="shared" si="3"/>
        <v/>
      </c>
      <c r="T4" s="320" t="str">
        <f>IF(PedBerEnt!N4&gt;1,PedBerEnt!M4&amp;" gram/dag","")</f>
        <v/>
      </c>
    </row>
    <row r="5" spans="1:20" x14ac:dyDescent="0.2">
      <c r="A5" s="22">
        <v>4</v>
      </c>
      <c r="B5" s="22" t="s">
        <v>206</v>
      </c>
      <c r="C5" s="22">
        <f>IF(PedBerEnt!$M$2&lt;&gt;0,INDEX(tblPerOs,_Ped_Ent_Keuze_1,A5+1)*PedBerEnt!$M$2,0)</f>
        <v>0</v>
      </c>
      <c r="D5" s="22">
        <f>IF(PedBerEnt!$M$3&lt;&gt;0,INDEX(tblPoeder,PedBerEnt!$N$3,$A5+1)*PedBerEnt!$M$3,0)</f>
        <v>0</v>
      </c>
      <c r="E5" s="22">
        <f>IF(PedBerEnt!$M$4&lt;&gt;0,INDEX(tblPoeder,PedBerEnt!$N$4,$A5+1)*PedBerEnt!$M$4,0)</f>
        <v>0</v>
      </c>
      <c r="F5" s="22">
        <f>IF(PedBerEnt!$M$5&lt;&gt;0,INDEX(tblPoeder,PedBerEnt!$N$5,$A5+1)*PedBerEnt!$M$5,0)</f>
        <v>0</v>
      </c>
      <c r="G5" s="22">
        <f t="shared" si="0"/>
        <v>0</v>
      </c>
      <c r="H5">
        <v>0</v>
      </c>
      <c r="I5" s="154"/>
      <c r="J5">
        <v>1</v>
      </c>
      <c r="K5">
        <v>0</v>
      </c>
      <c r="L5">
        <f>IF(K5&lt;51,K5/10,IF(K5&lt;66,(K5-49)+4,IF(K5&lt;82,(K5-61)*5,IF(K5&lt;122,(K5-71)*10,(K5-111)*50))))</f>
        <v>0</v>
      </c>
      <c r="M5" s="22">
        <f>IF(N5&gt;1,J5*L5,0)</f>
        <v>0</v>
      </c>
      <c r="N5">
        <v>1</v>
      </c>
      <c r="P5" s="320" t="str">
        <f t="shared" si="1"/>
        <v/>
      </c>
      <c r="R5" s="320" t="str">
        <f t="shared" si="2"/>
        <v/>
      </c>
      <c r="S5" s="320" t="str">
        <f t="shared" si="3"/>
        <v/>
      </c>
      <c r="T5" s="320" t="str">
        <f>IF(PedBerEnt!N5&gt;1,PedBerEnt!M5&amp;" gram/dag","")</f>
        <v/>
      </c>
    </row>
    <row r="6" spans="1:20" x14ac:dyDescent="0.2">
      <c r="A6" s="22">
        <v>5</v>
      </c>
      <c r="B6" s="22" t="s">
        <v>239</v>
      </c>
      <c r="C6" s="22">
        <f>IF(PedBerEnt!$M$2&lt;&gt;0,INDEX(tblPerOs,_Ped_Ent_Keuze_1,A6+1)*PedBerEnt!$M$2,0)</f>
        <v>0</v>
      </c>
      <c r="D6" s="22">
        <f>IF(PedBerEnt!$M$3&lt;&gt;0,INDEX(tblPoeder,PedBerEnt!$N$3,$A6+1)*PedBerEnt!$M$3,0)</f>
        <v>0</v>
      </c>
      <c r="E6" s="22">
        <f>IF(PedBerEnt!$M$4&lt;&gt;0,INDEX(tblPoeder,PedBerEnt!$N$4,$A6+1)*PedBerEnt!$M$4,0)</f>
        <v>0</v>
      </c>
      <c r="F6" s="22">
        <f>IF(PedBerEnt!$M$5&lt;&gt;0,INDEX(tblPoeder,PedBerEnt!$N$5,$A6+1)*PedBerEnt!$M$5,0)</f>
        <v>0</v>
      </c>
      <c r="G6" s="22">
        <f t="shared" si="0"/>
        <v>0</v>
      </c>
      <c r="H6">
        <v>0</v>
      </c>
      <c r="I6" s="154"/>
    </row>
    <row r="7" spans="1:20" x14ac:dyDescent="0.2">
      <c r="A7" s="22">
        <v>6</v>
      </c>
      <c r="B7" s="22" t="s">
        <v>240</v>
      </c>
      <c r="C7" s="22">
        <f>IF(PedBerEnt!$M$2&lt;&gt;0,INDEX(tblPerOs,_Ped_Ent_Keuze_1,A7+1)*PedBerEnt!$M$2,0)</f>
        <v>0</v>
      </c>
      <c r="D7" s="22">
        <f>IF(PedBerEnt!$M$3&lt;&gt;0,INDEX(tblPoeder,PedBerEnt!$N$3,$A7+1)*PedBerEnt!$M$3,0)</f>
        <v>0</v>
      </c>
      <c r="E7" s="22">
        <f>IF(PedBerEnt!$M$4&lt;&gt;0,INDEX(tblPoeder,PedBerEnt!$N$4,$A7+1)*PedBerEnt!$M$4,0)</f>
        <v>0</v>
      </c>
      <c r="F7" s="22">
        <f>IF(PedBerEnt!$M$5&lt;&gt;0,INDEX(tblPoeder,PedBerEnt!$N$5,$A7+1)*PedBerEnt!$M$5,0)</f>
        <v>0</v>
      </c>
      <c r="G7" s="22">
        <f t="shared" si="0"/>
        <v>0</v>
      </c>
      <c r="H7">
        <v>0</v>
      </c>
      <c r="I7" s="154"/>
    </row>
    <row r="8" spans="1:20" x14ac:dyDescent="0.2">
      <c r="A8" s="22">
        <v>7</v>
      </c>
      <c r="B8" s="22" t="s">
        <v>241</v>
      </c>
      <c r="C8" s="22">
        <f>IF(PedBerEnt!$M$2&lt;&gt;0,INDEX(tblPerOs,_Ped_Ent_Keuze_1,A8+1)*PedBerEnt!$M$2,0)</f>
        <v>0</v>
      </c>
      <c r="D8" s="22">
        <f>IF(PedBerEnt!$M$3&lt;&gt;0,INDEX(tblPoeder,PedBerEnt!$N$3,$A8+1)*PedBerEnt!$M$3,0)</f>
        <v>0</v>
      </c>
      <c r="E8" s="22">
        <f>IF(PedBerEnt!$M$4&lt;&gt;0,INDEX(tblPoeder,PedBerEnt!$N$4,$A8+1)*PedBerEnt!$M$4,0)</f>
        <v>0</v>
      </c>
      <c r="F8" s="22">
        <f>IF(PedBerEnt!$M$5&lt;&gt;0,INDEX(tblPoeder,PedBerEnt!$N$5,$A8+1)*PedBerEnt!$M$5,0)</f>
        <v>0</v>
      </c>
      <c r="G8" s="22">
        <f t="shared" si="0"/>
        <v>0</v>
      </c>
      <c r="H8">
        <v>0</v>
      </c>
      <c r="I8" s="22"/>
    </row>
    <row r="9" spans="1:20" x14ac:dyDescent="0.2">
      <c r="A9" s="22">
        <v>8</v>
      </c>
      <c r="B9" s="22" t="s">
        <v>248</v>
      </c>
      <c r="C9" s="22">
        <f>IF(PedBerEnt!$M$2&lt;&gt;0,INDEX(tblPerOs,_Ped_Ent_Keuze_1,A9+1)*PedBerEnt!$M$2,0)</f>
        <v>0</v>
      </c>
      <c r="D9" s="22">
        <f>IF(PedBerEnt!$M$3&lt;&gt;0,INDEX(tblPoeder,PedBerEnt!$N$3,$A9+1)*PedBerEnt!$M$3,0)</f>
        <v>0</v>
      </c>
      <c r="E9" s="22">
        <f>IF(PedBerEnt!$M$4&lt;&gt;0,INDEX(tblPoeder,PedBerEnt!$N$4,$A9+1)*PedBerEnt!$M$4,0)</f>
        <v>0</v>
      </c>
      <c r="F9" s="22">
        <f>IF(PedBerEnt!$M$5&lt;&gt;0,INDEX(tblPoeder,PedBerEnt!$N$5,$A9+1)*PedBerEnt!$M$5,0)</f>
        <v>0</v>
      </c>
      <c r="G9" s="22">
        <f t="shared" si="0"/>
        <v>0</v>
      </c>
      <c r="H9">
        <v>0</v>
      </c>
      <c r="I9" s="22"/>
    </row>
    <row r="10" spans="1:20" x14ac:dyDescent="0.2">
      <c r="A10" s="22">
        <v>9</v>
      </c>
      <c r="B10" s="22" t="s">
        <v>242</v>
      </c>
      <c r="C10" s="22">
        <f>IF(PedBerEnt!$M$2&lt;&gt;0,INDEX(tblPerOs,_Ped_Ent_Keuze_1,A10+1)*PedBerEnt!$M$2,0)</f>
        <v>0</v>
      </c>
      <c r="D10" s="22">
        <f>IF(PedBerEnt!$M$3&lt;&gt;0,INDEX(tblPoeder,PedBerEnt!$N$3,$A10+1)*PedBerEnt!$M$3,0)</f>
        <v>0</v>
      </c>
      <c r="E10" s="22">
        <f>IF(PedBerEnt!$M$4&lt;&gt;0,INDEX(tblPoeder,PedBerEnt!$N$4,$A10+1)*PedBerEnt!$M$4,0)</f>
        <v>0</v>
      </c>
      <c r="F10" s="22">
        <f>IF(PedBerEnt!$M$5&lt;&gt;0,INDEX(tblPoeder,PedBerEnt!$N$5,$A10+1)*PedBerEnt!$M$5,0)</f>
        <v>0</v>
      </c>
      <c r="G10" s="22">
        <f t="shared" si="0"/>
        <v>0</v>
      </c>
      <c r="H10">
        <v>0</v>
      </c>
      <c r="I10" s="22"/>
    </row>
    <row r="11" spans="1:20" x14ac:dyDescent="0.2">
      <c r="A11" s="154">
        <v>10</v>
      </c>
      <c r="B11" s="154" t="s">
        <v>968</v>
      </c>
      <c r="C11" s="22">
        <f>IF(PedBerEnt!$M$2&lt;&gt;0,INDEX(tblPerOs,_Ped_Ent_Keuze_1,A11+1)*PedBerEnt!$M$2,0)</f>
        <v>0</v>
      </c>
      <c r="D11" s="22">
        <f>IF(PedBerEnt!$M$3&lt;&gt;0,INDEX(tblPoeder,PedBerEnt!$N$3,$A11+1)*PedBerEnt!$M$3,0)</f>
        <v>0</v>
      </c>
      <c r="E11" s="22">
        <f>IF(PedBerEnt!$M$4&lt;&gt;0,INDEX(tblPoeder,PedBerEnt!$N$4,$A11+1)*PedBerEnt!$M$4,0)</f>
        <v>0</v>
      </c>
      <c r="F11" s="22">
        <f>IF(PedBerEnt!$M$5&lt;&gt;0,INDEX(tblPoeder,PedBerEnt!$N$5,$A11+1)*PedBerEnt!$M$5,0)</f>
        <v>0</v>
      </c>
      <c r="G11" s="22">
        <f t="shared" si="0"/>
        <v>0</v>
      </c>
      <c r="H11">
        <v>0</v>
      </c>
    </row>
    <row r="12" spans="1:20" x14ac:dyDescent="0.2">
      <c r="A12" s="154">
        <v>11</v>
      </c>
      <c r="B12" s="154" t="s">
        <v>969</v>
      </c>
      <c r="C12" s="22">
        <f>IF(PedBerEnt!$M$2&lt;&gt;0,INDEX(tblPerOs,_Ped_Ent_Keuze_1,A12+1)*PedBerEnt!$M$2,0)</f>
        <v>0</v>
      </c>
      <c r="D12" s="22">
        <f>IF(PedBerEnt!$M$3&lt;&gt;0,INDEX(tblPoeder,PedBerEnt!$N$3,$A12+1)*PedBerEnt!$M$3,0)</f>
        <v>0</v>
      </c>
      <c r="E12" s="22">
        <f>IF(PedBerEnt!$M$4&lt;&gt;0,INDEX(tblPoeder,PedBerEnt!$N$4,$A12+1)*PedBerEnt!$M$4,0)</f>
        <v>0</v>
      </c>
      <c r="F12" s="22">
        <f>IF(PedBerEnt!$M$5&lt;&gt;0,INDEX(tblPoeder,PedBerEnt!$N$5,$A12+1)*PedBerEnt!$M$5,0)</f>
        <v>0</v>
      </c>
      <c r="G12" s="22">
        <f t="shared" si="0"/>
        <v>0</v>
      </c>
      <c r="H12">
        <v>0</v>
      </c>
    </row>
    <row r="13" spans="1:20" x14ac:dyDescent="0.2">
      <c r="A13" s="154">
        <v>12</v>
      </c>
      <c r="B13" s="154" t="s">
        <v>622</v>
      </c>
      <c r="C13" s="22">
        <f>IF(PedBerEnt!$M$2&lt;&gt;0,INDEX(tblPerOs,_Ped_Ent_Keuze_1,A13+1)*PedBerEnt!$M$2,0)</f>
        <v>0</v>
      </c>
      <c r="D13" s="22">
        <f>IF(PedBerEnt!$M$3&lt;&gt;0,INDEX(tblPoeder,PedBerEnt!$N$3,$A13+1)*PedBerEnt!$M$3,0)</f>
        <v>0</v>
      </c>
      <c r="E13" s="22">
        <f>IF(PedBerEnt!$M$4&lt;&gt;0,INDEX(tblPoeder,PedBerEnt!$N$4,$A13+1)*PedBerEnt!$M$4,0)</f>
        <v>0</v>
      </c>
      <c r="F13" s="22">
        <f>IF(PedBerEnt!$M$5&lt;&gt;0,INDEX(tblPoeder,PedBerEnt!$N$5,$A13+1)*PedBerEnt!$M$5,0)</f>
        <v>0</v>
      </c>
      <c r="G13" s="22">
        <f t="shared" si="0"/>
        <v>0</v>
      </c>
      <c r="H13">
        <v>0</v>
      </c>
    </row>
    <row r="16" spans="1:20" x14ac:dyDescent="0.2">
      <c r="B16" s="154" t="s">
        <v>461</v>
      </c>
      <c r="D16" s="321" t="str">
        <f>IF(OR(_Ped_Ent_Opm="",_Ped_Ent_Opm=0),"","verw")</f>
        <v/>
      </c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8" type="noConversion"/>
  <pageMargins left="0" right="0" top="0" bottom="0" header="0" footer="0"/>
  <pageSetup paperSize="9" orientation="landscape" r:id="rId2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O40"/>
  <sheetViews>
    <sheetView workbookViewId="0">
      <selection activeCell="A28" sqref="A28:I28"/>
    </sheetView>
  </sheetViews>
  <sheetFormatPr defaultRowHeight="12.75" x14ac:dyDescent="0.2"/>
  <cols>
    <col min="1" max="1" width="16.42578125" customWidth="1"/>
    <col min="2" max="2" width="12" bestFit="1" customWidth="1"/>
    <col min="3" max="3" width="9.42578125" bestFit="1" customWidth="1"/>
    <col min="4" max="9" width="12" bestFit="1" customWidth="1"/>
    <col min="10" max="10" width="8.140625" bestFit="1" customWidth="1"/>
    <col min="11" max="11" width="24.5703125" customWidth="1"/>
    <col min="12" max="13" width="8.140625" bestFit="1" customWidth="1"/>
    <col min="14" max="14" width="8.42578125" bestFit="1" customWidth="1"/>
    <col min="15" max="15" width="4" bestFit="1" customWidth="1"/>
    <col min="16" max="17" width="7.7109375" customWidth="1"/>
  </cols>
  <sheetData>
    <row r="1" spans="1:15" x14ac:dyDescent="0.2">
      <c r="A1" s="361"/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5" x14ac:dyDescent="0.2">
      <c r="B2" t="s">
        <v>253</v>
      </c>
      <c r="C2" t="s">
        <v>120</v>
      </c>
      <c r="D2" s="153" t="s">
        <v>5107</v>
      </c>
      <c r="E2" s="21" t="s">
        <v>114</v>
      </c>
      <c r="F2" t="s">
        <v>323</v>
      </c>
      <c r="G2" t="s">
        <v>200</v>
      </c>
      <c r="H2" t="s">
        <v>116</v>
      </c>
      <c r="I2" t="s">
        <v>239</v>
      </c>
      <c r="J2" t="s">
        <v>240</v>
      </c>
      <c r="K2" t="s">
        <v>241</v>
      </c>
      <c r="L2" t="s">
        <v>242</v>
      </c>
      <c r="M2" t="s">
        <v>203</v>
      </c>
      <c r="N2" t="s">
        <v>117</v>
      </c>
      <c r="O2" t="s">
        <v>206</v>
      </c>
    </row>
    <row r="3" spans="1:15" x14ac:dyDescent="0.2">
      <c r="A3" t="s">
        <v>352</v>
      </c>
      <c r="D3">
        <v>0</v>
      </c>
      <c r="E3">
        <f>IF(D3&lt;50,D3/10,IF(D3&lt;146,D3-45,(D3-125)*5))</f>
        <v>0</v>
      </c>
      <c r="F3">
        <f>ROUND(E3*24+ROUND(IF(AND(_Ped_TPN_Keuze=2,_Pat_Gewicht/10&lt;=50,_Ped_TPN_SST1Keuze&lt;11),F4*2+2*(F7+F8),2*(F7+F8)+4*(F9+F10))/24,0)*24,0)</f>
        <v>0</v>
      </c>
    </row>
    <row r="4" spans="1:15" x14ac:dyDescent="0.2">
      <c r="A4" t="s">
        <v>245</v>
      </c>
      <c r="B4">
        <v>1</v>
      </c>
      <c r="D4">
        <f>F4/24</f>
        <v>0</v>
      </c>
      <c r="E4">
        <v>0</v>
      </c>
      <c r="F4">
        <f>IF(AND(OR(_Ped_TPN_SST1Keuze&lt;11,_Pat_Gewicht/10&gt;50),B4&lt;&gt;1),_Ped_TPN_Vol,0)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2">
      <c r="A5" t="s">
        <v>322</v>
      </c>
      <c r="E5">
        <v>0</v>
      </c>
      <c r="F5">
        <f>IF(AND(_Pat_Gewicht/10&gt;=16,_Ped_TPN_Keuze&gt;1,OR(_Ped_TPN_SST1Keuze&lt;11,_Pat_Gewicht/10&gt;50)),E5,0)</f>
        <v>0</v>
      </c>
    </row>
    <row r="6" spans="1:15" x14ac:dyDescent="0.2">
      <c r="A6" s="361" t="s">
        <v>306</v>
      </c>
      <c r="B6">
        <v>1</v>
      </c>
      <c r="F6">
        <f>IF(_Pat_Gewicht/10&gt;50,F3-F7-F8-F9-F10,IF(OR(_Ped_TPN_Keuze=1,_Ped_TPN_SST1Keuze&gt;=11),F3-F7-F8-F9-F10,F3-F4-F5-F7-F8))</f>
        <v>0</v>
      </c>
      <c r="G6">
        <f>INDEX(J27:L40,B6,3)*F6</f>
        <v>0</v>
      </c>
      <c r="I6">
        <f>INDEX(J27:M40,B6,4)*F6</f>
        <v>0</v>
      </c>
      <c r="J6">
        <f>INDEX(J27:N40,B6,5)*F6</f>
        <v>0</v>
      </c>
      <c r="N6">
        <f>4*G6</f>
        <v>0</v>
      </c>
    </row>
    <row r="7" spans="1:15" x14ac:dyDescent="0.2">
      <c r="A7" t="s">
        <v>347</v>
      </c>
      <c r="C7" t="b">
        <v>0</v>
      </c>
      <c r="D7">
        <f>IF(E7&lt;50,E7/10,E7-45)</f>
        <v>0</v>
      </c>
      <c r="E7">
        <v>0</v>
      </c>
      <c r="F7">
        <f>ROUND(IF(C7,E7,0),0)</f>
        <v>0</v>
      </c>
      <c r="I7">
        <f>F7*0.5</f>
        <v>0</v>
      </c>
    </row>
    <row r="8" spans="1:15" x14ac:dyDescent="0.2">
      <c r="A8" t="s">
        <v>236</v>
      </c>
      <c r="C8" t="b">
        <v>0</v>
      </c>
      <c r="D8">
        <f>IF(E8&lt;50,E8/10,E8-45)</f>
        <v>0</v>
      </c>
      <c r="E8">
        <v>0</v>
      </c>
      <c r="F8">
        <f>ROUND(IF(C8,E8,0),0)</f>
        <v>0</v>
      </c>
      <c r="J8">
        <f>F8</f>
        <v>0</v>
      </c>
    </row>
    <row r="9" spans="1:15" x14ac:dyDescent="0.2">
      <c r="A9" t="s">
        <v>348</v>
      </c>
      <c r="C9" t="b">
        <v>0</v>
      </c>
      <c r="D9">
        <f>_Ped_TPN_CaGlucVol</f>
        <v>0</v>
      </c>
      <c r="E9">
        <v>0</v>
      </c>
      <c r="F9">
        <f>ROUND(IF(C9,D9,0),0)</f>
        <v>0</v>
      </c>
      <c r="K9">
        <f>F9*0.225</f>
        <v>0</v>
      </c>
    </row>
    <row r="10" spans="1:15" x14ac:dyDescent="0.2">
      <c r="A10" t="s">
        <v>329</v>
      </c>
      <c r="C10" t="b">
        <v>0</v>
      </c>
      <c r="D10">
        <f>_Ped_TPN_MgClVol</f>
        <v>0</v>
      </c>
      <c r="E10">
        <v>0</v>
      </c>
      <c r="F10">
        <f>ROUND(IF(C10,D10,0),0)</f>
        <v>0</v>
      </c>
      <c r="L10">
        <f>F10*0.5</f>
        <v>0</v>
      </c>
    </row>
    <row r="11" spans="1:15" x14ac:dyDescent="0.2">
      <c r="A11" t="s">
        <v>327</v>
      </c>
      <c r="C11" t="b">
        <v>0</v>
      </c>
      <c r="D11">
        <f>IF(E11&lt;50,E11/10,E11-45)</f>
        <v>0</v>
      </c>
      <c r="E11"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2">
      <c r="A12" t="s">
        <v>207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2">
      <c r="A13" t="s">
        <v>208</v>
      </c>
      <c r="F13">
        <f>F12-F14-F15-F16</f>
        <v>0</v>
      </c>
      <c r="N13">
        <f>9*O13</f>
        <v>0</v>
      </c>
      <c r="O13">
        <f>0.2*F13</f>
        <v>0</v>
      </c>
    </row>
    <row r="14" spans="1:15" x14ac:dyDescent="0.2">
      <c r="A14" t="s">
        <v>209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2">
      <c r="A15" t="s">
        <v>210</v>
      </c>
      <c r="C15" t="b">
        <v>0</v>
      </c>
      <c r="D15">
        <f>IF(E15&lt;50,E15/10,E15-45)</f>
        <v>0.1</v>
      </c>
      <c r="E15">
        <v>1</v>
      </c>
      <c r="F15">
        <f>IF(AND(C15,_Pat_Gewicht/10&gt;=7),D15,0)</f>
        <v>0</v>
      </c>
    </row>
    <row r="16" spans="1:15" s="320" customFormat="1" x14ac:dyDescent="0.2">
      <c r="A16" s="321" t="s">
        <v>1158</v>
      </c>
      <c r="C16" s="320">
        <v>0</v>
      </c>
      <c r="D16" s="320">
        <f>IF(E16&lt;50,E16/10,E16-45)</f>
        <v>4.9000000000000004</v>
      </c>
      <c r="E16" s="320">
        <v>49</v>
      </c>
      <c r="F16" s="320">
        <f>IF(C16,D16,0)</f>
        <v>0</v>
      </c>
    </row>
    <row r="17" spans="1:15" x14ac:dyDescent="0.2">
      <c r="A17" t="s">
        <v>163</v>
      </c>
      <c r="F17">
        <f>IF(AND(_Ped_TPN_Keuze=2,_Pat_Gewicht/10&lt;=50,_Ped_TPN_SST1Keuze&lt;11),ROUND((F9*4+F10*4)/10,0)*10,IF(AND(_Ped_TPN_Keuze=2,_Pat_Gewicht/10&gt;50),100,0))</f>
        <v>0</v>
      </c>
      <c r="G17">
        <f>F17*0.1</f>
        <v>0</v>
      </c>
    </row>
    <row r="18" spans="1:15" x14ac:dyDescent="0.2">
      <c r="A18" t="s">
        <v>115</v>
      </c>
      <c r="F18">
        <f>IF(_Pat_Gewicht&gt;0,(ROUND(PedBerTPN!F11*1.5/(_Pat_Gewicht/10)/24/0.01,1)*24-PedBerTPN!F11),0)</f>
        <v>0</v>
      </c>
      <c r="G18">
        <f>F18*0.05</f>
        <v>0</v>
      </c>
      <c r="N18">
        <f>4*G18</f>
        <v>0</v>
      </c>
    </row>
    <row r="19" spans="1:15" x14ac:dyDescent="0.2">
      <c r="A19" t="s">
        <v>353</v>
      </c>
      <c r="D19">
        <v>0</v>
      </c>
      <c r="E19">
        <f>IF(D19&lt;50,D19/10,D19-45)</f>
        <v>0</v>
      </c>
      <c r="F19">
        <f>E19*24</f>
        <v>0</v>
      </c>
    </row>
    <row r="20" spans="1:15" x14ac:dyDescent="0.2">
      <c r="A20" t="s">
        <v>306</v>
      </c>
      <c r="B20">
        <v>1</v>
      </c>
      <c r="F20">
        <f>IF(F19-F21-F22&lt;0,0,F19-F21-F22)</f>
        <v>0</v>
      </c>
      <c r="G20">
        <f>INDEX(J27:L40,B20,3)*F20</f>
        <v>0</v>
      </c>
      <c r="I20">
        <f>INDEX(J27:M40,B20,4)*F20</f>
        <v>0</v>
      </c>
      <c r="J20">
        <f>INDEX(J27:N40,B6,5)*F20</f>
        <v>0</v>
      </c>
      <c r="N20">
        <f>4*G20</f>
        <v>0</v>
      </c>
    </row>
    <row r="21" spans="1:15" x14ac:dyDescent="0.2">
      <c r="A21" t="s">
        <v>347</v>
      </c>
      <c r="C21" t="b">
        <v>0</v>
      </c>
      <c r="D21">
        <f>IF(E21&lt;50,E21/10,E21-45)</f>
        <v>0</v>
      </c>
      <c r="E21">
        <v>0</v>
      </c>
      <c r="F21">
        <f>IF(AND(D21+D22&lt;F19,C21),D21,0)</f>
        <v>0</v>
      </c>
      <c r="I21">
        <f>F21*0.5</f>
        <v>0</v>
      </c>
    </row>
    <row r="22" spans="1:15" x14ac:dyDescent="0.2">
      <c r="A22" t="s">
        <v>236</v>
      </c>
      <c r="C22" t="b">
        <v>0</v>
      </c>
      <c r="D22">
        <f>IF(E22&lt;50,E22/10,E22-45)</f>
        <v>0</v>
      </c>
      <c r="E22">
        <v>0</v>
      </c>
      <c r="F22">
        <f>IF(AND(C22,D21+D22&lt;F19),D22,0)</f>
        <v>0</v>
      </c>
      <c r="J22">
        <f>F22</f>
        <v>0</v>
      </c>
    </row>
    <row r="24" spans="1:15" x14ac:dyDescent="0.2">
      <c r="A24" t="s">
        <v>118</v>
      </c>
      <c r="F24">
        <f>IF(_Pat_Gewicht/10&gt;50,SUM(F3+F4+F12+F18+F17+F19),IF(_Ped_TPN_Keuze=1,SUM(F3+F12+F17+F18+F19),SUM(F3+F9+F10+F12+F17+F18+F19)))</f>
        <v>0</v>
      </c>
      <c r="G24">
        <f t="shared" ref="G24:N24" si="1">SUM(G3:G22)</f>
        <v>0</v>
      </c>
      <c r="H24">
        <f t="shared" si="1"/>
        <v>0</v>
      </c>
      <c r="I24">
        <f t="shared" si="1"/>
        <v>0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N24">
        <f t="shared" si="1"/>
        <v>0</v>
      </c>
      <c r="O24">
        <f>SUM(O4:O22)</f>
        <v>0</v>
      </c>
    </row>
    <row r="26" spans="1:15" x14ac:dyDescent="0.2">
      <c r="A26" s="54"/>
      <c r="B26" s="54" t="s">
        <v>237</v>
      </c>
      <c r="C26" s="54" t="s">
        <v>238</v>
      </c>
      <c r="D26" s="54" t="s">
        <v>239</v>
      </c>
      <c r="E26" s="54" t="s">
        <v>240</v>
      </c>
      <c r="F26" s="54" t="s">
        <v>241</v>
      </c>
      <c r="G26" s="54" t="s">
        <v>242</v>
      </c>
      <c r="H26" s="54" t="s">
        <v>243</v>
      </c>
      <c r="I26" s="54" t="s">
        <v>244</v>
      </c>
      <c r="L26" t="s">
        <v>112</v>
      </c>
      <c r="M26" t="s">
        <v>113</v>
      </c>
      <c r="N26" t="s">
        <v>88</v>
      </c>
    </row>
    <row r="27" spans="1:15" x14ac:dyDescent="0.2">
      <c r="J27">
        <v>1</v>
      </c>
      <c r="K27" t="s">
        <v>314</v>
      </c>
      <c r="L27">
        <v>0.05</v>
      </c>
      <c r="M27">
        <v>0</v>
      </c>
    </row>
    <row r="28" spans="1:15" x14ac:dyDescent="0.2">
      <c r="A28" s="54" t="s">
        <v>346</v>
      </c>
      <c r="B28" s="54">
        <v>0.08</v>
      </c>
      <c r="C28" s="54">
        <v>0</v>
      </c>
      <c r="D28" s="54">
        <v>8.0000000000000002E-3</v>
      </c>
      <c r="E28" s="54">
        <v>0.02</v>
      </c>
      <c r="F28" s="54">
        <v>2.8000000000000001E-2</v>
      </c>
      <c r="G28" s="54">
        <v>8.0000000000000002E-3</v>
      </c>
      <c r="H28" s="54">
        <v>2.4E-2</v>
      </c>
      <c r="I28" s="54">
        <v>0.32</v>
      </c>
      <c r="J28">
        <v>2</v>
      </c>
      <c r="K28" t="s">
        <v>315</v>
      </c>
      <c r="L28">
        <v>0.1</v>
      </c>
      <c r="M28">
        <v>0</v>
      </c>
    </row>
    <row r="29" spans="1:15" x14ac:dyDescent="0.2">
      <c r="A29" s="54" t="s">
        <v>345</v>
      </c>
      <c r="B29" s="54">
        <v>7.3999999999999996E-2</v>
      </c>
      <c r="C29" s="54">
        <v>0</v>
      </c>
      <c r="D29" s="54">
        <f>(0.5*0.5)/35</f>
        <v>7.1428571428571426E-3</v>
      </c>
      <c r="E29" s="54">
        <f>1.7/100</f>
        <v>1.7000000000000001E-2</v>
      </c>
      <c r="F29" s="54">
        <v>2.5000000000000001E-2</v>
      </c>
      <c r="G29" s="54">
        <f>0.6/100</f>
        <v>6.0000000000000001E-3</v>
      </c>
      <c r="H29" s="54">
        <v>2.1000000000000001E-2</v>
      </c>
      <c r="I29" s="54">
        <v>0.28999999999999998</v>
      </c>
      <c r="J29">
        <v>3</v>
      </c>
      <c r="K29" t="s">
        <v>87</v>
      </c>
      <c r="L29">
        <v>0.125</v>
      </c>
    </row>
    <row r="30" spans="1:15" x14ac:dyDescent="0.2">
      <c r="A30" s="54" t="s">
        <v>346</v>
      </c>
      <c r="B30" s="54">
        <v>0.08</v>
      </c>
      <c r="C30" s="54">
        <v>0</v>
      </c>
      <c r="D30" s="54">
        <f>0.4*0.5/25</f>
        <v>8.0000000000000002E-3</v>
      </c>
      <c r="E30" s="54">
        <f>0.5/25</f>
        <v>0.02</v>
      </c>
      <c r="F30" s="54">
        <v>2.8000000000000001E-2</v>
      </c>
      <c r="G30" s="54">
        <v>8.0000000000000002E-3</v>
      </c>
      <c r="H30" s="54">
        <v>2.4E-2</v>
      </c>
      <c r="I30" s="54">
        <v>0.32</v>
      </c>
      <c r="J30">
        <v>4</v>
      </c>
      <c r="K30" t="s">
        <v>99</v>
      </c>
      <c r="L30">
        <v>0.15</v>
      </c>
      <c r="M30">
        <v>0</v>
      </c>
    </row>
    <row r="31" spans="1:15" x14ac:dyDescent="0.2">
      <c r="A31" s="54" t="s">
        <v>42</v>
      </c>
      <c r="B31" s="54">
        <v>8.7999999999999995E-2</v>
      </c>
      <c r="C31" s="54">
        <v>0</v>
      </c>
      <c r="D31" s="54">
        <f>0.5*0.4/20</f>
        <v>0.01</v>
      </c>
      <c r="E31" s="54">
        <v>2.5000000000000001E-2</v>
      </c>
      <c r="F31" s="54">
        <v>1.7999999999999999E-2</v>
      </c>
      <c r="G31" s="54">
        <v>0.01</v>
      </c>
      <c r="H31" s="54">
        <v>0.03</v>
      </c>
      <c r="I31" s="54">
        <v>0.35</v>
      </c>
      <c r="J31">
        <v>5</v>
      </c>
      <c r="K31" t="s">
        <v>86</v>
      </c>
      <c r="L31">
        <v>0.17499999999999999</v>
      </c>
    </row>
    <row r="32" spans="1:15" x14ac:dyDescent="0.2">
      <c r="A32" s="54" t="s">
        <v>43</v>
      </c>
      <c r="B32" s="54">
        <v>8.3000000000000004E-2</v>
      </c>
      <c r="C32" s="54">
        <v>0</v>
      </c>
      <c r="D32" s="54">
        <f>0.3*0.5/12</f>
        <v>1.2499999999999999E-2</v>
      </c>
      <c r="E32" s="54">
        <v>3.1E-2</v>
      </c>
      <c r="F32" s="54">
        <v>2.5999999999999999E-2</v>
      </c>
      <c r="G32" s="54">
        <v>1.2500000000000001E-2</v>
      </c>
      <c r="H32" s="54">
        <v>3.7999999999999999E-2</v>
      </c>
      <c r="I32" s="54">
        <v>0.33</v>
      </c>
      <c r="J32">
        <v>6</v>
      </c>
      <c r="K32" t="s">
        <v>97</v>
      </c>
      <c r="L32">
        <v>0.2</v>
      </c>
      <c r="M32">
        <v>0</v>
      </c>
    </row>
    <row r="33" spans="1:15" x14ac:dyDescent="0.2">
      <c r="A33" s="54" t="s">
        <v>81</v>
      </c>
      <c r="B33" s="54">
        <v>7.0000000000000007E-2</v>
      </c>
      <c r="C33" s="54">
        <v>0.24</v>
      </c>
      <c r="D33" s="54">
        <v>4.0500000000000001E-2</v>
      </c>
      <c r="E33" s="54">
        <v>2.5700000000000001E-2</v>
      </c>
      <c r="F33" s="54">
        <v>4.1000000000000003E-3</v>
      </c>
      <c r="G33" s="54">
        <v>5.0000000000000001E-3</v>
      </c>
      <c r="H33" s="54">
        <v>1.47E-2</v>
      </c>
      <c r="I33" s="54">
        <v>0.96</v>
      </c>
      <c r="J33">
        <v>7</v>
      </c>
      <c r="K33" t="s">
        <v>227</v>
      </c>
      <c r="L33">
        <v>0.25</v>
      </c>
      <c r="M33">
        <v>0</v>
      </c>
    </row>
    <row r="34" spans="1:15" x14ac:dyDescent="0.2">
      <c r="J34">
        <v>8</v>
      </c>
      <c r="K34" t="s">
        <v>226</v>
      </c>
      <c r="L34">
        <v>0.3</v>
      </c>
      <c r="M34">
        <v>0</v>
      </c>
    </row>
    <row r="35" spans="1:15" x14ac:dyDescent="0.2">
      <c r="J35">
        <v>9</v>
      </c>
      <c r="K35" t="s">
        <v>279</v>
      </c>
      <c r="L35">
        <v>0.4</v>
      </c>
      <c r="M35">
        <v>0</v>
      </c>
      <c r="N35">
        <v>0</v>
      </c>
    </row>
    <row r="36" spans="1:15" x14ac:dyDescent="0.2">
      <c r="A36" s="54" t="s">
        <v>345</v>
      </c>
      <c r="J36">
        <v>10</v>
      </c>
      <c r="K36" t="s">
        <v>98</v>
      </c>
      <c r="L36">
        <v>0.5</v>
      </c>
      <c r="M36">
        <v>0</v>
      </c>
    </row>
    <row r="37" spans="1:15" x14ac:dyDescent="0.2">
      <c r="A37" s="54" t="s">
        <v>346</v>
      </c>
      <c r="J37">
        <v>11</v>
      </c>
      <c r="K37" t="s">
        <v>469</v>
      </c>
      <c r="L37">
        <v>0.05</v>
      </c>
      <c r="M37">
        <v>7.6999999999999999E-2</v>
      </c>
      <c r="O37">
        <v>0</v>
      </c>
    </row>
    <row r="38" spans="1:15" x14ac:dyDescent="0.2">
      <c r="A38" s="54" t="s">
        <v>42</v>
      </c>
      <c r="J38">
        <v>12</v>
      </c>
      <c r="K38" t="s">
        <v>470</v>
      </c>
      <c r="L38">
        <v>0.05</v>
      </c>
      <c r="M38">
        <v>0.155</v>
      </c>
      <c r="O38">
        <v>0</v>
      </c>
    </row>
    <row r="39" spans="1:15" x14ac:dyDescent="0.2">
      <c r="A39" s="54" t="s">
        <v>43</v>
      </c>
      <c r="J39">
        <v>13</v>
      </c>
      <c r="K39" t="s">
        <v>321</v>
      </c>
      <c r="L39">
        <v>0</v>
      </c>
      <c r="M39">
        <v>0.155</v>
      </c>
      <c r="O39">
        <v>0</v>
      </c>
    </row>
    <row r="40" spans="1:15" x14ac:dyDescent="0.2">
      <c r="A40" s="54" t="s">
        <v>81</v>
      </c>
      <c r="J40">
        <v>14</v>
      </c>
      <c r="K40" s="8" t="s">
        <v>471</v>
      </c>
      <c r="L40">
        <v>0</v>
      </c>
      <c r="M40">
        <v>0.13100000000000001</v>
      </c>
      <c r="N40">
        <v>5.4000000000000003E-3</v>
      </c>
      <c r="O40">
        <v>0</v>
      </c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8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E44"/>
  <sheetViews>
    <sheetView workbookViewId="0">
      <selection activeCell="B18" sqref="B18"/>
    </sheetView>
  </sheetViews>
  <sheetFormatPr defaultRowHeight="12.75" x14ac:dyDescent="0.2"/>
  <cols>
    <col min="1" max="1" width="11" customWidth="1"/>
    <col min="2" max="2" width="9.7109375" customWidth="1"/>
  </cols>
  <sheetData>
    <row r="1" spans="1:5" x14ac:dyDescent="0.2">
      <c r="A1" s="361"/>
      <c r="B1" t="s">
        <v>165</v>
      </c>
      <c r="C1" t="s">
        <v>201</v>
      </c>
      <c r="D1" t="s">
        <v>289</v>
      </c>
      <c r="E1" t="s">
        <v>201</v>
      </c>
    </row>
    <row r="2" spans="1:5" x14ac:dyDescent="0.2">
      <c r="A2" s="9" t="s">
        <v>349</v>
      </c>
      <c r="B2" s="10">
        <f>SUM(B3:B4)</f>
        <v>0</v>
      </c>
      <c r="C2" s="10">
        <f>IF(_Pat_Gewicht&gt;0,10*B2/_Pat_Gewicht,0)</f>
        <v>0</v>
      </c>
      <c r="D2" s="10"/>
      <c r="E2" s="11"/>
    </row>
    <row r="3" spans="1:5" x14ac:dyDescent="0.2">
      <c r="A3" s="4" t="s">
        <v>213</v>
      </c>
      <c r="B3">
        <f>PedBerEnt!M2</f>
        <v>0</v>
      </c>
    </row>
    <row r="4" spans="1:5" x14ac:dyDescent="0.2">
      <c r="A4" s="4" t="s">
        <v>211</v>
      </c>
      <c r="B4">
        <f>(PedBerMedIV!K23+PedBerTPN!F24+PedBerIVenPM!F9+GlobBerMedDisc!P33)</f>
        <v>0</v>
      </c>
    </row>
    <row r="5" spans="1:5" x14ac:dyDescent="0.2">
      <c r="A5" s="9" t="s">
        <v>200</v>
      </c>
      <c r="B5" s="10">
        <f>SUM(B6:B8)</f>
        <v>0</v>
      </c>
      <c r="C5" s="10">
        <f>IF(_Pat_Gewicht&gt;0, B5/(_Pat_Gewicht/10),0)</f>
        <v>0</v>
      </c>
      <c r="D5" s="10">
        <f>SUM(D7:D7)</f>
        <v>0</v>
      </c>
      <c r="E5" s="11">
        <f>IF(_Pat_Gewicht&gt;0,D5/(_Pat_Gewicht/10),0)</f>
        <v>0</v>
      </c>
    </row>
    <row r="6" spans="1:5" x14ac:dyDescent="0.2">
      <c r="A6" s="379" t="s">
        <v>213</v>
      </c>
      <c r="B6">
        <f>PedBerEnt!G4</f>
        <v>0</v>
      </c>
      <c r="C6" s="7" t="s">
        <v>218</v>
      </c>
      <c r="D6" s="7" t="s">
        <v>218</v>
      </c>
    </row>
    <row r="7" spans="1:5" x14ac:dyDescent="0.2">
      <c r="A7" s="4" t="s">
        <v>217</v>
      </c>
      <c r="B7">
        <f>GlobBerMedDisc!S33+PedBerMedIV!L23+PedBerMedIV!M23</f>
        <v>0</v>
      </c>
      <c r="D7">
        <f>B7*4</f>
        <v>0</v>
      </c>
    </row>
    <row r="8" spans="1:5" x14ac:dyDescent="0.2">
      <c r="A8" s="4" t="s">
        <v>245</v>
      </c>
      <c r="B8">
        <f>PedBerTPN!G24</f>
        <v>0</v>
      </c>
      <c r="C8" s="7" t="s">
        <v>218</v>
      </c>
      <c r="D8" s="7" t="s">
        <v>218</v>
      </c>
    </row>
    <row r="9" spans="1:5" x14ac:dyDescent="0.2">
      <c r="A9" s="9" t="s">
        <v>205</v>
      </c>
      <c r="B9" s="10">
        <f>SUM(B10:B12)</f>
        <v>0</v>
      </c>
      <c r="C9" s="10">
        <f>IF(_Pat_Gewicht&gt;0,B9/(_Pat_Gewicht/10),0)</f>
        <v>0</v>
      </c>
      <c r="D9" s="10">
        <f>SUM(D10:D11)</f>
        <v>0</v>
      </c>
      <c r="E9" s="11">
        <f>IF(_Pat_Gewicht&gt;0,D9/(_Pat_Gewicht/10),0)</f>
        <v>0</v>
      </c>
    </row>
    <row r="10" spans="1:5" x14ac:dyDescent="0.2">
      <c r="A10" s="4" t="s">
        <v>213</v>
      </c>
      <c r="B10">
        <f>PedBerEnt!G3</f>
        <v>0</v>
      </c>
      <c r="C10" s="7" t="s">
        <v>218</v>
      </c>
      <c r="D10" s="7" t="s">
        <v>218</v>
      </c>
    </row>
    <row r="11" spans="1:5" x14ac:dyDescent="0.2">
      <c r="A11" s="4" t="s">
        <v>211</v>
      </c>
      <c r="B11">
        <f>PedBerTPN!H24</f>
        <v>0</v>
      </c>
      <c r="C11" s="7" t="s">
        <v>218</v>
      </c>
      <c r="D11" s="7" t="s">
        <v>218</v>
      </c>
    </row>
    <row r="12" spans="1:5" x14ac:dyDescent="0.2">
      <c r="A12" s="4" t="s">
        <v>60</v>
      </c>
      <c r="B12">
        <f>PedBerMedIV!Q23</f>
        <v>0</v>
      </c>
      <c r="C12" s="7"/>
      <c r="D12" s="7"/>
    </row>
    <row r="13" spans="1:5" x14ac:dyDescent="0.2">
      <c r="A13" s="9" t="s">
        <v>206</v>
      </c>
      <c r="B13" s="10">
        <f>SUM(B14:B16)</f>
        <v>0</v>
      </c>
      <c r="C13" s="10">
        <f>SUM(C14:C16)</f>
        <v>0</v>
      </c>
      <c r="D13" s="10">
        <f>SUM(D14:D15)</f>
        <v>0</v>
      </c>
      <c r="E13" s="11">
        <f>IF(_Pat_Gewicht&gt;0,D13/(_Pat_Gewicht/10),0)</f>
        <v>0</v>
      </c>
    </row>
    <row r="14" spans="1:5" x14ac:dyDescent="0.2">
      <c r="A14" s="4" t="s">
        <v>213</v>
      </c>
      <c r="B14">
        <f>PedBerEnt!G5</f>
        <v>0</v>
      </c>
      <c r="C14">
        <f>IF(_Pat_Gewicht&gt;0,B14/(_Pat_Gewicht/10),0)</f>
        <v>0</v>
      </c>
      <c r="D14" s="7" t="s">
        <v>218</v>
      </c>
    </row>
    <row r="15" spans="1:5" x14ac:dyDescent="0.2">
      <c r="A15" s="4" t="s">
        <v>211</v>
      </c>
      <c r="B15">
        <f>PedBerTPN!O24</f>
        <v>0</v>
      </c>
      <c r="C15">
        <f>IF(_Pat_Gewicht&gt;0,B15/(_Pat_Gewicht/10),0)</f>
        <v>0</v>
      </c>
      <c r="D15" s="7" t="s">
        <v>218</v>
      </c>
    </row>
    <row r="16" spans="1:5" x14ac:dyDescent="0.2">
      <c r="A16" s="4" t="s">
        <v>212</v>
      </c>
      <c r="B16">
        <f>PedBerMedIV!R23</f>
        <v>0</v>
      </c>
      <c r="D16">
        <f>B16*9</f>
        <v>0</v>
      </c>
    </row>
    <row r="17" spans="1:5" x14ac:dyDescent="0.2">
      <c r="A17" s="9" t="s">
        <v>350</v>
      </c>
      <c r="B17" s="10">
        <f>SUM(B18:B22)</f>
        <v>0</v>
      </c>
      <c r="C17" s="10">
        <f>SUM(C18:C22)</f>
        <v>0</v>
      </c>
      <c r="D17" s="10"/>
      <c r="E17" s="11"/>
    </row>
    <row r="18" spans="1:5" x14ac:dyDescent="0.2">
      <c r="A18" s="4" t="s">
        <v>213</v>
      </c>
      <c r="B18">
        <f>PedBerEnt!G6</f>
        <v>0</v>
      </c>
      <c r="C18">
        <f>IF(_Pat_Gewicht&gt;0,B18/(_Pat_Gewicht/10),0)</f>
        <v>0</v>
      </c>
    </row>
    <row r="19" spans="1:5" x14ac:dyDescent="0.2">
      <c r="A19" s="4" t="s">
        <v>254</v>
      </c>
      <c r="B19">
        <f>PedBerIVenPM!E9</f>
        <v>0</v>
      </c>
      <c r="C19">
        <f>IF(_Pat_Gewicht&gt;0,B19/(_Pat_Gewicht/10),0)</f>
        <v>0</v>
      </c>
    </row>
    <row r="20" spans="1:5" x14ac:dyDescent="0.2">
      <c r="A20" s="4" t="s">
        <v>217</v>
      </c>
      <c r="B20">
        <f>GlobBerMedDisc!R33</f>
        <v>0</v>
      </c>
      <c r="C20">
        <f>IF(_Pat_Gewicht&gt;0,B20/(_Pat_Gewicht/10),0)</f>
        <v>0</v>
      </c>
    </row>
    <row r="21" spans="1:5" x14ac:dyDescent="0.2">
      <c r="A21" s="3">
        <v>8.9999999999999993E-3</v>
      </c>
      <c r="B21">
        <f>PedBerMedIV!O23</f>
        <v>0</v>
      </c>
      <c r="C21">
        <f>IF(_Pat_Gewicht&gt;0,B21/(_Pat_Gewicht/10),0)</f>
        <v>0</v>
      </c>
    </row>
    <row r="22" spans="1:5" x14ac:dyDescent="0.2">
      <c r="A22" s="3" t="s">
        <v>245</v>
      </c>
      <c r="B22">
        <f>PedBerTPN!I24</f>
        <v>0</v>
      </c>
      <c r="C22">
        <f>IF(_Pat_Gewicht&gt;0,B22/(_Pat_Gewicht/10),0)</f>
        <v>0</v>
      </c>
    </row>
    <row r="23" spans="1:5" x14ac:dyDescent="0.2">
      <c r="A23" s="9" t="s">
        <v>351</v>
      </c>
      <c r="B23" s="10">
        <f>SUM(B24:B26)</f>
        <v>0</v>
      </c>
      <c r="C23" s="10">
        <f>SUM(C24:C26)</f>
        <v>0</v>
      </c>
      <c r="D23" s="10"/>
      <c r="E23" s="11"/>
    </row>
    <row r="24" spans="1:5" x14ac:dyDescent="0.2">
      <c r="A24" s="4" t="s">
        <v>213</v>
      </c>
      <c r="B24">
        <f>PedBerEnt!G7</f>
        <v>0</v>
      </c>
      <c r="C24">
        <f>IF(_Pat_Gewicht&gt;0,B24/(_Pat_Gewicht/10),0)</f>
        <v>0</v>
      </c>
    </row>
    <row r="25" spans="1:5" x14ac:dyDescent="0.2">
      <c r="A25" s="4" t="s">
        <v>245</v>
      </c>
      <c r="B25">
        <f>PedBerTPN!J24</f>
        <v>0</v>
      </c>
      <c r="C25">
        <f>IF(_Pat_Gewicht&gt;0,B25/(_Pat_Gewicht/10),0)</f>
        <v>0</v>
      </c>
    </row>
    <row r="26" spans="1:5" x14ac:dyDescent="0.2">
      <c r="A26" s="4" t="s">
        <v>217</v>
      </c>
      <c r="B26">
        <f>PedBerMedIV!P23</f>
        <v>0</v>
      </c>
      <c r="C26">
        <f>IF(_Pat_Gewicht&gt;0,B26/(_Pat_Gewicht/10),0)</f>
        <v>0</v>
      </c>
    </row>
    <row r="27" spans="1:5" x14ac:dyDescent="0.2">
      <c r="A27" s="9" t="s">
        <v>202</v>
      </c>
      <c r="B27" s="10">
        <f>SUM(B28:B29)</f>
        <v>0</v>
      </c>
      <c r="C27" s="10">
        <f>SUM(C28:C29)</f>
        <v>0</v>
      </c>
      <c r="D27" s="10"/>
      <c r="E27" s="11"/>
    </row>
    <row r="28" spans="1:5" x14ac:dyDescent="0.2">
      <c r="A28" s="4" t="s">
        <v>213</v>
      </c>
      <c r="B28">
        <f>PedBerEnt!G8</f>
        <v>0</v>
      </c>
      <c r="C28">
        <f>IF(_Pat_Gewicht&gt;0,B28/(_Pat_Gewicht/10),0)</f>
        <v>0</v>
      </c>
    </row>
    <row r="29" spans="1:5" x14ac:dyDescent="0.2">
      <c r="A29" s="4" t="s">
        <v>245</v>
      </c>
      <c r="B29">
        <f>PedBerTPN!K24</f>
        <v>0</v>
      </c>
      <c r="C29">
        <f>IF(_Pat_Gewicht&gt;0,B29/(_Pat_Gewicht/10),0)</f>
        <v>0</v>
      </c>
    </row>
    <row r="30" spans="1:5" x14ac:dyDescent="0.2">
      <c r="A30" s="9" t="s">
        <v>203</v>
      </c>
      <c r="B30" s="10">
        <f>SUM(B31:B32)</f>
        <v>0</v>
      </c>
      <c r="C30" s="10">
        <f>SUM(C31:C32)</f>
        <v>0</v>
      </c>
      <c r="D30" s="10"/>
      <c r="E30" s="11"/>
    </row>
    <row r="31" spans="1:5" x14ac:dyDescent="0.2">
      <c r="A31" s="4" t="s">
        <v>213</v>
      </c>
      <c r="B31">
        <f>PedBerEnt!G9</f>
        <v>0</v>
      </c>
      <c r="C31">
        <f>IF(_Pat_Gewicht&gt;0,B31/(_Pat_Gewicht/10),0)</f>
        <v>0</v>
      </c>
    </row>
    <row r="32" spans="1:5" x14ac:dyDescent="0.2">
      <c r="A32" s="4" t="s">
        <v>245</v>
      </c>
      <c r="B32">
        <f>PedBerTPN!M24</f>
        <v>0</v>
      </c>
      <c r="C32">
        <f>IF(_Pat_Gewicht&gt;0,B32/(_Pat_Gewicht/10),0)</f>
        <v>0</v>
      </c>
    </row>
    <row r="33" spans="1:5" x14ac:dyDescent="0.2">
      <c r="A33" s="9" t="s">
        <v>204</v>
      </c>
      <c r="B33" s="10">
        <f>SUM(B34:B35)</f>
        <v>0</v>
      </c>
      <c r="C33" s="10">
        <f>SUM(C34:C35)</f>
        <v>0</v>
      </c>
      <c r="D33" s="10"/>
      <c r="E33" s="11"/>
    </row>
    <row r="34" spans="1:5" x14ac:dyDescent="0.2">
      <c r="A34" s="4" t="s">
        <v>213</v>
      </c>
      <c r="B34">
        <f>PedBerEnt!G10</f>
        <v>0</v>
      </c>
      <c r="C34">
        <f>IF(_Pat_Gewicht&gt;0,B34/(_Pat_Gewicht/10),0)</f>
        <v>0</v>
      </c>
    </row>
    <row r="35" spans="1:5" x14ac:dyDescent="0.2">
      <c r="A35" s="4" t="s">
        <v>211</v>
      </c>
      <c r="B35">
        <f>PedBerTPN!L24</f>
        <v>0</v>
      </c>
      <c r="C35">
        <f>IF(_Pat_Gewicht&gt;0,B35/(_Pat_Gewicht/10),0)</f>
        <v>0</v>
      </c>
    </row>
    <row r="36" spans="1:5" x14ac:dyDescent="0.2">
      <c r="A36" s="9" t="s">
        <v>1063</v>
      </c>
      <c r="B36" s="10">
        <f>SUM(B37)</f>
        <v>0</v>
      </c>
      <c r="C36" s="10">
        <f>SUM(C37)</f>
        <v>0</v>
      </c>
      <c r="D36" s="10"/>
      <c r="E36" s="11"/>
    </row>
    <row r="37" spans="1:5" x14ac:dyDescent="0.2">
      <c r="A37" s="4" t="s">
        <v>213</v>
      </c>
      <c r="B37" s="320">
        <f>PedBerEnt!G11</f>
        <v>0</v>
      </c>
      <c r="C37" s="320">
        <f>IF(_Pat_Gewicht&gt;0,B37/(_Pat_Gewicht/10),0)</f>
        <v>0</v>
      </c>
      <c r="D37" s="320"/>
      <c r="E37" s="320"/>
    </row>
    <row r="38" spans="1:5" x14ac:dyDescent="0.2">
      <c r="A38" s="9" t="s">
        <v>1062</v>
      </c>
      <c r="B38" s="10">
        <f>SUM(B39)</f>
        <v>0</v>
      </c>
      <c r="C38" s="10">
        <f>SUM(C39)</f>
        <v>0</v>
      </c>
      <c r="D38" s="10"/>
      <c r="E38" s="11"/>
    </row>
    <row r="39" spans="1:5" x14ac:dyDescent="0.2">
      <c r="A39" s="4" t="s">
        <v>213</v>
      </c>
      <c r="B39" s="320">
        <f>PedBerEnt!G12</f>
        <v>0</v>
      </c>
      <c r="C39" s="320">
        <f>IF(_Pat_Gewicht&gt;0,B39/(_Pat_Gewicht/10),0)</f>
        <v>0</v>
      </c>
      <c r="D39" s="320"/>
      <c r="E39" s="320"/>
    </row>
    <row r="40" spans="1:5" x14ac:dyDescent="0.2">
      <c r="A40" s="9" t="s">
        <v>1061</v>
      </c>
      <c r="B40" s="10">
        <f>SUM(B41)</f>
        <v>0</v>
      </c>
      <c r="C40" s="10">
        <f>IF(_Pat_Gewicht&gt;0,B40/(_Pat_Gewicht/10),0)</f>
        <v>0</v>
      </c>
      <c r="D40" s="10"/>
      <c r="E40" s="11"/>
    </row>
    <row r="41" spans="1:5" x14ac:dyDescent="0.2">
      <c r="A41" s="4" t="s">
        <v>213</v>
      </c>
      <c r="B41" s="320">
        <f>PedBerEnt!G13</f>
        <v>0</v>
      </c>
      <c r="C41" s="320">
        <f>IF(_Pat_Gewicht&gt;0,B41/(_Pat_Gewicht/10),0)</f>
        <v>0</v>
      </c>
      <c r="D41" s="320"/>
      <c r="E41" s="320"/>
    </row>
    <row r="42" spans="1:5" x14ac:dyDescent="0.2">
      <c r="A42" s="12" t="s">
        <v>245</v>
      </c>
      <c r="B42" s="10"/>
      <c r="C42" s="10"/>
      <c r="D42" s="10">
        <f>PedBerTPN!N24+PedBerEnt!G2</f>
        <v>0</v>
      </c>
      <c r="E42" s="11">
        <f>IF(_Pat_Gewicht&gt;0,D42/(_Pat_Gewicht/10),0)</f>
        <v>0</v>
      </c>
    </row>
    <row r="44" spans="1:5" x14ac:dyDescent="0.2">
      <c r="A44" s="4" t="s">
        <v>231</v>
      </c>
      <c r="E44">
        <f>E5+E9+E13+E42</f>
        <v>0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8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Voed">
    <tabColor rgb="FFFFC000"/>
  </sheetPr>
  <dimension ref="A1:Q54"/>
  <sheetViews>
    <sheetView zoomScale="85" zoomScaleNormal="85" workbookViewId="0"/>
  </sheetViews>
  <sheetFormatPr defaultColWidth="9.140625" defaultRowHeight="12.75" x14ac:dyDescent="0.2"/>
  <cols>
    <col min="1" max="1" width="10.85546875" style="321" bestFit="1" customWidth="1"/>
    <col min="2" max="2" width="32.28515625" style="321" bestFit="1" customWidth="1"/>
    <col min="3" max="3" width="37" style="321" bestFit="1" customWidth="1"/>
    <col min="4" max="4" width="17.7109375" style="321" bestFit="1" customWidth="1"/>
    <col min="5" max="7" width="6.140625" style="321" bestFit="1" customWidth="1"/>
    <col min="8" max="9" width="12.140625" style="321" bestFit="1" customWidth="1"/>
    <col min="10" max="10" width="9.140625" style="321" bestFit="1" customWidth="1"/>
    <col min="11" max="12" width="12.140625" style="321" bestFit="1" customWidth="1"/>
    <col min="13" max="13" width="11.140625" style="321" bestFit="1" customWidth="1"/>
    <col min="14" max="14" width="8.5703125" style="321" customWidth="1"/>
    <col min="15" max="15" width="12" style="321" bestFit="1" customWidth="1"/>
    <col min="16" max="16" width="9.140625" style="321"/>
    <col min="17" max="17" width="22.140625" style="321" bestFit="1" customWidth="1"/>
    <col min="18" max="16384" width="9.140625" style="321"/>
  </cols>
  <sheetData>
    <row r="1" spans="1:17" x14ac:dyDescent="0.2">
      <c r="A1" s="365"/>
      <c r="D1" s="321" t="s">
        <v>512</v>
      </c>
      <c r="E1" s="321" t="s">
        <v>31</v>
      </c>
      <c r="F1" s="321" t="s">
        <v>31</v>
      </c>
      <c r="G1" s="321" t="s">
        <v>31</v>
      </c>
      <c r="H1" s="321" t="s">
        <v>170</v>
      </c>
      <c r="I1" s="321" t="s">
        <v>170</v>
      </c>
      <c r="J1" s="321" t="s">
        <v>170</v>
      </c>
      <c r="K1" s="321" t="s">
        <v>170</v>
      </c>
      <c r="L1" s="321" t="s">
        <v>170</v>
      </c>
      <c r="M1" s="321" t="s">
        <v>170</v>
      </c>
      <c r="N1" s="321" t="s">
        <v>487</v>
      </c>
      <c r="O1" s="321" t="s">
        <v>170</v>
      </c>
      <c r="Q1" s="2" t="s">
        <v>220</v>
      </c>
    </row>
    <row r="2" spans="1:17" x14ac:dyDescent="0.2">
      <c r="D2" s="321" t="s">
        <v>246</v>
      </c>
      <c r="E2" s="321" t="s">
        <v>205</v>
      </c>
      <c r="F2" s="321" t="s">
        <v>247</v>
      </c>
      <c r="G2" s="321" t="s">
        <v>206</v>
      </c>
      <c r="H2" s="321" t="s">
        <v>239</v>
      </c>
      <c r="I2" s="321" t="s">
        <v>240</v>
      </c>
      <c r="J2" s="321" t="s">
        <v>241</v>
      </c>
      <c r="K2" s="321" t="s">
        <v>248</v>
      </c>
      <c r="L2" s="321" t="s">
        <v>242</v>
      </c>
      <c r="M2" s="321" t="s">
        <v>968</v>
      </c>
      <c r="N2" s="321" t="s">
        <v>969</v>
      </c>
      <c r="O2" s="321" t="s">
        <v>622</v>
      </c>
      <c r="Q2" s="154" t="s">
        <v>528</v>
      </c>
    </row>
    <row r="3" spans="1:17" x14ac:dyDescent="0.2">
      <c r="Q3" s="154" t="s">
        <v>529</v>
      </c>
    </row>
    <row r="4" spans="1:17" x14ac:dyDescent="0.2">
      <c r="A4" s="321" t="s">
        <v>971</v>
      </c>
      <c r="B4" s="321" t="s">
        <v>173</v>
      </c>
      <c r="C4" s="321" t="s">
        <v>1079</v>
      </c>
      <c r="D4" s="321">
        <f t="shared" ref="D4:D26" si="0">VLOOKUP(B4,tblVoedingBasislijst,2,FALSE)/100</f>
        <v>0.68</v>
      </c>
      <c r="E4" s="321">
        <f t="shared" ref="E4:E26" si="1">VLOOKUP(B4,tblVoedingBasislijst,3,FALSE)/100</f>
        <v>0.01</v>
      </c>
      <c r="F4" s="321">
        <f t="shared" ref="F4:F26" si="2">VLOOKUP(B4,tblVoedingBasislijst,4,FALSE)/100</f>
        <v>7.0000000000000007E-2</v>
      </c>
      <c r="G4" s="321">
        <f t="shared" ref="G4:G26" si="3">VLOOKUP(B4,tblVoedingBasislijst,5,FALSE)/100</f>
        <v>0.04</v>
      </c>
      <c r="H4" s="321">
        <f t="shared" ref="H4:H26" si="4">VLOOKUP(B4,tblVoedingBasislijst,6,FALSE)*tblOmrekenNA/100</f>
        <v>8.6956000000000012E-3</v>
      </c>
      <c r="I4" s="321">
        <f t="shared" ref="I4:I26" si="5">VLOOKUP(B4,tblVoedingBasislijst,7,FALSE)*tblOmrekenK/100</f>
        <v>1.2820500000000002E-2</v>
      </c>
      <c r="J4" s="321">
        <f t="shared" ref="J4:J26" si="6">VLOOKUP(B4,tblVoedingBasislijst,8,FALSE)*tblOmrekenCa/100</f>
        <v>7.4700000000000001E-3</v>
      </c>
      <c r="K4" s="321">
        <f t="shared" ref="K4:K26" si="7">VLOOKUP(B4,tblVoedingBasislijst,9,FALSE)*tblOmrekenP/100</f>
        <v>4.8433499999999997E-3</v>
      </c>
      <c r="L4" s="321">
        <f t="shared" ref="L4:L26" si="8">VLOOKUP(B4,tblVoedingBasislijst,10,FALSE)*tblOmrekenMg/100</f>
        <v>1.23423E-3</v>
      </c>
      <c r="M4" s="321">
        <f t="shared" ref="M4:M26" si="9">VLOOKUP(B4,tblVoedingBasislijst,11,FALSE)*tblOmrekenFe/100</f>
        <v>1.7899999999999998E-5</v>
      </c>
      <c r="N4" s="321">
        <f t="shared" ref="N4:N26" si="10">VLOOKUP(B4,tblVoedingBasislijst,12,FALSE)*tblOmrekenVitD/100</f>
        <v>0</v>
      </c>
      <c r="O4" s="321">
        <f t="shared" ref="O4:O26" si="11">VLOOKUP(B4,tblVoedingBasislijst,13,FALSE)*tblOmrekenCl/100</f>
        <v>1.212858E-2</v>
      </c>
      <c r="Q4" s="154" t="s">
        <v>530</v>
      </c>
    </row>
    <row r="5" spans="1:17" x14ac:dyDescent="0.2">
      <c r="A5" s="321" t="s">
        <v>972</v>
      </c>
      <c r="B5" s="321" t="s">
        <v>973</v>
      </c>
      <c r="C5" s="321" t="s">
        <v>1080</v>
      </c>
      <c r="D5" s="321">
        <f t="shared" si="0"/>
        <v>0.8</v>
      </c>
      <c r="E5" s="321">
        <f t="shared" si="1"/>
        <v>2.6000000000000002E-2</v>
      </c>
      <c r="F5" s="321">
        <f t="shared" si="2"/>
        <v>8.4000000000000005E-2</v>
      </c>
      <c r="G5" s="321">
        <f t="shared" si="3"/>
        <v>3.9E-2</v>
      </c>
      <c r="H5" s="321">
        <f t="shared" si="4"/>
        <v>3.0434599999999999E-2</v>
      </c>
      <c r="I5" s="321">
        <f t="shared" si="5"/>
        <v>2.0512800000000001E-2</v>
      </c>
      <c r="J5" s="321">
        <f t="shared" si="6"/>
        <v>2.4899999999999999E-2</v>
      </c>
      <c r="K5" s="321">
        <f t="shared" si="7"/>
        <v>1.8081839999999998E-2</v>
      </c>
      <c r="L5" s="321">
        <f t="shared" si="8"/>
        <v>3.2912799999999997E-3</v>
      </c>
      <c r="M5" s="321">
        <f t="shared" si="9"/>
        <v>2.8639999999999997E-4</v>
      </c>
      <c r="N5" s="321">
        <f t="shared" si="10"/>
        <v>1.2</v>
      </c>
      <c r="O5" s="321">
        <f t="shared" si="11"/>
        <v>2.3975099999999999E-2</v>
      </c>
      <c r="Q5" s="154" t="s">
        <v>531</v>
      </c>
    </row>
    <row r="6" spans="1:17" x14ac:dyDescent="0.2">
      <c r="A6" s="321" t="s">
        <v>972</v>
      </c>
      <c r="B6" s="407" t="s">
        <v>974</v>
      </c>
      <c r="C6" s="321" t="s">
        <v>1081</v>
      </c>
      <c r="D6" s="321">
        <f t="shared" si="0"/>
        <v>0.75</v>
      </c>
      <c r="E6" s="321">
        <f t="shared" si="1"/>
        <v>0.02</v>
      </c>
      <c r="F6" s="321">
        <f t="shared" si="2"/>
        <v>7.4999999999999997E-2</v>
      </c>
      <c r="G6" s="321">
        <f t="shared" si="3"/>
        <v>0.04</v>
      </c>
      <c r="H6" s="321">
        <f t="shared" si="4"/>
        <v>1.217384E-2</v>
      </c>
      <c r="I6" s="321">
        <f t="shared" si="5"/>
        <v>1.9743570000000002E-2</v>
      </c>
      <c r="J6" s="321">
        <f t="shared" si="6"/>
        <v>2.1662999999999998E-2</v>
      </c>
      <c r="K6" s="321">
        <f t="shared" si="7"/>
        <v>1.517583E-2</v>
      </c>
      <c r="L6" s="321">
        <f t="shared" si="8"/>
        <v>2.8798700000000001E-3</v>
      </c>
      <c r="M6" s="321">
        <f t="shared" si="9"/>
        <v>2.1479999999999999E-4</v>
      </c>
      <c r="N6" s="321">
        <f t="shared" si="10"/>
        <v>0.68</v>
      </c>
      <c r="O6" s="321">
        <f t="shared" si="11"/>
        <v>1.5513299999999999E-2</v>
      </c>
      <c r="Q6" s="154" t="s">
        <v>1156</v>
      </c>
    </row>
    <row r="7" spans="1:17" x14ac:dyDescent="0.2">
      <c r="A7" s="321" t="s">
        <v>677</v>
      </c>
      <c r="B7" s="385" t="s">
        <v>975</v>
      </c>
      <c r="C7" s="321" t="s">
        <v>1082</v>
      </c>
      <c r="D7" s="321">
        <f t="shared" si="0"/>
        <v>0.66</v>
      </c>
      <c r="E7" s="321">
        <f t="shared" si="1"/>
        <v>1.4999999999999999E-2</v>
      </c>
      <c r="F7" s="321">
        <f t="shared" si="2"/>
        <v>7.2000000000000008E-2</v>
      </c>
      <c r="G7" s="321">
        <f t="shared" si="3"/>
        <v>3.4000000000000002E-2</v>
      </c>
      <c r="H7" s="321">
        <f t="shared" si="4"/>
        <v>1.0869500000000001E-2</v>
      </c>
      <c r="I7" s="321">
        <f t="shared" si="5"/>
        <v>1.8717930000000001E-2</v>
      </c>
      <c r="J7" s="321">
        <f t="shared" si="6"/>
        <v>1.1453999999999999E-2</v>
      </c>
      <c r="K7" s="321">
        <f t="shared" si="7"/>
        <v>8.3951400000000006E-3</v>
      </c>
      <c r="L7" s="321">
        <f t="shared" si="8"/>
        <v>2.0981909999999997E-3</v>
      </c>
      <c r="M7" s="321">
        <f t="shared" si="9"/>
        <v>9.4870000000000005E-5</v>
      </c>
      <c r="N7" s="321">
        <f t="shared" si="10"/>
        <v>0.48</v>
      </c>
      <c r="O7" s="321">
        <f t="shared" si="11"/>
        <v>1.1564459999999999E-2</v>
      </c>
    </row>
    <row r="8" spans="1:17" x14ac:dyDescent="0.2">
      <c r="A8" s="321" t="s">
        <v>511</v>
      </c>
      <c r="B8" s="321" t="s">
        <v>627</v>
      </c>
      <c r="C8" s="321" t="s">
        <v>1083</v>
      </c>
      <c r="D8" s="321">
        <f t="shared" si="0"/>
        <v>0.66</v>
      </c>
      <c r="E8" s="321">
        <f t="shared" si="1"/>
        <v>1.3000000000000001E-2</v>
      </c>
      <c r="F8" s="321">
        <f t="shared" si="2"/>
        <v>7.2999999999999995E-2</v>
      </c>
      <c r="G8" s="321">
        <f t="shared" si="3"/>
        <v>3.4000000000000002E-2</v>
      </c>
      <c r="H8" s="321">
        <f t="shared" si="4"/>
        <v>7.3912600000000002E-3</v>
      </c>
      <c r="I8" s="321">
        <f t="shared" si="5"/>
        <v>1.7435880000000001E-2</v>
      </c>
      <c r="J8" s="321">
        <f t="shared" si="6"/>
        <v>1.4193000000000001E-2</v>
      </c>
      <c r="K8" s="321">
        <f t="shared" si="7"/>
        <v>1.033248E-2</v>
      </c>
      <c r="L8" s="321">
        <f t="shared" si="8"/>
        <v>2.0981909999999997E-3</v>
      </c>
      <c r="M8" s="321">
        <f t="shared" si="9"/>
        <v>6.981E-4</v>
      </c>
      <c r="N8" s="321">
        <f t="shared" si="10"/>
        <v>3.48</v>
      </c>
      <c r="O8" s="321">
        <f t="shared" si="11"/>
        <v>1.1846520000000001E-2</v>
      </c>
    </row>
    <row r="9" spans="1:17" x14ac:dyDescent="0.2">
      <c r="A9" s="365" t="s">
        <v>511</v>
      </c>
      <c r="B9" s="321" t="s">
        <v>1038</v>
      </c>
      <c r="C9" s="321" t="s">
        <v>1084</v>
      </c>
      <c r="D9" s="321">
        <f t="shared" si="0"/>
        <v>0.68</v>
      </c>
      <c r="E9" s="321">
        <f t="shared" si="1"/>
        <v>1.3999999999999999E-2</v>
      </c>
      <c r="F9" s="321">
        <f t="shared" si="2"/>
        <v>8.5999999999999993E-2</v>
      </c>
      <c r="G9" s="321">
        <f t="shared" si="3"/>
        <v>0.03</v>
      </c>
      <c r="H9" s="321">
        <f t="shared" si="4"/>
        <v>9.9999400000000006E-3</v>
      </c>
      <c r="I9" s="321">
        <f t="shared" si="5"/>
        <v>1.8974339999999999E-2</v>
      </c>
      <c r="J9" s="321">
        <f t="shared" si="6"/>
        <v>1.6184999999999998E-2</v>
      </c>
      <c r="K9" s="321">
        <f t="shared" si="7"/>
        <v>1.162404E-2</v>
      </c>
      <c r="L9" s="321">
        <f t="shared" si="8"/>
        <v>1.974768E-3</v>
      </c>
      <c r="M9" s="321">
        <f t="shared" si="9"/>
        <v>1.253E-3</v>
      </c>
      <c r="N9" s="321">
        <f t="shared" si="10"/>
        <v>0.56000000000000005</v>
      </c>
      <c r="O9" s="321">
        <f t="shared" si="11"/>
        <v>1.3256820000000001E-2</v>
      </c>
    </row>
    <row r="10" spans="1:17" x14ac:dyDescent="0.2">
      <c r="A10" s="321" t="s">
        <v>971</v>
      </c>
      <c r="B10" s="321" t="s">
        <v>17</v>
      </c>
      <c r="C10" s="321" t="s">
        <v>1085</v>
      </c>
      <c r="D10" s="321">
        <f t="shared" si="0"/>
        <v>1</v>
      </c>
      <c r="E10" s="321">
        <f t="shared" si="1"/>
        <v>2.6000000000000002E-2</v>
      </c>
      <c r="F10" s="321">
        <f t="shared" si="2"/>
        <v>0.10300000000000001</v>
      </c>
      <c r="G10" s="321">
        <f t="shared" si="3"/>
        <v>5.4000000000000006E-2</v>
      </c>
      <c r="H10" s="321">
        <f t="shared" si="4"/>
        <v>1.6086860000000001E-2</v>
      </c>
      <c r="I10" s="321">
        <f t="shared" si="5"/>
        <v>2.4358950000000001E-2</v>
      </c>
      <c r="J10" s="321">
        <f t="shared" si="6"/>
        <v>2.4899999999999999E-2</v>
      </c>
      <c r="K10" s="321">
        <f t="shared" si="7"/>
        <v>1.6144499999999999E-2</v>
      </c>
      <c r="L10" s="321">
        <f t="shared" si="8"/>
        <v>3.7026899999999998E-3</v>
      </c>
      <c r="M10" s="321">
        <f t="shared" si="9"/>
        <v>2.1479999999999999E-4</v>
      </c>
      <c r="N10" s="321">
        <f t="shared" si="10"/>
        <v>0.76</v>
      </c>
      <c r="O10" s="321">
        <f t="shared" si="11"/>
        <v>1.7487719999999998E-2</v>
      </c>
    </row>
    <row r="11" spans="1:17" x14ac:dyDescent="0.2">
      <c r="A11" s="321" t="s">
        <v>971</v>
      </c>
      <c r="B11" s="321" t="s">
        <v>1064</v>
      </c>
      <c r="C11" s="321" t="s">
        <v>1086</v>
      </c>
      <c r="D11" s="321">
        <f t="shared" si="0"/>
        <v>1</v>
      </c>
      <c r="E11" s="321">
        <f t="shared" si="1"/>
        <v>2.6000000000000002E-2</v>
      </c>
      <c r="F11" s="321">
        <f t="shared" si="2"/>
        <v>0.10300000000000001</v>
      </c>
      <c r="G11" s="321">
        <f t="shared" si="3"/>
        <v>5.4000000000000006E-2</v>
      </c>
      <c r="H11" s="321">
        <f t="shared" si="4"/>
        <v>1.391296E-2</v>
      </c>
      <c r="I11" s="321">
        <f t="shared" si="5"/>
        <v>2.769228E-2</v>
      </c>
      <c r="J11" s="321">
        <f t="shared" si="6"/>
        <v>1.992E-2</v>
      </c>
      <c r="K11" s="321">
        <f t="shared" si="7"/>
        <v>1.2915600000000001E-2</v>
      </c>
      <c r="L11" s="321">
        <f t="shared" si="8"/>
        <v>3.2912799999999997E-3</v>
      </c>
      <c r="M11" s="321">
        <f t="shared" si="9"/>
        <v>1.7899999999999999E-4</v>
      </c>
      <c r="N11" s="321">
        <f t="shared" si="10"/>
        <v>0.68</v>
      </c>
      <c r="O11" s="321">
        <f t="shared" si="11"/>
        <v>1.805184E-2</v>
      </c>
    </row>
    <row r="12" spans="1:17" x14ac:dyDescent="0.2">
      <c r="A12" s="321" t="s">
        <v>971</v>
      </c>
      <c r="B12" s="321" t="s">
        <v>1055</v>
      </c>
      <c r="C12" s="321" t="s">
        <v>1087</v>
      </c>
      <c r="D12" s="321">
        <f t="shared" si="0"/>
        <v>0.67</v>
      </c>
      <c r="E12" s="321">
        <f t="shared" si="1"/>
        <v>1.6E-2</v>
      </c>
      <c r="F12" s="321">
        <f t="shared" si="2"/>
        <v>7.0000000000000007E-2</v>
      </c>
      <c r="G12" s="321">
        <f t="shared" si="3"/>
        <v>3.5000000000000003E-2</v>
      </c>
      <c r="H12" s="321">
        <f t="shared" si="4"/>
        <v>8.6956000000000012E-3</v>
      </c>
      <c r="I12" s="321">
        <f t="shared" si="5"/>
        <v>2.076921E-2</v>
      </c>
      <c r="J12" s="321">
        <f t="shared" si="6"/>
        <v>1.1702999999999998E-2</v>
      </c>
      <c r="K12" s="321">
        <f t="shared" si="7"/>
        <v>8.3951400000000006E-3</v>
      </c>
      <c r="L12" s="321">
        <f t="shared" si="8"/>
        <v>2.1804729999999996E-3</v>
      </c>
      <c r="M12" s="321">
        <f t="shared" si="9"/>
        <v>9.4870000000000005E-5</v>
      </c>
      <c r="N12" s="321">
        <f t="shared" si="10"/>
        <v>0.52</v>
      </c>
      <c r="O12" s="321">
        <f t="shared" si="11"/>
        <v>1.12824E-2</v>
      </c>
    </row>
    <row r="13" spans="1:17" x14ac:dyDescent="0.2">
      <c r="A13" s="321" t="s">
        <v>514</v>
      </c>
      <c r="B13" s="321" t="s">
        <v>515</v>
      </c>
      <c r="C13" s="321" t="s">
        <v>1088</v>
      </c>
      <c r="D13" s="321">
        <f t="shared" si="0"/>
        <v>1.01</v>
      </c>
      <c r="E13" s="321">
        <f t="shared" si="1"/>
        <v>2.7000000000000003E-2</v>
      </c>
      <c r="F13" s="321">
        <f t="shared" si="2"/>
        <v>0.12300000000000001</v>
      </c>
      <c r="G13" s="321">
        <f t="shared" si="3"/>
        <v>4.4000000000000004E-2</v>
      </c>
      <c r="H13" s="321">
        <f t="shared" si="4"/>
        <v>2.60868E-2</v>
      </c>
      <c r="I13" s="321">
        <f t="shared" si="5"/>
        <v>2.82051E-2</v>
      </c>
      <c r="J13" s="321">
        <f t="shared" si="6"/>
        <v>1.494E-2</v>
      </c>
      <c r="K13" s="321">
        <f t="shared" si="7"/>
        <v>1.6144499999999999E-2</v>
      </c>
      <c r="L13" s="321">
        <f t="shared" si="8"/>
        <v>4.5255099999999999E-3</v>
      </c>
      <c r="M13" s="321">
        <f t="shared" si="9"/>
        <v>1.7899999999999999E-4</v>
      </c>
      <c r="N13" s="321">
        <f t="shared" si="10"/>
        <v>0.4</v>
      </c>
      <c r="O13" s="321">
        <f t="shared" si="11"/>
        <v>2.6795699999999999E-2</v>
      </c>
    </row>
    <row r="14" spans="1:17" x14ac:dyDescent="0.2">
      <c r="A14" s="321" t="s">
        <v>514</v>
      </c>
      <c r="B14" s="321" t="s">
        <v>516</v>
      </c>
      <c r="C14" s="321" t="s">
        <v>1089</v>
      </c>
      <c r="D14" s="321">
        <f t="shared" si="0"/>
        <v>1.51</v>
      </c>
      <c r="E14" s="321">
        <f t="shared" si="1"/>
        <v>0.04</v>
      </c>
      <c r="F14" s="321">
        <f t="shared" si="2"/>
        <v>0.185</v>
      </c>
      <c r="G14" s="321">
        <f t="shared" si="3"/>
        <v>6.7000000000000004E-2</v>
      </c>
      <c r="H14" s="321">
        <f t="shared" si="4"/>
        <v>3.9130200000000004E-2</v>
      </c>
      <c r="I14" s="321">
        <f t="shared" si="5"/>
        <v>4.2307650000000002E-2</v>
      </c>
      <c r="J14" s="321">
        <f t="shared" si="6"/>
        <v>2.2409999999999996E-2</v>
      </c>
      <c r="K14" s="321">
        <f t="shared" si="7"/>
        <v>2.4216749999999999E-2</v>
      </c>
      <c r="L14" s="321">
        <f t="shared" si="8"/>
        <v>6.9939699999999995E-3</v>
      </c>
      <c r="M14" s="321">
        <f t="shared" si="9"/>
        <v>2.6849999999999997E-4</v>
      </c>
      <c r="N14" s="321">
        <f t="shared" si="10"/>
        <v>0.6</v>
      </c>
      <c r="O14" s="321">
        <f t="shared" si="11"/>
        <v>4.0334579999999995E-2</v>
      </c>
    </row>
    <row r="15" spans="1:17" x14ac:dyDescent="0.2">
      <c r="A15" s="321" t="s">
        <v>514</v>
      </c>
      <c r="B15" s="321" t="s">
        <v>1065</v>
      </c>
      <c r="C15" s="321" t="s">
        <v>1090</v>
      </c>
      <c r="D15" s="321">
        <f t="shared" si="0"/>
        <v>1</v>
      </c>
      <c r="E15" s="321">
        <f t="shared" si="1"/>
        <v>2.7999999999999997E-2</v>
      </c>
      <c r="F15" s="321">
        <f t="shared" si="2"/>
        <v>0.13699999999999998</v>
      </c>
      <c r="G15" s="321">
        <f t="shared" si="3"/>
        <v>3.9E-2</v>
      </c>
      <c r="H15" s="321">
        <f t="shared" si="4"/>
        <v>2.60868E-2</v>
      </c>
      <c r="I15" s="321">
        <f t="shared" si="5"/>
        <v>2.82051E-2</v>
      </c>
      <c r="J15" s="321">
        <f t="shared" si="6"/>
        <v>1.494E-2</v>
      </c>
      <c r="K15" s="321">
        <f t="shared" si="7"/>
        <v>1.6144499999999999E-2</v>
      </c>
      <c r="L15" s="321">
        <f t="shared" si="8"/>
        <v>4.5255099999999999E-3</v>
      </c>
      <c r="M15" s="321">
        <f t="shared" si="9"/>
        <v>1.7899999999999999E-4</v>
      </c>
      <c r="N15" s="321">
        <f t="shared" si="10"/>
        <v>0.4</v>
      </c>
      <c r="O15" s="321">
        <f t="shared" si="11"/>
        <v>2.6795699999999999E-2</v>
      </c>
    </row>
    <row r="16" spans="1:17" x14ac:dyDescent="0.2">
      <c r="A16" s="321" t="s">
        <v>514</v>
      </c>
      <c r="B16" s="321" t="s">
        <v>1102</v>
      </c>
      <c r="C16" s="321" t="s">
        <v>1091</v>
      </c>
      <c r="D16" s="321">
        <f t="shared" si="0"/>
        <v>0.68</v>
      </c>
      <c r="E16" s="321">
        <f t="shared" si="1"/>
        <v>1.6E-2</v>
      </c>
      <c r="F16" s="321">
        <f t="shared" si="2"/>
        <v>8.1000000000000003E-2</v>
      </c>
      <c r="G16" s="321">
        <f t="shared" si="3"/>
        <v>3.1E-2</v>
      </c>
      <c r="H16" s="321">
        <f t="shared" si="4"/>
        <v>1.0869500000000001E-2</v>
      </c>
      <c r="I16" s="321">
        <f t="shared" si="5"/>
        <v>1.9999980000000001E-2</v>
      </c>
      <c r="J16" s="321">
        <f t="shared" si="6"/>
        <v>1.5687E-2</v>
      </c>
      <c r="K16" s="321">
        <f t="shared" si="7"/>
        <v>1.194693E-2</v>
      </c>
      <c r="L16" s="321">
        <f t="shared" si="8"/>
        <v>2.262755E-3</v>
      </c>
      <c r="M16" s="321">
        <f t="shared" si="9"/>
        <v>1.7899999999999999E-4</v>
      </c>
      <c r="N16" s="321">
        <f t="shared" si="10"/>
        <v>0.56000000000000005</v>
      </c>
      <c r="O16" s="321">
        <f t="shared" si="11"/>
        <v>1.1846520000000001E-2</v>
      </c>
    </row>
    <row r="17" spans="1:15" x14ac:dyDescent="0.2">
      <c r="A17" s="321" t="s">
        <v>517</v>
      </c>
      <c r="B17" s="321" t="s">
        <v>518</v>
      </c>
      <c r="C17" s="321" t="s">
        <v>1092</v>
      </c>
      <c r="D17" s="321">
        <f t="shared" si="0"/>
        <v>1.02</v>
      </c>
      <c r="E17" s="321">
        <f t="shared" si="1"/>
        <v>3.3000000000000002E-2</v>
      </c>
      <c r="F17" s="321">
        <f t="shared" si="2"/>
        <v>0.12300000000000001</v>
      </c>
      <c r="G17" s="321">
        <f t="shared" si="3"/>
        <v>4.2000000000000003E-2</v>
      </c>
      <c r="H17" s="321">
        <f t="shared" si="4"/>
        <v>3.4782400000000005E-2</v>
      </c>
      <c r="I17" s="321">
        <f t="shared" si="5"/>
        <v>3.5384579999999999E-2</v>
      </c>
      <c r="J17" s="321">
        <f t="shared" si="6"/>
        <v>1.7429999999999998E-2</v>
      </c>
      <c r="K17" s="321">
        <f t="shared" si="7"/>
        <v>1.9373399999999999E-2</v>
      </c>
      <c r="L17" s="321">
        <f t="shared" si="8"/>
        <v>6.9939699999999995E-3</v>
      </c>
      <c r="M17" s="321">
        <f t="shared" si="9"/>
        <v>2.3269999999999999E-4</v>
      </c>
      <c r="N17" s="321">
        <f t="shared" si="10"/>
        <v>0.28000000000000003</v>
      </c>
      <c r="O17" s="321">
        <f t="shared" si="11"/>
        <v>3.5257499999999997E-2</v>
      </c>
    </row>
    <row r="18" spans="1:15" x14ac:dyDescent="0.2">
      <c r="A18" s="321" t="s">
        <v>517</v>
      </c>
      <c r="B18" s="321" t="s">
        <v>519</v>
      </c>
      <c r="C18" s="321" t="s">
        <v>1093</v>
      </c>
      <c r="D18" s="321">
        <f t="shared" si="0"/>
        <v>1.52</v>
      </c>
      <c r="E18" s="321">
        <f t="shared" si="1"/>
        <v>4.8000000000000001E-2</v>
      </c>
      <c r="F18" s="321">
        <f t="shared" si="2"/>
        <v>0.185</v>
      </c>
      <c r="G18" s="321">
        <f t="shared" si="3"/>
        <v>6.3E-2</v>
      </c>
      <c r="H18" s="321">
        <f t="shared" si="4"/>
        <v>4.6521460000000001E-2</v>
      </c>
      <c r="I18" s="321">
        <f t="shared" si="5"/>
        <v>4.769226E-2</v>
      </c>
      <c r="J18" s="321">
        <f t="shared" si="6"/>
        <v>2.3654999999999999E-2</v>
      </c>
      <c r="K18" s="321">
        <f t="shared" si="7"/>
        <v>2.9060099999999998E-2</v>
      </c>
      <c r="L18" s="321">
        <f t="shared" si="8"/>
        <v>1.069666E-2</v>
      </c>
      <c r="M18" s="321">
        <f t="shared" si="9"/>
        <v>3.5799999999999997E-4</v>
      </c>
      <c r="N18" s="321">
        <f t="shared" si="10"/>
        <v>0.44</v>
      </c>
      <c r="O18" s="321">
        <f t="shared" si="11"/>
        <v>4.1462819999999991E-2</v>
      </c>
    </row>
    <row r="19" spans="1:15" x14ac:dyDescent="0.2">
      <c r="A19" s="321" t="s">
        <v>517</v>
      </c>
      <c r="B19" s="321" t="s">
        <v>1065</v>
      </c>
      <c r="C19" s="321" t="s">
        <v>1094</v>
      </c>
      <c r="D19" s="321">
        <f t="shared" si="0"/>
        <v>1</v>
      </c>
      <c r="E19" s="321">
        <f t="shared" si="1"/>
        <v>2.7999999999999997E-2</v>
      </c>
      <c r="F19" s="321">
        <f t="shared" si="2"/>
        <v>0.13699999999999998</v>
      </c>
      <c r="G19" s="321">
        <f t="shared" si="3"/>
        <v>3.9E-2</v>
      </c>
      <c r="H19" s="321">
        <f t="shared" si="4"/>
        <v>2.60868E-2</v>
      </c>
      <c r="I19" s="321">
        <f t="shared" si="5"/>
        <v>2.82051E-2</v>
      </c>
      <c r="J19" s="321">
        <f t="shared" si="6"/>
        <v>1.494E-2</v>
      </c>
      <c r="K19" s="321">
        <f t="shared" si="7"/>
        <v>1.6144499999999999E-2</v>
      </c>
      <c r="L19" s="321">
        <f t="shared" si="8"/>
        <v>4.5255099999999999E-3</v>
      </c>
      <c r="M19" s="321">
        <f t="shared" si="9"/>
        <v>1.7899999999999999E-4</v>
      </c>
      <c r="N19" s="321">
        <f t="shared" si="10"/>
        <v>0.4</v>
      </c>
      <c r="O19" s="321">
        <f t="shared" si="11"/>
        <v>2.6795699999999999E-2</v>
      </c>
    </row>
    <row r="20" spans="1:15" x14ac:dyDescent="0.2">
      <c r="A20" s="321" t="s">
        <v>517</v>
      </c>
      <c r="B20" s="321" t="s">
        <v>1102</v>
      </c>
      <c r="C20" s="321" t="s">
        <v>1095</v>
      </c>
      <c r="D20" s="321">
        <f t="shared" si="0"/>
        <v>0.68</v>
      </c>
      <c r="E20" s="321">
        <f t="shared" si="1"/>
        <v>1.6E-2</v>
      </c>
      <c r="F20" s="321">
        <f t="shared" si="2"/>
        <v>8.1000000000000003E-2</v>
      </c>
      <c r="G20" s="321">
        <f t="shared" si="3"/>
        <v>3.1E-2</v>
      </c>
      <c r="H20" s="321">
        <f t="shared" si="4"/>
        <v>1.0869500000000001E-2</v>
      </c>
      <c r="I20" s="321">
        <f t="shared" si="5"/>
        <v>1.9999980000000001E-2</v>
      </c>
      <c r="J20" s="321">
        <f t="shared" si="6"/>
        <v>1.5687E-2</v>
      </c>
      <c r="K20" s="321">
        <f t="shared" si="7"/>
        <v>1.194693E-2</v>
      </c>
      <c r="L20" s="321">
        <f t="shared" si="8"/>
        <v>2.262755E-3</v>
      </c>
      <c r="M20" s="321">
        <f t="shared" si="9"/>
        <v>1.7899999999999999E-4</v>
      </c>
      <c r="N20" s="321">
        <f t="shared" si="10"/>
        <v>0.56000000000000005</v>
      </c>
      <c r="O20" s="321">
        <f t="shared" si="11"/>
        <v>1.1846520000000001E-2</v>
      </c>
    </row>
    <row r="21" spans="1:15" x14ac:dyDescent="0.2">
      <c r="A21" s="321" t="s">
        <v>520</v>
      </c>
      <c r="B21" s="321" t="s">
        <v>521</v>
      </c>
      <c r="C21" s="321" t="s">
        <v>1096</v>
      </c>
      <c r="D21" s="321">
        <f t="shared" si="0"/>
        <v>1.03</v>
      </c>
      <c r="E21" s="321">
        <f t="shared" si="1"/>
        <v>0.04</v>
      </c>
      <c r="F21" s="321">
        <f t="shared" si="2"/>
        <v>0.12300000000000001</v>
      </c>
      <c r="G21" s="321">
        <f t="shared" si="3"/>
        <v>3.9E-2</v>
      </c>
      <c r="H21" s="321">
        <f t="shared" si="4"/>
        <v>4.3478000000000003E-2</v>
      </c>
      <c r="I21" s="321">
        <f t="shared" si="5"/>
        <v>3.8461500000000003E-2</v>
      </c>
      <c r="J21" s="321">
        <f t="shared" si="6"/>
        <v>1.992E-2</v>
      </c>
      <c r="K21" s="321">
        <f t="shared" si="7"/>
        <v>2.3248080000000001E-2</v>
      </c>
      <c r="L21" s="321">
        <f t="shared" si="8"/>
        <v>9.4624299999999991E-3</v>
      </c>
      <c r="M21" s="321">
        <f t="shared" si="9"/>
        <v>2.8639999999999997E-4</v>
      </c>
      <c r="N21" s="321">
        <f t="shared" si="10"/>
        <v>0.4</v>
      </c>
      <c r="O21" s="321">
        <f t="shared" si="11"/>
        <v>3.5257499999999997E-2</v>
      </c>
    </row>
    <row r="22" spans="1:15" x14ac:dyDescent="0.2">
      <c r="A22" s="321" t="s">
        <v>520</v>
      </c>
      <c r="B22" s="321" t="s">
        <v>522</v>
      </c>
      <c r="C22" s="321" t="s">
        <v>1097</v>
      </c>
      <c r="D22" s="321">
        <f t="shared" si="0"/>
        <v>1.53</v>
      </c>
      <c r="E22" s="321">
        <f t="shared" si="1"/>
        <v>0.06</v>
      </c>
      <c r="F22" s="321">
        <f t="shared" si="2"/>
        <v>0.184</v>
      </c>
      <c r="G22" s="321">
        <f t="shared" si="3"/>
        <v>5.7999999999999996E-2</v>
      </c>
      <c r="H22" s="321">
        <f t="shared" si="4"/>
        <v>5.826052000000001E-2</v>
      </c>
      <c r="I22" s="321">
        <f t="shared" si="5"/>
        <v>5.153841E-2</v>
      </c>
      <c r="J22" s="321">
        <f t="shared" si="6"/>
        <v>2.0915999999999997E-2</v>
      </c>
      <c r="K22" s="321">
        <f t="shared" si="7"/>
        <v>2.7122759999999996E-2</v>
      </c>
      <c r="L22" s="321">
        <f t="shared" si="8"/>
        <v>1.2342299999999999E-2</v>
      </c>
      <c r="M22" s="321">
        <f t="shared" si="9"/>
        <v>4.2959999999999998E-4</v>
      </c>
      <c r="N22" s="321">
        <f t="shared" si="10"/>
        <v>0.6</v>
      </c>
      <c r="O22" s="321">
        <f t="shared" si="11"/>
        <v>2.8205999999999998E-2</v>
      </c>
    </row>
    <row r="23" spans="1:15" x14ac:dyDescent="0.2">
      <c r="A23" s="321" t="s">
        <v>520</v>
      </c>
      <c r="B23" s="321" t="s">
        <v>1066</v>
      </c>
      <c r="C23" s="321" t="s">
        <v>1098</v>
      </c>
      <c r="D23" s="321">
        <f t="shared" si="0"/>
        <v>1</v>
      </c>
      <c r="E23" s="321">
        <f t="shared" si="1"/>
        <v>0.04</v>
      </c>
      <c r="F23" s="321">
        <f t="shared" si="2"/>
        <v>0.17600000000000002</v>
      </c>
      <c r="G23" s="321">
        <f t="shared" si="3"/>
        <v>1.7000000000000001E-2</v>
      </c>
      <c r="H23" s="321">
        <f t="shared" si="4"/>
        <v>4.3478000000000003E-2</v>
      </c>
      <c r="I23" s="321">
        <f t="shared" si="5"/>
        <v>3.8461500000000003E-2</v>
      </c>
      <c r="J23" s="321">
        <f t="shared" si="6"/>
        <v>1.992E-2</v>
      </c>
      <c r="K23" s="321">
        <f t="shared" si="7"/>
        <v>2.3248080000000001E-2</v>
      </c>
      <c r="L23" s="321">
        <f t="shared" si="8"/>
        <v>9.4624299999999991E-3</v>
      </c>
      <c r="M23" s="321">
        <f t="shared" si="9"/>
        <v>2.8639999999999997E-4</v>
      </c>
      <c r="N23" s="321">
        <f t="shared" si="10"/>
        <v>0.28000000000000003</v>
      </c>
      <c r="O23" s="321">
        <f t="shared" si="11"/>
        <v>3.5257499999999997E-2</v>
      </c>
    </row>
    <row r="24" spans="1:15" x14ac:dyDescent="0.2">
      <c r="A24" s="321" t="s">
        <v>520</v>
      </c>
      <c r="B24" s="321" t="s">
        <v>1102</v>
      </c>
      <c r="C24" s="321" t="s">
        <v>1099</v>
      </c>
      <c r="D24" s="321">
        <f t="shared" si="0"/>
        <v>0.68</v>
      </c>
      <c r="E24" s="321">
        <f t="shared" si="1"/>
        <v>1.6E-2</v>
      </c>
      <c r="F24" s="321">
        <f t="shared" si="2"/>
        <v>8.1000000000000003E-2</v>
      </c>
      <c r="G24" s="321">
        <f t="shared" si="3"/>
        <v>3.1E-2</v>
      </c>
      <c r="H24" s="321">
        <f t="shared" si="4"/>
        <v>1.0869500000000001E-2</v>
      </c>
      <c r="I24" s="321">
        <f t="shared" si="5"/>
        <v>1.9999980000000001E-2</v>
      </c>
      <c r="J24" s="321">
        <f t="shared" si="6"/>
        <v>1.5687E-2</v>
      </c>
      <c r="K24" s="321">
        <f t="shared" si="7"/>
        <v>1.194693E-2</v>
      </c>
      <c r="L24" s="321">
        <f t="shared" si="8"/>
        <v>2.262755E-3</v>
      </c>
      <c r="M24" s="321">
        <f t="shared" si="9"/>
        <v>1.7899999999999999E-4</v>
      </c>
      <c r="N24" s="321">
        <f t="shared" si="10"/>
        <v>0.56000000000000005</v>
      </c>
      <c r="O24" s="321">
        <f t="shared" si="11"/>
        <v>1.1846520000000001E-2</v>
      </c>
    </row>
    <row r="25" spans="1:15" x14ac:dyDescent="0.2">
      <c r="A25" s="321" t="s">
        <v>677</v>
      </c>
      <c r="B25" s="321" t="s">
        <v>976</v>
      </c>
      <c r="C25" s="321" t="s">
        <v>1100</v>
      </c>
      <c r="D25" s="321">
        <f t="shared" si="0"/>
        <v>0.67</v>
      </c>
      <c r="E25" s="321">
        <f t="shared" si="1"/>
        <v>1.8000000000000002E-2</v>
      </c>
      <c r="F25" s="321">
        <f t="shared" si="2"/>
        <v>7.2000000000000008E-2</v>
      </c>
      <c r="G25" s="321">
        <f t="shared" si="3"/>
        <v>3.4000000000000002E-2</v>
      </c>
      <c r="H25" s="321">
        <f t="shared" si="4"/>
        <v>1.1347758000000001E-2</v>
      </c>
      <c r="I25" s="321">
        <f t="shared" si="5"/>
        <v>1.8589725000000001E-2</v>
      </c>
      <c r="J25" s="321">
        <f t="shared" si="6"/>
        <v>1.6334399999999999E-2</v>
      </c>
      <c r="K25" s="321">
        <f t="shared" si="7"/>
        <v>1.5208118999999999E-2</v>
      </c>
      <c r="L25" s="321">
        <f t="shared" si="8"/>
        <v>2.8798700000000001E-3</v>
      </c>
      <c r="M25" s="321">
        <f t="shared" si="9"/>
        <v>1.7899999999999999E-4</v>
      </c>
      <c r="N25" s="321">
        <f t="shared" si="10"/>
        <v>0.48</v>
      </c>
      <c r="O25" s="321">
        <f t="shared" si="11"/>
        <v>1.5033797999999998E-2</v>
      </c>
    </row>
    <row r="26" spans="1:15" x14ac:dyDescent="0.2">
      <c r="A26" s="321" t="s">
        <v>677</v>
      </c>
      <c r="B26" s="407" t="s">
        <v>977</v>
      </c>
      <c r="C26" s="321" t="s">
        <v>1101</v>
      </c>
      <c r="D26" s="321">
        <f t="shared" si="0"/>
        <v>0.66</v>
      </c>
      <c r="E26" s="321">
        <f t="shared" si="1"/>
        <v>1.8000000000000002E-2</v>
      </c>
      <c r="F26" s="321">
        <f t="shared" si="2"/>
        <v>6.8000000000000005E-2</v>
      </c>
      <c r="G26" s="321">
        <f t="shared" si="3"/>
        <v>3.5000000000000003E-2</v>
      </c>
      <c r="H26" s="321">
        <f t="shared" si="4"/>
        <v>7.8260400000000011E-3</v>
      </c>
      <c r="I26" s="321">
        <f t="shared" si="5"/>
        <v>1.6666650000000002E-2</v>
      </c>
      <c r="J26" s="321">
        <f t="shared" si="6"/>
        <v>1.2449999999999999E-2</v>
      </c>
      <c r="K26" s="321">
        <f t="shared" si="7"/>
        <v>9.0409199999999992E-3</v>
      </c>
      <c r="L26" s="321">
        <f t="shared" si="8"/>
        <v>2.0981909999999997E-3</v>
      </c>
      <c r="M26" s="321">
        <f t="shared" si="9"/>
        <v>1.3783E-4</v>
      </c>
      <c r="N26" s="321">
        <f t="shared" si="10"/>
        <v>0.52</v>
      </c>
      <c r="O26" s="321">
        <f t="shared" si="11"/>
        <v>1.12824E-2</v>
      </c>
    </row>
    <row r="27" spans="1:15" s="344" customFormat="1" x14ac:dyDescent="0.2">
      <c r="B27" s="344" t="s">
        <v>174</v>
      </c>
      <c r="C27" s="344" t="s">
        <v>174</v>
      </c>
      <c r="D27" s="344">
        <f>_Ped_Ent_Speciale_01/100</f>
        <v>0</v>
      </c>
      <c r="E27" s="344">
        <f>_Ped_Ent_Speciale_02/100</f>
        <v>0</v>
      </c>
      <c r="F27" s="344">
        <f>_Ped_Ent_Speciale_03/100</f>
        <v>0</v>
      </c>
      <c r="G27" s="344">
        <f>_Ped_Ent_Speciale_04/100</f>
        <v>0</v>
      </c>
      <c r="H27" s="344">
        <f>_Ped_Ent_Speciale_05/100</f>
        <v>0</v>
      </c>
      <c r="I27" s="344">
        <f>_Ped_Ent_Speciale_06/100</f>
        <v>0</v>
      </c>
      <c r="J27" s="344">
        <f>_Ped_Ent_Speciale_07/100</f>
        <v>0</v>
      </c>
      <c r="K27" s="344">
        <f>_Ped_Ent_Speciale_08/100</f>
        <v>0</v>
      </c>
      <c r="L27" s="344">
        <f>_Ped_Ent_Speciale_09/100</f>
        <v>0</v>
      </c>
      <c r="M27" s="344">
        <f>_Ped_Ent_Speciale_10/100</f>
        <v>0</v>
      </c>
      <c r="N27" s="344">
        <f>_Ped_Ent_Speciale_11/100</f>
        <v>0</v>
      </c>
      <c r="O27" s="344">
        <f>_Ped_Ent_Speciale_12/100</f>
        <v>0</v>
      </c>
    </row>
    <row r="28" spans="1:15" x14ac:dyDescent="0.2">
      <c r="A28" s="321" t="s">
        <v>537</v>
      </c>
    </row>
    <row r="30" spans="1:15" x14ac:dyDescent="0.2">
      <c r="D30" s="321" t="s">
        <v>1046</v>
      </c>
    </row>
    <row r="31" spans="1:15" x14ac:dyDescent="0.2">
      <c r="A31" s="321" t="s">
        <v>538</v>
      </c>
    </row>
    <row r="32" spans="1:15" x14ac:dyDescent="0.2">
      <c r="B32" s="321" t="s">
        <v>634</v>
      </c>
      <c r="C32" s="321" t="str">
        <f>IF(A32&lt;&gt;"",A32&amp;": "&amp;B32,B32)</f>
        <v>Nutrilon Nenatal BMF</v>
      </c>
      <c r="D32" s="321">
        <f t="shared" ref="D32:D54" si="12">VLOOKUP(B32,tblVoedingPoeder,2,FALSE)/100</f>
        <v>3.47</v>
      </c>
      <c r="E32" s="321">
        <f t="shared" ref="E32:E54" si="13">VLOOKUP(B32,tblVoedingPoeder,3,FALSE)/100</f>
        <v>0.252</v>
      </c>
      <c r="F32" s="321">
        <f t="shared" ref="F32:F54" si="14">VLOOKUP(B32,tblVoedingPoeder,4,FALSE)/100</f>
        <v>0.622</v>
      </c>
      <c r="G32" s="321">
        <f t="shared" ref="G32:G54" si="15">VLOOKUP(B32,tblVoedingPoeder,5,FALSE)/100</f>
        <v>0</v>
      </c>
      <c r="H32" s="321">
        <f t="shared" ref="H32:H54" si="16">VLOOKUP(B32,tblVoedingPoeder,6,FALSE)*tblOmrekenNA/100</f>
        <v>0.34912834000000004</v>
      </c>
      <c r="I32" s="321">
        <f t="shared" ref="I32:I54" si="17">VLOOKUP(B32,tblVoedingPoeder,7,FALSE)*tblOmrekenK/100</f>
        <v>0.13538448</v>
      </c>
      <c r="J32" s="321">
        <f t="shared" ref="J32:J54" si="18">VLOOKUP(B32,tblVoedingPoeder,8,FALSE)*tblOmrekenCa/100</f>
        <v>0.37125899999999995</v>
      </c>
      <c r="K32" s="321">
        <f t="shared" ref="K32:K54" si="19">VLOOKUP(B32,tblVoedingPoeder,9,FALSE)*tblOmrekenP/100</f>
        <v>0.28156007999999999</v>
      </c>
      <c r="L32" s="321">
        <f t="shared" ref="L32:L54" si="20">VLOOKUP(B32,tblVoedingPoeder,10,FALSE)*tblOmrekenMg/100</f>
        <v>4.7312149999999997E-2</v>
      </c>
      <c r="M32" s="321">
        <f t="shared" ref="M32:M54" si="21">VLOOKUP(B32,tblVoedingPoeder,11,FALSE)*tblOmrekenFe/100</f>
        <v>0</v>
      </c>
      <c r="N32" s="321">
        <f t="shared" ref="N32:N54" si="22">VLOOKUP(B32,tblVoedingPoeder,12,FALSE)*tblOmrekenVitD/100</f>
        <v>46</v>
      </c>
      <c r="O32" s="321">
        <f t="shared" ref="O32:O54" si="23">VLOOKUP(B32,tblVoedingPoeder,13,FALSE)*tblOmrekenCl/100</f>
        <v>0.16162037999999998</v>
      </c>
    </row>
    <row r="33" spans="2:15" x14ac:dyDescent="0.2">
      <c r="B33" s="408" t="s">
        <v>978</v>
      </c>
      <c r="C33" s="321" t="str">
        <f t="shared" ref="C33:C52" si="24">IF(A33&lt;&gt;"",A33&amp;": "&amp;B33,B33)</f>
        <v>Hero Baby 1 NS Standaard</v>
      </c>
      <c r="D33" s="321">
        <f t="shared" si="12"/>
        <v>5.09</v>
      </c>
      <c r="E33" s="321">
        <f t="shared" si="13"/>
        <v>0.1</v>
      </c>
      <c r="F33" s="321">
        <f t="shared" si="14"/>
        <v>0.56000000000000005</v>
      </c>
      <c r="G33" s="321">
        <f t="shared" si="15"/>
        <v>0.27</v>
      </c>
      <c r="H33" s="321">
        <f t="shared" si="16"/>
        <v>5.2173600000000001E-2</v>
      </c>
      <c r="I33" s="321">
        <f t="shared" si="17"/>
        <v>0.11846142</v>
      </c>
      <c r="J33" s="321">
        <f t="shared" si="18"/>
        <v>8.4162000000000001E-2</v>
      </c>
      <c r="K33" s="321">
        <f t="shared" si="19"/>
        <v>6.4577999999999997E-2</v>
      </c>
      <c r="L33" s="321">
        <f t="shared" si="20"/>
        <v>1.2671428E-2</v>
      </c>
      <c r="M33" s="321">
        <f t="shared" si="21"/>
        <v>5.5489999999999999E-4</v>
      </c>
      <c r="N33" s="321">
        <f t="shared" si="22"/>
        <v>3.68</v>
      </c>
      <c r="O33" s="321">
        <f t="shared" si="23"/>
        <v>8.6874480000000004E-2</v>
      </c>
    </row>
    <row r="34" spans="2:15" x14ac:dyDescent="0.2">
      <c r="B34" s="408" t="s">
        <v>979</v>
      </c>
      <c r="C34" s="321" t="str">
        <f t="shared" si="24"/>
        <v>Hero Baby 2 NS Standaard</v>
      </c>
      <c r="D34" s="321">
        <f t="shared" si="12"/>
        <v>4.7</v>
      </c>
      <c r="E34" s="321">
        <f t="shared" si="13"/>
        <v>9.5000000000000001E-2</v>
      </c>
      <c r="F34" s="321">
        <f t="shared" si="14"/>
        <v>0.64</v>
      </c>
      <c r="G34" s="321">
        <f t="shared" si="15"/>
        <v>0.19</v>
      </c>
      <c r="H34" s="321">
        <f t="shared" si="16"/>
        <v>6.956480000000001E-2</v>
      </c>
      <c r="I34" s="321">
        <f t="shared" si="17"/>
        <v>0.14205113999999999</v>
      </c>
      <c r="J34" s="321">
        <f t="shared" si="18"/>
        <v>0.100845</v>
      </c>
      <c r="K34" s="321">
        <f t="shared" si="19"/>
        <v>7.8462270000000001E-2</v>
      </c>
      <c r="L34" s="321">
        <f t="shared" si="20"/>
        <v>2.139332E-2</v>
      </c>
      <c r="M34" s="321">
        <f t="shared" si="21"/>
        <v>1.4678E-3</v>
      </c>
      <c r="N34" s="321">
        <f t="shared" si="22"/>
        <v>3.44</v>
      </c>
      <c r="O34" s="321">
        <f t="shared" si="23"/>
        <v>8.3771819999999997E-2</v>
      </c>
    </row>
    <row r="35" spans="2:15" x14ac:dyDescent="0.2">
      <c r="B35" s="408" t="s">
        <v>980</v>
      </c>
      <c r="C35" s="321" t="str">
        <f t="shared" si="24"/>
        <v>Hero Baby 1 NS Comfort</v>
      </c>
      <c r="D35" s="321">
        <f t="shared" si="12"/>
        <v>5.03</v>
      </c>
      <c r="E35" s="321">
        <f t="shared" si="13"/>
        <v>0.11</v>
      </c>
      <c r="F35" s="321">
        <f t="shared" si="14"/>
        <v>0.52</v>
      </c>
      <c r="G35" s="321">
        <f t="shared" si="15"/>
        <v>0.27</v>
      </c>
      <c r="H35" s="321">
        <f t="shared" si="16"/>
        <v>5.2173600000000001E-2</v>
      </c>
      <c r="I35" s="321">
        <f t="shared" si="17"/>
        <v>0.11846142</v>
      </c>
      <c r="J35" s="321">
        <f t="shared" si="18"/>
        <v>8.4162000000000001E-2</v>
      </c>
      <c r="K35" s="321">
        <f t="shared" si="19"/>
        <v>6.4577999999999997E-2</v>
      </c>
      <c r="L35" s="321">
        <f t="shared" si="20"/>
        <v>1.2671428E-2</v>
      </c>
      <c r="M35" s="321">
        <f t="shared" si="21"/>
        <v>5.5489999999999999E-4</v>
      </c>
      <c r="N35" s="321">
        <f t="shared" si="22"/>
        <v>3.68</v>
      </c>
      <c r="O35" s="321">
        <f t="shared" si="23"/>
        <v>8.6874480000000004E-2</v>
      </c>
    </row>
    <row r="36" spans="2:15" x14ac:dyDescent="0.2">
      <c r="B36" s="408" t="s">
        <v>981</v>
      </c>
      <c r="C36" s="321" t="str">
        <f t="shared" si="24"/>
        <v>Hero Baby 2 NS Comfort</v>
      </c>
      <c r="D36" s="321">
        <f t="shared" si="12"/>
        <v>5.03</v>
      </c>
      <c r="E36" s="321">
        <f t="shared" si="13"/>
        <v>0.11</v>
      </c>
      <c r="F36" s="321">
        <f t="shared" si="14"/>
        <v>0.52</v>
      </c>
      <c r="G36" s="321">
        <f t="shared" si="15"/>
        <v>0.27</v>
      </c>
      <c r="H36" s="321">
        <f t="shared" si="16"/>
        <v>5.2173600000000001E-2</v>
      </c>
      <c r="I36" s="321">
        <f t="shared" si="17"/>
        <v>0.11846142</v>
      </c>
      <c r="J36" s="321">
        <f t="shared" si="18"/>
        <v>8.4162000000000001E-2</v>
      </c>
      <c r="K36" s="321">
        <f t="shared" si="19"/>
        <v>6.4577999999999997E-2</v>
      </c>
      <c r="L36" s="321">
        <f t="shared" si="20"/>
        <v>1.2671428E-2</v>
      </c>
      <c r="M36" s="321">
        <f t="shared" si="21"/>
        <v>1.5215000000000001E-3</v>
      </c>
      <c r="N36" s="321">
        <f t="shared" si="22"/>
        <v>3.68</v>
      </c>
      <c r="O36" s="321">
        <f t="shared" si="23"/>
        <v>8.6874480000000004E-2</v>
      </c>
    </row>
    <row r="37" spans="2:15" x14ac:dyDescent="0.2">
      <c r="B37" s="408" t="s">
        <v>982</v>
      </c>
      <c r="C37" s="321" t="str">
        <f t="shared" si="24"/>
        <v>Hero Baby 1 NS Pep</v>
      </c>
      <c r="D37" s="321">
        <f t="shared" si="12"/>
        <v>4.93</v>
      </c>
      <c r="E37" s="321">
        <f t="shared" si="13"/>
        <v>0.13</v>
      </c>
      <c r="F37" s="321">
        <f t="shared" si="14"/>
        <v>0.53</v>
      </c>
      <c r="G37" s="321">
        <f t="shared" si="15"/>
        <v>0.26</v>
      </c>
      <c r="H37" s="321">
        <f t="shared" si="16"/>
        <v>8.8695120000000002E-2</v>
      </c>
      <c r="I37" s="321">
        <f t="shared" si="17"/>
        <v>0.1410255</v>
      </c>
      <c r="J37" s="321">
        <f t="shared" si="18"/>
        <v>9.9599999999999994E-2</v>
      </c>
      <c r="K37" s="321">
        <f t="shared" si="19"/>
        <v>7.4264699999999989E-2</v>
      </c>
      <c r="L37" s="321">
        <f t="shared" si="20"/>
        <v>2.0570499999999999E-2</v>
      </c>
      <c r="M37" s="321">
        <f t="shared" si="21"/>
        <v>6.265E-4</v>
      </c>
      <c r="N37" s="321">
        <f t="shared" si="22"/>
        <v>3.12</v>
      </c>
      <c r="O37" s="321">
        <f t="shared" si="23"/>
        <v>8.8848899999999981E-2</v>
      </c>
    </row>
    <row r="38" spans="2:15" x14ac:dyDescent="0.2">
      <c r="B38" s="408" t="s">
        <v>983</v>
      </c>
      <c r="C38" s="321" t="str">
        <f t="shared" si="24"/>
        <v>Hero Baby 2 NS Pep</v>
      </c>
      <c r="D38" s="321">
        <f t="shared" si="12"/>
        <v>4.93</v>
      </c>
      <c r="E38" s="321">
        <f t="shared" si="13"/>
        <v>0.13</v>
      </c>
      <c r="F38" s="321">
        <f t="shared" si="14"/>
        <v>0.53</v>
      </c>
      <c r="G38" s="321">
        <f t="shared" si="15"/>
        <v>0.26</v>
      </c>
      <c r="H38" s="321">
        <f t="shared" si="16"/>
        <v>8.8695120000000002E-2</v>
      </c>
      <c r="I38" s="321">
        <f t="shared" si="17"/>
        <v>0.1410255</v>
      </c>
      <c r="J38" s="321">
        <f t="shared" si="18"/>
        <v>9.9599999999999994E-2</v>
      </c>
      <c r="K38" s="321">
        <f t="shared" si="19"/>
        <v>7.4264699999999989E-2</v>
      </c>
      <c r="L38" s="321">
        <f t="shared" si="20"/>
        <v>2.0570499999999999E-2</v>
      </c>
      <c r="M38" s="321">
        <f t="shared" si="21"/>
        <v>1.2708999999999997E-3</v>
      </c>
      <c r="N38" s="321">
        <f t="shared" si="22"/>
        <v>3.12</v>
      </c>
      <c r="O38" s="321">
        <f t="shared" si="23"/>
        <v>8.8848899999999981E-2</v>
      </c>
    </row>
    <row r="39" spans="2:15" x14ac:dyDescent="0.2">
      <c r="B39" s="408" t="s">
        <v>984</v>
      </c>
      <c r="C39" s="321" t="str">
        <f t="shared" si="24"/>
        <v>Nutramigen 1 LGG pdr</v>
      </c>
      <c r="D39" s="321">
        <f t="shared" si="12"/>
        <v>5</v>
      </c>
      <c r="E39" s="321">
        <f t="shared" si="13"/>
        <v>0.14000000000000001</v>
      </c>
      <c r="F39" s="321">
        <f t="shared" si="14"/>
        <v>0.55000000000000004</v>
      </c>
      <c r="G39" s="321">
        <f t="shared" si="15"/>
        <v>0.25</v>
      </c>
      <c r="H39" s="321">
        <f t="shared" si="16"/>
        <v>0.1043472</v>
      </c>
      <c r="I39" s="321">
        <f t="shared" si="17"/>
        <v>0.1564101</v>
      </c>
      <c r="J39" s="321">
        <f t="shared" si="18"/>
        <v>0.14068499999999998</v>
      </c>
      <c r="K39" s="321">
        <f t="shared" si="19"/>
        <v>0.12592709999999999</v>
      </c>
      <c r="L39" s="321">
        <f t="shared" si="20"/>
        <v>2.0570499999999999E-2</v>
      </c>
      <c r="M39" s="321">
        <f t="shared" si="21"/>
        <v>1.611E-3</v>
      </c>
      <c r="N39" s="321">
        <f t="shared" si="22"/>
        <v>3</v>
      </c>
      <c r="O39" s="321">
        <f t="shared" si="23"/>
        <v>0.13538879999999998</v>
      </c>
    </row>
    <row r="40" spans="2:15" x14ac:dyDescent="0.2">
      <c r="B40" s="408" t="s">
        <v>38</v>
      </c>
      <c r="C40" s="321" t="str">
        <f t="shared" si="24"/>
        <v>Nutramigen 2 LGG pdr</v>
      </c>
      <c r="D40" s="321">
        <f t="shared" si="12"/>
        <v>4.66</v>
      </c>
      <c r="E40" s="321">
        <f t="shared" si="13"/>
        <v>0.11599999999999999</v>
      </c>
      <c r="F40" s="321">
        <f t="shared" si="14"/>
        <v>0.59</v>
      </c>
      <c r="G40" s="321">
        <f t="shared" si="15"/>
        <v>0.2</v>
      </c>
      <c r="H40" s="321">
        <f t="shared" si="16"/>
        <v>7.478216E-2</v>
      </c>
      <c r="I40" s="321">
        <f t="shared" si="17"/>
        <v>0.14564088</v>
      </c>
      <c r="J40" s="321">
        <f t="shared" si="18"/>
        <v>0.15886199999999998</v>
      </c>
      <c r="K40" s="321">
        <f t="shared" si="19"/>
        <v>0.10849103999999998</v>
      </c>
      <c r="L40" s="321">
        <f t="shared" si="20"/>
        <v>1.9336269999999999E-2</v>
      </c>
      <c r="M40" s="321">
        <f t="shared" si="21"/>
        <v>1.4678E-3</v>
      </c>
      <c r="N40" s="321">
        <f t="shared" si="22"/>
        <v>2.92</v>
      </c>
      <c r="O40" s="321">
        <f t="shared" si="23"/>
        <v>0.10520837999999999</v>
      </c>
    </row>
    <row r="41" spans="2:15" x14ac:dyDescent="0.2">
      <c r="B41" s="408" t="s">
        <v>985</v>
      </c>
      <c r="C41" s="321" t="str">
        <f t="shared" si="24"/>
        <v>Nutrison Advanced Peptisorb Powder</v>
      </c>
      <c r="D41" s="321">
        <f t="shared" si="12"/>
        <v>4.0199999999999996</v>
      </c>
      <c r="E41" s="321">
        <f t="shared" si="13"/>
        <v>0.14699999999999999</v>
      </c>
      <c r="F41" s="321">
        <f t="shared" si="14"/>
        <v>0.71</v>
      </c>
      <c r="G41" s="321">
        <f t="shared" si="15"/>
        <v>6.7000000000000004E-2</v>
      </c>
      <c r="H41" s="321">
        <f t="shared" si="16"/>
        <v>0.17478156000000003</v>
      </c>
      <c r="I41" s="321">
        <f t="shared" si="17"/>
        <v>0.15461522999999999</v>
      </c>
      <c r="J41" s="321">
        <f t="shared" si="18"/>
        <v>8.0177999999999999E-2</v>
      </c>
      <c r="K41" s="321">
        <f t="shared" si="19"/>
        <v>8.6211629999999997E-2</v>
      </c>
      <c r="L41" s="321">
        <f t="shared" si="20"/>
        <v>3.4558439999999996E-2</v>
      </c>
      <c r="M41" s="321">
        <f t="shared" si="21"/>
        <v>1.1455999999999999E-3</v>
      </c>
      <c r="N41" s="321">
        <f t="shared" si="22"/>
        <v>1.1200000000000001</v>
      </c>
      <c r="O41" s="321">
        <f t="shared" si="23"/>
        <v>0.14187617999999999</v>
      </c>
    </row>
    <row r="42" spans="2:15" x14ac:dyDescent="0.2">
      <c r="B42" s="408" t="s">
        <v>986</v>
      </c>
      <c r="C42" s="321" t="str">
        <f t="shared" si="24"/>
        <v>Nutrilon Pepti Junior pdr</v>
      </c>
      <c r="D42" s="321">
        <f t="shared" si="12"/>
        <v>5.15</v>
      </c>
      <c r="E42" s="321">
        <f t="shared" si="13"/>
        <v>0.14000000000000001</v>
      </c>
      <c r="F42" s="321">
        <f t="shared" si="14"/>
        <v>0.53400000000000003</v>
      </c>
      <c r="G42" s="321">
        <f t="shared" si="15"/>
        <v>0.27300000000000002</v>
      </c>
      <c r="H42" s="321">
        <f t="shared" si="16"/>
        <v>6.0869199999999998E-2</v>
      </c>
      <c r="I42" s="321">
        <f t="shared" si="17"/>
        <v>0.12999987000000002</v>
      </c>
      <c r="J42" s="321">
        <f t="shared" si="18"/>
        <v>9.7110000000000002E-2</v>
      </c>
      <c r="K42" s="321">
        <f t="shared" si="19"/>
        <v>7.0390019999999998E-2</v>
      </c>
      <c r="L42" s="321">
        <f t="shared" si="20"/>
        <v>1.6456399999999996E-2</v>
      </c>
      <c r="M42" s="321">
        <f t="shared" si="21"/>
        <v>1.0739999999999999E-3</v>
      </c>
      <c r="N42" s="321">
        <f t="shared" si="22"/>
        <v>3.92</v>
      </c>
      <c r="O42" s="321">
        <f t="shared" si="23"/>
        <v>8.7438599999999991E-2</v>
      </c>
    </row>
    <row r="43" spans="2:15" x14ac:dyDescent="0.2">
      <c r="B43" s="408" t="s">
        <v>987</v>
      </c>
      <c r="C43" s="321" t="str">
        <f t="shared" si="24"/>
        <v>Nutrilon Nenatal Start pdr</v>
      </c>
      <c r="D43" s="321">
        <f t="shared" si="12"/>
        <v>4.74</v>
      </c>
      <c r="E43" s="321">
        <f t="shared" si="13"/>
        <v>0.156</v>
      </c>
      <c r="F43" s="321">
        <f t="shared" si="14"/>
        <v>0.22899999999999998</v>
      </c>
      <c r="G43" s="321">
        <f t="shared" si="15"/>
        <v>0.498</v>
      </c>
      <c r="H43" s="321">
        <f t="shared" si="16"/>
        <v>0.1804337</v>
      </c>
      <c r="I43" s="321">
        <f t="shared" si="17"/>
        <v>0.12153833999999999</v>
      </c>
      <c r="J43" s="321">
        <f t="shared" si="18"/>
        <v>0.14765699999999998</v>
      </c>
      <c r="K43" s="321">
        <f t="shared" si="19"/>
        <v>0.10719947999999999</v>
      </c>
      <c r="L43" s="321">
        <f t="shared" si="20"/>
        <v>1.9336269999999999E-2</v>
      </c>
      <c r="M43" s="321">
        <f t="shared" si="21"/>
        <v>1.7004999999999998E-3</v>
      </c>
      <c r="N43" s="321">
        <f t="shared" si="22"/>
        <v>7.2</v>
      </c>
      <c r="O43" s="321">
        <f t="shared" si="23"/>
        <v>0.14215823999999999</v>
      </c>
    </row>
    <row r="44" spans="2:15" x14ac:dyDescent="0.2">
      <c r="B44" s="408" t="s">
        <v>974</v>
      </c>
      <c r="C44" s="321" t="str">
        <f t="shared" si="24"/>
        <v>Nutrilon Nenatal 1</v>
      </c>
      <c r="D44" s="321">
        <f t="shared" si="12"/>
        <v>4.91</v>
      </c>
      <c r="E44" s="321">
        <f t="shared" si="13"/>
        <v>0.13400000000000001</v>
      </c>
      <c r="F44" s="321">
        <f t="shared" si="14"/>
        <v>0.49099999999999999</v>
      </c>
      <c r="G44" s="321">
        <f t="shared" si="15"/>
        <v>0.26</v>
      </c>
      <c r="H44" s="321">
        <f t="shared" si="16"/>
        <v>7.9564740000000009E-2</v>
      </c>
      <c r="I44" s="321">
        <f t="shared" si="17"/>
        <v>0.12923064000000001</v>
      </c>
      <c r="J44" s="321">
        <f t="shared" si="18"/>
        <v>0.141681</v>
      </c>
      <c r="K44" s="321">
        <f t="shared" si="19"/>
        <v>9.9450120000000003E-2</v>
      </c>
      <c r="L44" s="321">
        <f t="shared" si="20"/>
        <v>1.8924859999999998E-2</v>
      </c>
      <c r="M44" s="321">
        <f t="shared" si="21"/>
        <v>1.4141000000000002E-3</v>
      </c>
      <c r="N44" s="321">
        <f t="shared" si="22"/>
        <v>4.4000000000000004</v>
      </c>
      <c r="O44" s="321">
        <f t="shared" si="23"/>
        <v>0.1015416</v>
      </c>
    </row>
    <row r="45" spans="2:15" x14ac:dyDescent="0.2">
      <c r="B45" s="384" t="s">
        <v>988</v>
      </c>
      <c r="C45" s="321" t="str">
        <f t="shared" si="24"/>
        <v>Nutrilon Nenatal Protein Fortifier</v>
      </c>
      <c r="D45" s="321">
        <f t="shared" si="12"/>
        <v>3.38</v>
      </c>
      <c r="E45" s="321">
        <f t="shared" si="13"/>
        <v>0.82099999999999995</v>
      </c>
      <c r="F45" s="321">
        <f t="shared" si="14"/>
        <v>2.2000000000000002E-2</v>
      </c>
      <c r="G45" s="321">
        <f t="shared" si="15"/>
        <v>1E-3</v>
      </c>
      <c r="H45" s="321">
        <f t="shared" si="16"/>
        <v>0.33738928000000001</v>
      </c>
      <c r="I45" s="321">
        <f t="shared" si="17"/>
        <v>0.31435866000000001</v>
      </c>
      <c r="J45" s="321">
        <f t="shared" si="18"/>
        <v>0.13047599999999998</v>
      </c>
      <c r="K45" s="321">
        <f t="shared" si="19"/>
        <v>0.16661123999999997</v>
      </c>
      <c r="L45" s="321">
        <f t="shared" si="20"/>
        <v>1.8924859999999998E-2</v>
      </c>
      <c r="M45" s="321">
        <f t="shared" si="21"/>
        <v>0</v>
      </c>
      <c r="N45" s="321">
        <f t="shared" si="22"/>
        <v>0</v>
      </c>
      <c r="O45" s="321">
        <f t="shared" si="23"/>
        <v>1.8615959999999997E-2</v>
      </c>
    </row>
    <row r="46" spans="2:15" x14ac:dyDescent="0.2">
      <c r="B46" s="384" t="s">
        <v>989</v>
      </c>
      <c r="C46" s="321" t="str">
        <f t="shared" si="24"/>
        <v>Calogen neutraal</v>
      </c>
      <c r="D46" s="321">
        <f t="shared" si="12"/>
        <v>4.5</v>
      </c>
      <c r="E46" s="321">
        <f t="shared" si="13"/>
        <v>0</v>
      </c>
      <c r="F46" s="321">
        <f t="shared" si="14"/>
        <v>0</v>
      </c>
      <c r="G46" s="321">
        <f t="shared" si="15"/>
        <v>0.5</v>
      </c>
      <c r="H46" s="321">
        <f t="shared" si="16"/>
        <v>3.04346E-3</v>
      </c>
      <c r="I46" s="321">
        <f t="shared" si="17"/>
        <v>0</v>
      </c>
      <c r="J46" s="321">
        <f t="shared" si="18"/>
        <v>0</v>
      </c>
      <c r="K46" s="321">
        <f t="shared" si="19"/>
        <v>0</v>
      </c>
      <c r="L46" s="321">
        <f t="shared" si="20"/>
        <v>0</v>
      </c>
      <c r="M46" s="321">
        <f t="shared" si="21"/>
        <v>0</v>
      </c>
      <c r="N46" s="321">
        <f t="shared" si="22"/>
        <v>0</v>
      </c>
      <c r="O46" s="321">
        <f t="shared" si="23"/>
        <v>2.8206000000000001E-5</v>
      </c>
    </row>
    <row r="47" spans="2:15" x14ac:dyDescent="0.2">
      <c r="B47" s="384" t="s">
        <v>990</v>
      </c>
      <c r="C47" s="321" t="str">
        <f t="shared" si="24"/>
        <v>Liquigen</v>
      </c>
      <c r="D47" s="321">
        <f t="shared" si="12"/>
        <v>4.5</v>
      </c>
      <c r="E47" s="321">
        <f t="shared" si="13"/>
        <v>0</v>
      </c>
      <c r="F47" s="321">
        <f t="shared" si="14"/>
        <v>0</v>
      </c>
      <c r="G47" s="321">
        <f t="shared" si="15"/>
        <v>0.5</v>
      </c>
      <c r="H47" s="321">
        <f t="shared" si="16"/>
        <v>2.1739000000000003E-3</v>
      </c>
      <c r="I47" s="321">
        <f t="shared" si="17"/>
        <v>2.5641000000000001E-5</v>
      </c>
      <c r="J47" s="321">
        <f t="shared" si="18"/>
        <v>7.4699999999999986E-5</v>
      </c>
      <c r="K47" s="321">
        <f t="shared" si="19"/>
        <v>0</v>
      </c>
      <c r="L47" s="321">
        <f t="shared" si="20"/>
        <v>0</v>
      </c>
      <c r="M47" s="321">
        <f t="shared" si="21"/>
        <v>0</v>
      </c>
      <c r="N47" s="321">
        <f t="shared" si="22"/>
        <v>0</v>
      </c>
      <c r="O47" s="321">
        <f t="shared" si="23"/>
        <v>2.8205999999999997E-6</v>
      </c>
    </row>
    <row r="48" spans="2:15" x14ac:dyDescent="0.2">
      <c r="B48" s="384" t="s">
        <v>572</v>
      </c>
      <c r="C48" s="321" t="str">
        <f t="shared" si="24"/>
        <v>Fantomalt</v>
      </c>
      <c r="D48" s="321">
        <f t="shared" si="12"/>
        <v>3.84</v>
      </c>
      <c r="E48" s="321">
        <f t="shared" si="13"/>
        <v>0</v>
      </c>
      <c r="F48" s="321">
        <f t="shared" si="14"/>
        <v>0.96</v>
      </c>
      <c r="G48" s="321">
        <f t="shared" si="15"/>
        <v>0</v>
      </c>
      <c r="H48" s="321">
        <f t="shared" si="16"/>
        <v>8.6956000000000002E-4</v>
      </c>
      <c r="I48" s="321">
        <f t="shared" si="17"/>
        <v>0</v>
      </c>
      <c r="J48" s="321">
        <f t="shared" si="18"/>
        <v>0</v>
      </c>
      <c r="K48" s="321">
        <f t="shared" si="19"/>
        <v>0</v>
      </c>
      <c r="L48" s="321">
        <f t="shared" si="20"/>
        <v>0</v>
      </c>
      <c r="M48" s="321">
        <f t="shared" si="21"/>
        <v>0</v>
      </c>
      <c r="N48" s="321">
        <f t="shared" si="22"/>
        <v>0</v>
      </c>
      <c r="O48" s="321">
        <f t="shared" si="23"/>
        <v>0</v>
      </c>
    </row>
    <row r="49" spans="2:15" x14ac:dyDescent="0.2">
      <c r="B49" s="384" t="s">
        <v>991</v>
      </c>
      <c r="C49" s="321" t="str">
        <f t="shared" si="24"/>
        <v>Nutrilon Pepti 1 pdr</v>
      </c>
      <c r="D49" s="321">
        <f t="shared" si="12"/>
        <v>4.93</v>
      </c>
      <c r="E49" s="321">
        <f t="shared" si="13"/>
        <v>0.11599999999999999</v>
      </c>
      <c r="F49" s="321">
        <f t="shared" si="14"/>
        <v>0.51800000000000002</v>
      </c>
      <c r="G49" s="321">
        <f t="shared" si="15"/>
        <v>0.25700000000000001</v>
      </c>
      <c r="H49" s="321">
        <f t="shared" si="16"/>
        <v>6.5216999999999997E-2</v>
      </c>
      <c r="I49" s="321">
        <f t="shared" si="17"/>
        <v>0.15333318000000001</v>
      </c>
      <c r="J49" s="321">
        <f t="shared" si="18"/>
        <v>8.6153999999999994E-2</v>
      </c>
      <c r="K49" s="321">
        <f t="shared" si="19"/>
        <v>6.1671990000000003E-2</v>
      </c>
      <c r="L49" s="321">
        <f t="shared" si="20"/>
        <v>1.6044989999999999E-2</v>
      </c>
      <c r="M49" s="321">
        <f t="shared" si="21"/>
        <v>6.981E-4</v>
      </c>
      <c r="N49" s="321">
        <f t="shared" si="22"/>
        <v>3.76</v>
      </c>
      <c r="O49" s="321">
        <f t="shared" si="23"/>
        <v>8.1797399999999992E-2</v>
      </c>
    </row>
    <row r="50" spans="2:15" x14ac:dyDescent="0.2">
      <c r="B50" s="384" t="s">
        <v>992</v>
      </c>
      <c r="C50" s="321" t="str">
        <f t="shared" si="24"/>
        <v>Nutrilon Hypoallergeen 1 pdr</v>
      </c>
      <c r="D50" s="321">
        <f t="shared" si="12"/>
        <v>4.83</v>
      </c>
      <c r="E50" s="321">
        <f t="shared" si="13"/>
        <v>0.11</v>
      </c>
      <c r="F50" s="321">
        <f t="shared" si="14"/>
        <v>0.52500000000000002</v>
      </c>
      <c r="G50" s="321">
        <f t="shared" si="15"/>
        <v>0.24600000000000002</v>
      </c>
      <c r="H50" s="321">
        <f t="shared" si="16"/>
        <v>7.8695180000000003E-2</v>
      </c>
      <c r="I50" s="321">
        <f t="shared" si="17"/>
        <v>0.1358973</v>
      </c>
      <c r="J50" s="321">
        <f t="shared" si="18"/>
        <v>8.4410999999999986E-2</v>
      </c>
      <c r="K50" s="321">
        <f t="shared" si="19"/>
        <v>6.1349099999999997E-2</v>
      </c>
      <c r="L50" s="321">
        <f t="shared" si="20"/>
        <v>1.522217E-2</v>
      </c>
      <c r="M50" s="321">
        <f t="shared" si="21"/>
        <v>6.981E-4</v>
      </c>
      <c r="N50" s="321">
        <f t="shared" si="22"/>
        <v>3.52</v>
      </c>
      <c r="O50" s="321">
        <f t="shared" si="23"/>
        <v>8.518212E-2</v>
      </c>
    </row>
    <row r="51" spans="2:15" x14ac:dyDescent="0.2">
      <c r="B51" s="384" t="s">
        <v>993</v>
      </c>
      <c r="C51" s="321" t="str">
        <f t="shared" si="24"/>
        <v>Neocate LCP</v>
      </c>
      <c r="D51" s="321">
        <f t="shared" si="12"/>
        <v>4.83</v>
      </c>
      <c r="E51" s="321">
        <f t="shared" si="13"/>
        <v>0.13</v>
      </c>
      <c r="F51" s="321">
        <f t="shared" si="14"/>
        <v>0.52500000000000002</v>
      </c>
      <c r="G51" s="321">
        <f t="shared" si="15"/>
        <v>0.245</v>
      </c>
      <c r="H51" s="321">
        <f t="shared" si="16"/>
        <v>8.2173419999999997E-2</v>
      </c>
      <c r="I51" s="321">
        <f t="shared" si="17"/>
        <v>0.13461524999999999</v>
      </c>
      <c r="J51" s="321">
        <f t="shared" si="18"/>
        <v>0.11827499999999999</v>
      </c>
      <c r="K51" s="321">
        <f t="shared" si="19"/>
        <v>0.11010548999999999</v>
      </c>
      <c r="L51" s="321">
        <f t="shared" si="20"/>
        <v>2.0981909999999999E-2</v>
      </c>
      <c r="M51" s="321">
        <f t="shared" si="21"/>
        <v>1.2977500000000001E-3</v>
      </c>
      <c r="N51" s="321">
        <f t="shared" si="22"/>
        <v>3.52</v>
      </c>
      <c r="O51" s="321">
        <f t="shared" si="23"/>
        <v>0.10887516</v>
      </c>
    </row>
    <row r="52" spans="2:15" x14ac:dyDescent="0.2">
      <c r="B52" s="384" t="s">
        <v>994</v>
      </c>
      <c r="C52" s="321" t="str">
        <f t="shared" si="24"/>
        <v>Neocate Junior</v>
      </c>
      <c r="D52" s="321">
        <f t="shared" si="12"/>
        <v>4.75</v>
      </c>
      <c r="E52" s="321">
        <f t="shared" si="13"/>
        <v>0.13300000000000001</v>
      </c>
      <c r="F52" s="321">
        <f t="shared" si="14"/>
        <v>0.56000000000000005</v>
      </c>
      <c r="G52" s="321">
        <f t="shared" si="15"/>
        <v>0.22</v>
      </c>
      <c r="H52" s="321">
        <f t="shared" si="16"/>
        <v>0.1239123</v>
      </c>
      <c r="I52" s="321">
        <f t="shared" si="17"/>
        <v>0.13999986</v>
      </c>
      <c r="J52" s="321">
        <f t="shared" si="18"/>
        <v>0.106572</v>
      </c>
      <c r="K52" s="321">
        <f t="shared" si="19"/>
        <v>9.9773009999999995E-2</v>
      </c>
      <c r="L52" s="321">
        <f t="shared" si="20"/>
        <v>2.7358764999999997E-2</v>
      </c>
      <c r="M52" s="321">
        <f t="shared" si="21"/>
        <v>1.0203E-3</v>
      </c>
      <c r="N52" s="321">
        <f t="shared" si="22"/>
        <v>2.48</v>
      </c>
      <c r="O52" s="321">
        <f t="shared" si="23"/>
        <v>0.12326022</v>
      </c>
    </row>
    <row r="53" spans="2:15" x14ac:dyDescent="0.2">
      <c r="B53" s="395" t="s">
        <v>1103</v>
      </c>
      <c r="C53" s="395" t="s">
        <v>1047</v>
      </c>
      <c r="D53" s="321">
        <f t="shared" si="12"/>
        <v>4.84</v>
      </c>
      <c r="E53" s="321">
        <f t="shared" si="13"/>
        <v>9.6999999999999989E-2</v>
      </c>
      <c r="F53" s="321">
        <f t="shared" si="14"/>
        <v>0.53799999999999992</v>
      </c>
      <c r="G53" s="321">
        <f t="shared" si="15"/>
        <v>0.247</v>
      </c>
      <c r="H53" s="321">
        <f t="shared" si="16"/>
        <v>5.43475E-2</v>
      </c>
      <c r="I53" s="321">
        <f t="shared" si="17"/>
        <v>0.12846141</v>
      </c>
      <c r="J53" s="321">
        <f t="shared" si="18"/>
        <v>0.10408199999999999</v>
      </c>
      <c r="K53" s="321">
        <f t="shared" si="19"/>
        <v>7.6524929999999991E-2</v>
      </c>
      <c r="L53" s="321">
        <f t="shared" si="20"/>
        <v>1.522217E-2</v>
      </c>
      <c r="M53" s="321">
        <f t="shared" si="21"/>
        <v>6.981E-4</v>
      </c>
      <c r="N53" s="321">
        <f t="shared" si="22"/>
        <v>3.48</v>
      </c>
      <c r="O53" s="321">
        <f t="shared" si="23"/>
        <v>8.5746240000000001E-2</v>
      </c>
    </row>
    <row r="54" spans="2:15" x14ac:dyDescent="0.2">
      <c r="B54" s="395" t="s">
        <v>1048</v>
      </c>
      <c r="C54" s="395" t="s">
        <v>1048</v>
      </c>
      <c r="D54" s="321">
        <f t="shared" si="12"/>
        <v>3.18</v>
      </c>
      <c r="E54" s="321">
        <f t="shared" si="13"/>
        <v>0</v>
      </c>
      <c r="F54" s="321">
        <f t="shared" si="14"/>
        <v>0.66200000000000003</v>
      </c>
      <c r="G54" s="321">
        <f t="shared" si="15"/>
        <v>3.0000000000000001E-3</v>
      </c>
      <c r="H54" s="321">
        <f t="shared" si="16"/>
        <v>2.6086799999999999E-3</v>
      </c>
      <c r="I54" s="321">
        <f t="shared" si="17"/>
        <v>2.3333310000000003E-2</v>
      </c>
      <c r="J54" s="321">
        <f t="shared" si="18"/>
        <v>8.3415000000000003E-2</v>
      </c>
      <c r="K54" s="321">
        <f t="shared" si="19"/>
        <v>3.8746799999999997E-3</v>
      </c>
      <c r="L54" s="321">
        <f t="shared" si="20"/>
        <v>3.7438309999999995E-3</v>
      </c>
      <c r="M54" s="321">
        <f t="shared" si="21"/>
        <v>1.5751999999999999E-3</v>
      </c>
      <c r="N54" s="321">
        <f t="shared" si="22"/>
        <v>0</v>
      </c>
      <c r="O54" s="321">
        <f t="shared" si="23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833" customWidth="1"/>
    <col min="2" max="9" width="10.7109375" style="833" customWidth="1"/>
    <col min="10" max="10" width="3.7109375" style="833" customWidth="1"/>
    <col min="11" max="12" width="10.7109375" style="833" customWidth="1"/>
    <col min="13" max="16384" width="9.140625" style="833"/>
  </cols>
  <sheetData>
    <row r="1" spans="1:81" s="752" customFormat="1" ht="17.25" customHeight="1" x14ac:dyDescent="0.2">
      <c r="A1" s="831"/>
      <c r="B1" s="781"/>
      <c r="C1" s="781"/>
      <c r="D1" s="781"/>
      <c r="E1" s="781"/>
      <c r="F1" s="781"/>
      <c r="G1" s="781"/>
      <c r="H1" s="781"/>
      <c r="I1" s="781"/>
      <c r="J1" s="781"/>
      <c r="K1" s="781"/>
      <c r="L1" s="781"/>
      <c r="M1" s="781"/>
      <c r="N1" s="781"/>
      <c r="R1" s="762"/>
      <c r="S1" s="762"/>
      <c r="T1" s="762"/>
      <c r="U1" s="762"/>
      <c r="V1" s="762"/>
      <c r="W1" s="762"/>
      <c r="X1" s="762"/>
    </row>
    <row r="2" spans="1:81" s="752" customFormat="1" ht="17.25" customHeight="1" x14ac:dyDescent="0.2">
      <c r="A2" s="762"/>
      <c r="B2" s="781"/>
      <c r="C2" s="736" t="s">
        <v>316</v>
      </c>
      <c r="D2" s="737">
        <f ca="1">Var_AfspraakDatum</f>
        <v>42748</v>
      </c>
      <c r="E2" s="738"/>
      <c r="F2" s="736" t="s">
        <v>5114</v>
      </c>
      <c r="G2" s="937"/>
      <c r="H2" s="740" t="str">
        <f>PatDetails!B13</f>
        <v/>
      </c>
      <c r="I2" s="736"/>
      <c r="J2" s="781" t="str">
        <f>PatDetails!B21</f>
        <v>Gewicht:</v>
      </c>
      <c r="K2" s="781"/>
      <c r="L2" s="781"/>
      <c r="M2" s="781" t="s">
        <v>536</v>
      </c>
      <c r="N2" s="781">
        <v>0</v>
      </c>
      <c r="R2" s="762"/>
      <c r="S2" s="762"/>
      <c r="T2" s="762"/>
      <c r="U2" s="762"/>
      <c r="V2" s="762"/>
      <c r="W2" s="762"/>
      <c r="X2" s="762"/>
    </row>
    <row r="3" spans="1:81" s="752" customFormat="1" ht="17.25" customHeight="1" x14ac:dyDescent="0.2">
      <c r="A3" s="762"/>
      <c r="B3" s="704"/>
      <c r="C3" s="736" t="s">
        <v>28</v>
      </c>
      <c r="D3" s="741" t="str">
        <f>PatDetails!B19</f>
        <v/>
      </c>
      <c r="E3" s="741"/>
      <c r="F3" s="736" t="s">
        <v>5115</v>
      </c>
      <c r="G3" s="937"/>
      <c r="H3" s="740" t="str">
        <f ca="1">PatDetails!B14</f>
        <v/>
      </c>
      <c r="I3" s="781"/>
      <c r="J3" s="736" t="str">
        <f>PatDetails!B22</f>
        <v>Lengte:</v>
      </c>
      <c r="K3" s="781"/>
      <c r="L3" s="781"/>
      <c r="M3" s="781"/>
      <c r="N3" s="781"/>
      <c r="R3" s="762"/>
      <c r="S3" s="762"/>
      <c r="T3" s="762"/>
      <c r="U3" s="762"/>
      <c r="V3" s="762"/>
      <c r="W3" s="762"/>
      <c r="X3" s="762"/>
    </row>
    <row r="4" spans="1:81" s="752" customFormat="1" ht="17.25" customHeight="1" x14ac:dyDescent="0.2">
      <c r="A4" s="754"/>
      <c r="B4" s="744"/>
      <c r="C4" s="736" t="s">
        <v>5108</v>
      </c>
      <c r="D4" s="736" t="str">
        <f>PatDetails!B15</f>
        <v/>
      </c>
      <c r="E4" s="738"/>
      <c r="F4" s="736" t="s">
        <v>287</v>
      </c>
      <c r="G4" s="938"/>
      <c r="H4" s="745" t="str">
        <f ca="1">PatDetails!B18</f>
        <v/>
      </c>
      <c r="I4" s="736"/>
      <c r="J4" s="736" t="str">
        <f>PatDetails!B23</f>
        <v>Lichamelijk oppervlak:</v>
      </c>
      <c r="K4" s="744"/>
      <c r="L4" s="781"/>
      <c r="M4" s="744"/>
      <c r="N4" s="781"/>
      <c r="R4" s="754"/>
      <c r="S4" s="754"/>
      <c r="T4" s="754"/>
      <c r="U4" s="754"/>
      <c r="V4" s="754"/>
      <c r="W4" s="754"/>
      <c r="X4" s="754"/>
      <c r="Y4" s="759"/>
      <c r="Z4" s="759"/>
      <c r="AA4" s="759"/>
      <c r="AB4" s="759"/>
      <c r="AC4" s="759"/>
      <c r="AD4" s="759"/>
      <c r="AE4" s="759"/>
      <c r="AF4" s="759"/>
      <c r="AG4" s="759"/>
      <c r="AH4" s="759"/>
      <c r="AI4" s="759"/>
      <c r="AJ4" s="759"/>
      <c r="AK4" s="759"/>
      <c r="AL4" s="759"/>
      <c r="AM4" s="759"/>
      <c r="AN4" s="759"/>
      <c r="AO4" s="759"/>
      <c r="AP4" s="759"/>
      <c r="AQ4" s="759"/>
      <c r="AR4" s="759"/>
      <c r="AS4" s="759"/>
      <c r="AT4" s="759"/>
      <c r="AU4" s="759"/>
      <c r="AV4" s="759"/>
      <c r="AW4" s="759"/>
      <c r="AX4" s="759"/>
      <c r="AY4" s="759"/>
      <c r="AZ4" s="759"/>
      <c r="BA4" s="759"/>
      <c r="BB4" s="759"/>
      <c r="BC4" s="759"/>
      <c r="BD4" s="759"/>
      <c r="BE4" s="759"/>
      <c r="BF4" s="759"/>
      <c r="BG4" s="759"/>
      <c r="BH4" s="759"/>
      <c r="BI4" s="759"/>
      <c r="BJ4" s="759"/>
      <c r="BK4" s="759"/>
      <c r="BL4" s="759"/>
      <c r="BM4" s="759"/>
      <c r="BN4" s="759"/>
      <c r="BO4" s="759"/>
      <c r="BP4" s="759"/>
      <c r="BQ4" s="759"/>
      <c r="BR4" s="759"/>
      <c r="BS4" s="759"/>
      <c r="BT4" s="759"/>
      <c r="BU4" s="759"/>
      <c r="BV4" s="759"/>
      <c r="BW4" s="759"/>
      <c r="BX4" s="759"/>
      <c r="BY4" s="759"/>
      <c r="BZ4" s="759"/>
      <c r="CA4" s="759"/>
      <c r="CB4" s="759"/>
      <c r="CC4" s="759"/>
    </row>
    <row r="5" spans="1:81" s="752" customFormat="1" ht="8.1" customHeight="1" x14ac:dyDescent="0.2">
      <c r="A5" s="754"/>
      <c r="B5" s="744"/>
      <c r="C5" s="736"/>
      <c r="D5" s="736"/>
      <c r="E5" s="738"/>
      <c r="F5" s="736"/>
      <c r="G5" s="744"/>
      <c r="H5" s="745"/>
      <c r="I5" s="736"/>
      <c r="J5" s="736"/>
      <c r="K5" s="744"/>
      <c r="L5" s="781"/>
      <c r="M5" s="744"/>
      <c r="N5" s="781"/>
      <c r="R5" s="754"/>
      <c r="S5" s="754"/>
      <c r="T5" s="754"/>
      <c r="U5" s="754"/>
      <c r="V5" s="754"/>
      <c r="W5" s="754"/>
      <c r="X5" s="754"/>
      <c r="Y5" s="759"/>
      <c r="Z5" s="759"/>
      <c r="AA5" s="759"/>
      <c r="AB5" s="759"/>
      <c r="AC5" s="759"/>
      <c r="AD5" s="759"/>
      <c r="AE5" s="759"/>
      <c r="AF5" s="759"/>
      <c r="AG5" s="759"/>
      <c r="AH5" s="759"/>
      <c r="AI5" s="759"/>
      <c r="AJ5" s="759"/>
      <c r="AK5" s="759"/>
      <c r="AL5" s="759"/>
      <c r="AM5" s="759"/>
      <c r="AN5" s="759"/>
      <c r="AO5" s="759"/>
      <c r="AP5" s="759"/>
      <c r="AQ5" s="759"/>
      <c r="AR5" s="759"/>
      <c r="AS5" s="759"/>
      <c r="AT5" s="759"/>
      <c r="AU5" s="759"/>
      <c r="AV5" s="759"/>
      <c r="AW5" s="759"/>
      <c r="AX5" s="759"/>
      <c r="AY5" s="759"/>
      <c r="AZ5" s="759"/>
      <c r="BA5" s="759"/>
      <c r="BB5" s="759"/>
      <c r="BC5" s="759"/>
      <c r="BD5" s="759"/>
      <c r="BE5" s="759"/>
      <c r="BF5" s="759"/>
      <c r="BG5" s="759"/>
      <c r="BH5" s="759"/>
      <c r="BI5" s="759"/>
      <c r="BJ5" s="759"/>
      <c r="BK5" s="759"/>
      <c r="BL5" s="759"/>
      <c r="BM5" s="759"/>
      <c r="BN5" s="759"/>
      <c r="BO5" s="759"/>
      <c r="BP5" s="759"/>
      <c r="BQ5" s="759"/>
      <c r="BR5" s="759"/>
      <c r="BS5" s="759"/>
      <c r="BT5" s="759"/>
      <c r="BU5" s="759"/>
      <c r="BV5" s="759"/>
      <c r="BW5" s="759"/>
      <c r="BX5" s="759"/>
      <c r="BY5" s="759"/>
      <c r="BZ5" s="759"/>
      <c r="CA5" s="759"/>
      <c r="CB5" s="759"/>
      <c r="CC5" s="759"/>
    </row>
    <row r="7" spans="1:81" ht="20.100000000000001" customHeight="1" x14ac:dyDescent="0.2">
      <c r="A7" s="832"/>
      <c r="B7" s="958" t="s">
        <v>153</v>
      </c>
      <c r="C7" s="959"/>
      <c r="D7" s="959" t="s">
        <v>754</v>
      </c>
      <c r="E7" s="959"/>
      <c r="F7" s="959"/>
      <c r="G7" s="958"/>
      <c r="H7" s="960"/>
      <c r="I7" s="958"/>
      <c r="J7" s="961"/>
      <c r="K7" s="961"/>
      <c r="L7" s="961"/>
      <c r="M7" s="961"/>
      <c r="N7" s="961"/>
    </row>
    <row r="8" spans="1:81" x14ac:dyDescent="0.2">
      <c r="A8" s="834"/>
      <c r="B8" s="835"/>
    </row>
    <row r="9" spans="1:81" ht="18.75" customHeight="1" x14ac:dyDescent="0.2">
      <c r="A9" s="834"/>
      <c r="B9" s="922" t="s">
        <v>752</v>
      </c>
      <c r="C9" s="922"/>
      <c r="D9" s="922" t="s">
        <v>463</v>
      </c>
      <c r="E9" s="922"/>
      <c r="F9" s="922" t="s">
        <v>464</v>
      </c>
      <c r="G9" s="922"/>
      <c r="H9" s="922" t="s">
        <v>154</v>
      </c>
      <c r="I9" s="922"/>
      <c r="J9" s="922"/>
      <c r="K9" s="922" t="s">
        <v>18</v>
      </c>
      <c r="L9" s="922"/>
    </row>
    <row r="10" spans="1:81" ht="26.25" customHeight="1" x14ac:dyDescent="0.2">
      <c r="B10" s="967"/>
      <c r="C10" s="968"/>
      <c r="D10" s="967"/>
      <c r="E10" s="967"/>
      <c r="F10" s="967"/>
      <c r="G10" s="967"/>
      <c r="H10" s="967"/>
      <c r="I10" s="967"/>
      <c r="J10" s="836"/>
      <c r="K10" s="967"/>
      <c r="L10" s="967"/>
    </row>
    <row r="11" spans="1:81" ht="26.25" customHeight="1" x14ac:dyDescent="0.2">
      <c r="B11" s="967"/>
      <c r="C11" s="968"/>
      <c r="D11" s="967"/>
      <c r="E11" s="967"/>
      <c r="F11" s="967"/>
      <c r="G11" s="967"/>
      <c r="H11" s="967"/>
      <c r="I11" s="967"/>
      <c r="J11" s="836"/>
      <c r="K11" s="967"/>
      <c r="L11" s="967"/>
    </row>
    <row r="12" spans="1:81" ht="26.25" customHeight="1" x14ac:dyDescent="0.2">
      <c r="A12" s="838"/>
      <c r="B12" s="967"/>
      <c r="C12" s="968"/>
      <c r="D12" s="967"/>
      <c r="E12" s="967"/>
      <c r="F12" s="967"/>
      <c r="G12" s="967"/>
      <c r="H12" s="967"/>
      <c r="I12" s="967"/>
      <c r="J12" s="836"/>
      <c r="K12" s="967"/>
      <c r="L12" s="967"/>
    </row>
    <row r="13" spans="1:81" ht="26.25" customHeight="1" x14ac:dyDescent="0.2">
      <c r="B13" s="967"/>
      <c r="C13" s="968"/>
      <c r="D13" s="967"/>
      <c r="E13" s="967"/>
      <c r="F13" s="967"/>
      <c r="G13" s="967"/>
      <c r="H13" s="967"/>
      <c r="I13" s="967"/>
      <c r="J13" s="836"/>
      <c r="K13" s="967"/>
      <c r="L13" s="967"/>
    </row>
    <row r="14" spans="1:81" ht="26.25" customHeight="1" x14ac:dyDescent="0.2">
      <c r="B14" s="967"/>
      <c r="C14" s="968"/>
      <c r="D14" s="967"/>
      <c r="E14" s="967"/>
      <c r="F14" s="967"/>
      <c r="G14" s="967"/>
      <c r="H14" s="967"/>
      <c r="I14" s="967"/>
      <c r="J14" s="836"/>
      <c r="K14" s="967"/>
      <c r="L14" s="967"/>
    </row>
    <row r="15" spans="1:81" ht="26.25" customHeight="1" x14ac:dyDescent="0.2">
      <c r="B15" s="967"/>
      <c r="C15" s="968"/>
      <c r="D15" s="967"/>
      <c r="E15" s="967"/>
      <c r="F15" s="967"/>
      <c r="G15" s="967"/>
      <c r="H15" s="967"/>
      <c r="I15" s="967"/>
      <c r="J15" s="836"/>
      <c r="K15" s="967"/>
      <c r="L15" s="967"/>
    </row>
    <row r="16" spans="1:81" ht="26.25" customHeight="1" x14ac:dyDescent="0.2">
      <c r="B16" s="967"/>
      <c r="C16" s="968"/>
      <c r="D16" s="967"/>
      <c r="E16" s="967"/>
      <c r="F16" s="967"/>
      <c r="G16" s="967"/>
      <c r="H16" s="967"/>
      <c r="I16" s="967"/>
      <c r="J16" s="836"/>
      <c r="K16" s="967"/>
      <c r="L16" s="967"/>
    </row>
    <row r="17" spans="2:12" ht="26.25" customHeight="1" x14ac:dyDescent="0.2">
      <c r="B17" s="967"/>
      <c r="C17" s="968"/>
      <c r="D17" s="967"/>
      <c r="E17" s="967"/>
      <c r="F17" s="967"/>
      <c r="G17" s="967"/>
      <c r="H17" s="967"/>
      <c r="I17" s="967"/>
      <c r="J17" s="836"/>
      <c r="K17" s="967"/>
      <c r="L17" s="967"/>
    </row>
    <row r="18" spans="2:12" ht="26.25" customHeight="1" x14ac:dyDescent="0.2">
      <c r="B18" s="967"/>
      <c r="C18" s="968"/>
      <c r="D18" s="967"/>
      <c r="E18" s="967"/>
      <c r="F18" s="967"/>
      <c r="G18" s="967"/>
      <c r="H18" s="967"/>
      <c r="I18" s="967"/>
      <c r="J18" s="836"/>
      <c r="K18" s="967"/>
      <c r="L18" s="967"/>
    </row>
    <row r="19" spans="2:12" ht="26.25" customHeight="1" x14ac:dyDescent="0.2">
      <c r="B19" s="967"/>
      <c r="C19" s="968"/>
      <c r="D19" s="967"/>
      <c r="E19" s="967"/>
      <c r="F19" s="967"/>
      <c r="G19" s="967"/>
      <c r="H19" s="967"/>
      <c r="I19" s="967"/>
      <c r="J19" s="836"/>
      <c r="K19" s="967"/>
      <c r="L19" s="967"/>
    </row>
    <row r="20" spans="2:12" ht="26.25" customHeight="1" x14ac:dyDescent="0.2">
      <c r="B20" s="967"/>
      <c r="C20" s="968"/>
      <c r="D20" s="967"/>
      <c r="E20" s="967"/>
      <c r="F20" s="967"/>
      <c r="G20" s="967"/>
      <c r="H20" s="967"/>
      <c r="I20" s="967"/>
      <c r="J20" s="836"/>
      <c r="K20" s="967"/>
      <c r="L20" s="967"/>
    </row>
    <row r="21" spans="2:12" ht="26.25" customHeight="1" x14ac:dyDescent="0.2">
      <c r="B21" s="967"/>
      <c r="C21" s="968"/>
      <c r="D21" s="967"/>
      <c r="E21" s="967"/>
      <c r="F21" s="967"/>
      <c r="G21" s="967"/>
      <c r="H21" s="967"/>
      <c r="I21" s="967"/>
      <c r="J21" s="836"/>
      <c r="K21" s="967"/>
      <c r="L21" s="967"/>
    </row>
    <row r="22" spans="2:12" ht="26.25" customHeight="1" x14ac:dyDescent="0.2">
      <c r="B22" s="967"/>
      <c r="C22" s="968"/>
      <c r="D22" s="967"/>
      <c r="E22" s="967"/>
      <c r="F22" s="967"/>
      <c r="G22" s="967"/>
      <c r="H22" s="967"/>
      <c r="I22" s="967"/>
      <c r="J22" s="836"/>
      <c r="K22" s="967"/>
      <c r="L22" s="967"/>
    </row>
    <row r="23" spans="2:12" ht="26.25" customHeight="1" x14ac:dyDescent="0.2">
      <c r="B23" s="967"/>
      <c r="C23" s="968"/>
      <c r="D23" s="967"/>
      <c r="E23" s="967"/>
      <c r="F23" s="967"/>
      <c r="G23" s="967"/>
      <c r="H23" s="967"/>
      <c r="I23" s="967"/>
      <c r="J23" s="836"/>
      <c r="K23" s="967"/>
      <c r="L23" s="967"/>
    </row>
    <row r="24" spans="2:12" ht="26.25" customHeight="1" x14ac:dyDescent="0.2">
      <c r="B24" s="967"/>
      <c r="C24" s="968"/>
      <c r="D24" s="967"/>
      <c r="E24" s="967"/>
      <c r="F24" s="967"/>
      <c r="G24" s="967"/>
      <c r="H24" s="967"/>
      <c r="I24" s="967"/>
      <c r="J24" s="836"/>
      <c r="K24" s="967"/>
      <c r="L24" s="967"/>
    </row>
    <row r="25" spans="2:12" ht="26.25" customHeight="1" x14ac:dyDescent="0.2">
      <c r="B25" s="967"/>
      <c r="C25" s="968"/>
      <c r="D25" s="967"/>
      <c r="E25" s="967"/>
      <c r="F25" s="967"/>
      <c r="G25" s="967"/>
      <c r="H25" s="967"/>
      <c r="I25" s="967"/>
      <c r="J25" s="836"/>
      <c r="K25" s="967"/>
      <c r="L25" s="967"/>
    </row>
    <row r="26" spans="2:12" ht="26.25" customHeight="1" x14ac:dyDescent="0.2">
      <c r="B26" s="967"/>
      <c r="C26" s="968"/>
      <c r="D26" s="967"/>
      <c r="E26" s="967"/>
      <c r="F26" s="967"/>
      <c r="G26" s="967"/>
      <c r="H26" s="967"/>
      <c r="I26" s="967"/>
      <c r="J26" s="836"/>
      <c r="K26" s="967"/>
      <c r="L26" s="967"/>
    </row>
    <row r="27" spans="2:12" ht="26.25" customHeight="1" x14ac:dyDescent="0.2">
      <c r="B27" s="967"/>
      <c r="C27" s="968"/>
      <c r="D27" s="967"/>
      <c r="E27" s="967"/>
      <c r="F27" s="967"/>
      <c r="G27" s="967"/>
      <c r="H27" s="967"/>
      <c r="I27" s="967"/>
      <c r="J27" s="836"/>
      <c r="K27" s="967"/>
      <c r="L27" s="967"/>
    </row>
    <row r="28" spans="2:12" ht="26.25" customHeight="1" x14ac:dyDescent="0.2">
      <c r="B28" s="967"/>
      <c r="C28" s="968"/>
      <c r="D28" s="967"/>
      <c r="E28" s="967"/>
      <c r="F28" s="967"/>
      <c r="G28" s="967"/>
      <c r="H28" s="967"/>
      <c r="I28" s="967"/>
      <c r="J28" s="836"/>
      <c r="K28" s="967"/>
      <c r="L28" s="967"/>
    </row>
    <row r="29" spans="2:12" ht="26.25" customHeight="1" x14ac:dyDescent="0.2">
      <c r="B29" s="967"/>
      <c r="C29" s="968"/>
      <c r="D29" s="967"/>
      <c r="E29" s="967"/>
      <c r="F29" s="967"/>
      <c r="G29" s="967"/>
      <c r="H29" s="967"/>
      <c r="I29" s="967"/>
      <c r="J29" s="836"/>
      <c r="K29" s="967"/>
      <c r="L29" s="967"/>
    </row>
    <row r="30" spans="2:12" ht="26.25" customHeight="1" x14ac:dyDescent="0.2">
      <c r="B30" s="967"/>
      <c r="C30" s="968"/>
      <c r="D30" s="967"/>
      <c r="E30" s="967"/>
      <c r="F30" s="967"/>
      <c r="G30" s="967"/>
      <c r="H30" s="967"/>
      <c r="I30" s="967"/>
      <c r="J30" s="836"/>
      <c r="K30" s="967"/>
      <c r="L30" s="967"/>
    </row>
    <row r="31" spans="2:12" ht="26.25" customHeight="1" x14ac:dyDescent="0.2">
      <c r="B31" s="967"/>
      <c r="C31" s="968"/>
      <c r="D31" s="967"/>
      <c r="E31" s="967"/>
      <c r="F31" s="967"/>
      <c r="G31" s="967"/>
      <c r="H31" s="967"/>
      <c r="I31" s="967"/>
      <c r="J31" s="836"/>
      <c r="K31" s="967"/>
      <c r="L31" s="967"/>
    </row>
    <row r="32" spans="2:12" ht="26.25" customHeight="1" x14ac:dyDescent="0.2">
      <c r="B32" s="967"/>
      <c r="C32" s="968"/>
      <c r="D32" s="967"/>
      <c r="E32" s="967"/>
      <c r="F32" s="967"/>
      <c r="G32" s="967"/>
      <c r="H32" s="967"/>
      <c r="I32" s="967"/>
      <c r="J32" s="836"/>
      <c r="K32" s="967"/>
      <c r="L32" s="967"/>
    </row>
    <row r="33" spans="2:12" ht="26.25" customHeight="1" x14ac:dyDescent="0.2">
      <c r="B33" s="967"/>
      <c r="C33" s="968"/>
      <c r="D33" s="967"/>
      <c r="E33" s="967"/>
      <c r="F33" s="967"/>
      <c r="G33" s="967"/>
      <c r="H33" s="967"/>
      <c r="I33" s="967"/>
      <c r="J33" s="836"/>
      <c r="K33" s="967"/>
      <c r="L33" s="967"/>
    </row>
    <row r="34" spans="2:12" ht="26.25" customHeight="1" x14ac:dyDescent="0.2">
      <c r="B34" s="967"/>
      <c r="C34" s="968"/>
      <c r="D34" s="967"/>
      <c r="E34" s="967"/>
      <c r="F34" s="967"/>
      <c r="G34" s="967"/>
      <c r="H34" s="967"/>
      <c r="I34" s="967"/>
      <c r="J34" s="836"/>
      <c r="K34" s="967"/>
      <c r="L34" s="967"/>
    </row>
    <row r="35" spans="2:12" ht="26.25" customHeight="1" x14ac:dyDescent="0.2">
      <c r="B35" s="967"/>
      <c r="C35" s="968"/>
      <c r="D35" s="967"/>
      <c r="E35" s="967"/>
      <c r="F35" s="967"/>
      <c r="G35" s="967"/>
      <c r="H35" s="967"/>
      <c r="I35" s="967"/>
      <c r="J35" s="836"/>
      <c r="K35" s="967"/>
      <c r="L35" s="967"/>
    </row>
    <row r="36" spans="2:12" ht="26.25" customHeight="1" x14ac:dyDescent="0.2">
      <c r="B36" s="967"/>
      <c r="C36" s="968"/>
      <c r="D36" s="967"/>
      <c r="E36" s="967"/>
      <c r="F36" s="967"/>
      <c r="G36" s="967"/>
      <c r="H36" s="967"/>
      <c r="I36" s="967"/>
      <c r="J36" s="836"/>
      <c r="K36" s="967"/>
      <c r="L36" s="967"/>
    </row>
    <row r="37" spans="2:12" ht="26.25" customHeight="1" x14ac:dyDescent="0.2">
      <c r="B37" s="967"/>
      <c r="C37" s="968"/>
      <c r="D37" s="967"/>
      <c r="E37" s="967"/>
      <c r="F37" s="967"/>
      <c r="G37" s="967"/>
      <c r="H37" s="967"/>
      <c r="I37" s="967"/>
      <c r="J37" s="836"/>
      <c r="K37" s="967"/>
      <c r="L37" s="967"/>
    </row>
    <row r="38" spans="2:12" ht="26.25" customHeight="1" x14ac:dyDescent="0.2">
      <c r="B38" s="967"/>
      <c r="C38" s="968"/>
      <c r="D38" s="967"/>
      <c r="E38" s="967"/>
      <c r="F38" s="967"/>
      <c r="G38" s="967"/>
      <c r="H38" s="967"/>
      <c r="I38" s="967"/>
      <c r="J38" s="836"/>
      <c r="K38" s="967"/>
      <c r="L38" s="967"/>
    </row>
    <row r="39" spans="2:12" ht="26.25" customHeight="1" x14ac:dyDescent="0.2">
      <c r="B39" s="967"/>
      <c r="C39" s="968"/>
      <c r="D39" s="967"/>
      <c r="E39" s="967"/>
      <c r="F39" s="967"/>
      <c r="G39" s="967"/>
      <c r="H39" s="967"/>
      <c r="I39" s="967"/>
      <c r="J39" s="836"/>
      <c r="K39" s="967"/>
      <c r="L39" s="967"/>
    </row>
    <row r="40" spans="2:12" ht="26.25" customHeight="1" x14ac:dyDescent="0.2">
      <c r="B40" s="967"/>
      <c r="C40" s="968"/>
      <c r="D40" s="967"/>
      <c r="E40" s="967"/>
      <c r="F40" s="967"/>
      <c r="G40" s="967"/>
      <c r="H40" s="967"/>
      <c r="I40" s="967"/>
      <c r="J40" s="836"/>
      <c r="K40" s="967"/>
      <c r="L40" s="967"/>
    </row>
    <row r="41" spans="2:12" ht="26.25" customHeight="1" x14ac:dyDescent="0.2">
      <c r="B41" s="967"/>
      <c r="C41" s="968"/>
      <c r="D41" s="967"/>
      <c r="E41" s="967"/>
      <c r="F41" s="967"/>
      <c r="G41" s="967"/>
      <c r="H41" s="967"/>
      <c r="I41" s="967"/>
      <c r="J41" s="836"/>
      <c r="K41" s="967"/>
      <c r="L41" s="967"/>
    </row>
    <row r="42" spans="2:12" ht="15.95" customHeight="1" x14ac:dyDescent="0.2">
      <c r="B42" s="836"/>
      <c r="C42" s="837"/>
      <c r="D42" s="836"/>
      <c r="E42" s="836"/>
      <c r="F42" s="836"/>
      <c r="G42" s="836"/>
      <c r="H42" s="836"/>
      <c r="I42" s="836"/>
      <c r="J42" s="836"/>
      <c r="K42" s="836"/>
      <c r="L42" s="836"/>
    </row>
    <row r="43" spans="2:12" ht="20.100000000000001" customHeight="1" x14ac:dyDescent="0.2">
      <c r="B43" s="923" t="s">
        <v>304</v>
      </c>
      <c r="C43" s="923"/>
      <c r="D43" s="985" t="str">
        <f>IF(_Ped_Lab_Opm=0,"",_Ped_Lab_Opm)</f>
        <v/>
      </c>
      <c r="E43" s="986"/>
      <c r="F43" s="986"/>
      <c r="G43" s="986"/>
      <c r="H43" s="986"/>
      <c r="I43" s="986"/>
      <c r="J43" s="986"/>
      <c r="K43" s="986"/>
      <c r="L43" s="986"/>
    </row>
    <row r="44" spans="2:12" ht="20.100000000000001" customHeight="1" x14ac:dyDescent="0.2">
      <c r="B44" s="923"/>
      <c r="C44" s="923"/>
      <c r="D44" s="986"/>
      <c r="E44" s="986"/>
      <c r="F44" s="986"/>
      <c r="G44" s="986"/>
      <c r="H44" s="986"/>
      <c r="I44" s="986"/>
      <c r="J44" s="986"/>
      <c r="K44" s="986"/>
      <c r="L44" s="986"/>
    </row>
  </sheetData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35"/>
  <sheetViews>
    <sheetView workbookViewId="0">
      <selection activeCell="P4" activeCellId="6" sqref="C4:C35 E4:E34 G4:G34 I4:I34 L4:L34 N4:N34 P4:P34"/>
    </sheetView>
  </sheetViews>
  <sheetFormatPr defaultColWidth="9.140625" defaultRowHeight="12.75" x14ac:dyDescent="0.2"/>
  <cols>
    <col min="1" max="16384" width="9.140625" style="158"/>
  </cols>
  <sheetData>
    <row r="1" spans="1:16" x14ac:dyDescent="0.2">
      <c r="A1" s="360"/>
    </row>
    <row r="3" spans="1:16" x14ac:dyDescent="0.2">
      <c r="A3" s="174" t="s">
        <v>751</v>
      </c>
      <c r="B3" s="158" t="s">
        <v>752</v>
      </c>
      <c r="D3" s="174" t="s">
        <v>463</v>
      </c>
      <c r="E3" s="158" t="b">
        <v>1</v>
      </c>
      <c r="F3" s="174" t="s">
        <v>464</v>
      </c>
      <c r="G3" s="158" t="b">
        <v>1</v>
      </c>
      <c r="H3" s="174" t="s">
        <v>154</v>
      </c>
      <c r="I3" s="158" t="b">
        <v>1</v>
      </c>
      <c r="K3" s="174" t="s">
        <v>753</v>
      </c>
      <c r="M3" s="174"/>
      <c r="O3" s="174"/>
    </row>
    <row r="4" spans="1:16" x14ac:dyDescent="0.2">
      <c r="B4" s="158" t="str">
        <f>IF(C4,"A","")</f>
        <v/>
      </c>
      <c r="C4" s="560" t="b">
        <v>0</v>
      </c>
      <c r="D4" s="158" t="str">
        <f>IF(E4,"A","")</f>
        <v/>
      </c>
      <c r="E4" s="560" t="b">
        <v>0</v>
      </c>
      <c r="F4" s="158" t="str">
        <f>IF(G4,"A","")</f>
        <v/>
      </c>
      <c r="G4" s="560" t="b">
        <v>0</v>
      </c>
      <c r="H4" s="158" t="str">
        <f>IF(I4,"A","")</f>
        <v/>
      </c>
      <c r="I4" s="560" t="b">
        <v>0</v>
      </c>
      <c r="K4" s="158" t="str">
        <f>IF(L4,"A","")</f>
        <v/>
      </c>
      <c r="L4" s="560" t="b">
        <v>0</v>
      </c>
      <c r="N4" s="360"/>
      <c r="P4" s="360"/>
    </row>
    <row r="5" spans="1:16" x14ac:dyDescent="0.2">
      <c r="B5" s="158" t="str">
        <f>IF(C5,"Na K","")</f>
        <v/>
      </c>
      <c r="C5" s="560" t="b">
        <v>0</v>
      </c>
      <c r="D5" s="158" t="str">
        <f>IF(E5,"Na K","")</f>
        <v/>
      </c>
      <c r="E5" s="560" t="b">
        <v>0</v>
      </c>
      <c r="F5" s="158" t="str">
        <f>IF(G5,"Na K","")</f>
        <v/>
      </c>
      <c r="G5" s="560" t="b">
        <v>0</v>
      </c>
      <c r="H5" s="158" t="str">
        <f>IF(I5,"Na K","")</f>
        <v/>
      </c>
      <c r="I5" s="560" t="b">
        <v>0</v>
      </c>
      <c r="K5" s="158" t="str">
        <f>IF(L5,"Na K","")</f>
        <v/>
      </c>
      <c r="L5" s="560" t="b">
        <v>0</v>
      </c>
      <c r="N5" s="360"/>
      <c r="P5" s="360"/>
    </row>
    <row r="6" spans="1:16" x14ac:dyDescent="0.2">
      <c r="A6" s="360"/>
      <c r="B6" s="158" t="str">
        <f>IF(C6,"Cl","")</f>
        <v/>
      </c>
      <c r="C6" s="560" t="b">
        <v>0</v>
      </c>
      <c r="D6" s="158" t="str">
        <f>IF(E6,"Cl","")</f>
        <v/>
      </c>
      <c r="E6" s="560" t="b">
        <v>0</v>
      </c>
      <c r="F6" s="158" t="str">
        <f>IF(G6,"Cl","")</f>
        <v/>
      </c>
      <c r="G6" s="560" t="b">
        <v>0</v>
      </c>
      <c r="H6" s="158" t="str">
        <f>IF(I6,"Cl","")</f>
        <v/>
      </c>
      <c r="I6" s="560" t="b">
        <v>0</v>
      </c>
      <c r="K6" s="158" t="str">
        <f>IF(L6,"Cl","")</f>
        <v/>
      </c>
      <c r="L6" s="560" t="b">
        <v>0</v>
      </c>
      <c r="N6" s="360"/>
      <c r="P6" s="360"/>
    </row>
    <row r="7" spans="1:16" x14ac:dyDescent="0.2">
      <c r="B7" s="158" t="str">
        <f>IF(C7,"Gluc","")</f>
        <v/>
      </c>
      <c r="C7" s="560" t="b">
        <v>0</v>
      </c>
      <c r="D7" s="158" t="str">
        <f>IF(E7,"Gluc","")</f>
        <v/>
      </c>
      <c r="E7" s="560" t="b">
        <v>0</v>
      </c>
      <c r="F7" s="158" t="str">
        <f>IF(G7,"Gluc","")</f>
        <v/>
      </c>
      <c r="G7" s="560" t="b">
        <v>0</v>
      </c>
      <c r="H7" s="158" t="str">
        <f>IF(I7,"Gluc","")</f>
        <v/>
      </c>
      <c r="I7" s="560" t="b">
        <v>0</v>
      </c>
      <c r="K7" s="158" t="str">
        <f>IF(L7,"Gluc","")</f>
        <v/>
      </c>
      <c r="L7" s="560" t="b">
        <v>0</v>
      </c>
      <c r="N7" s="360"/>
      <c r="P7" s="360"/>
    </row>
    <row r="8" spans="1:16" x14ac:dyDescent="0.2">
      <c r="B8" s="158" t="str">
        <f>IF(C8,"Hb Ht","")</f>
        <v/>
      </c>
      <c r="C8" s="560" t="b">
        <v>0</v>
      </c>
      <c r="D8" s="158" t="str">
        <f>IF(E8,"Hb Ht","")</f>
        <v/>
      </c>
      <c r="E8" s="560" t="b">
        <v>0</v>
      </c>
      <c r="F8" s="158" t="str">
        <f>IF(G8,"Hb Ht","")</f>
        <v/>
      </c>
      <c r="G8" s="560" t="b">
        <v>0</v>
      </c>
      <c r="H8" s="158" t="str">
        <f>IF(I8,"Hb Ht","")</f>
        <v/>
      </c>
      <c r="I8" s="560" t="b">
        <v>0</v>
      </c>
      <c r="K8" s="158" t="str">
        <f>IF(L8,"Hb Ht","")</f>
        <v/>
      </c>
      <c r="L8" s="560" t="b">
        <v>0</v>
      </c>
      <c r="N8" s="360"/>
      <c r="P8" s="360"/>
    </row>
    <row r="9" spans="1:16" x14ac:dyDescent="0.2">
      <c r="B9" s="158" t="str">
        <f>IF(C9,"L","")</f>
        <v/>
      </c>
      <c r="C9" s="560" t="b">
        <v>0</v>
      </c>
      <c r="D9" s="158" t="str">
        <f>IF(E9,"L","")</f>
        <v/>
      </c>
      <c r="E9" s="560" t="b">
        <v>0</v>
      </c>
      <c r="F9" s="158" t="str">
        <f>IF(G9,"L","")</f>
        <v/>
      </c>
      <c r="G9" s="560" t="b">
        <v>0</v>
      </c>
      <c r="H9" s="158" t="str">
        <f>IF(I9,"L","")</f>
        <v/>
      </c>
      <c r="I9" s="560" t="b">
        <v>0</v>
      </c>
      <c r="K9" s="158" t="str">
        <f>IF(L9,"L","")</f>
        <v/>
      </c>
      <c r="L9" s="560" t="b">
        <v>0</v>
      </c>
      <c r="N9" s="360"/>
      <c r="P9" s="360"/>
    </row>
    <row r="10" spans="1:16" x14ac:dyDescent="0.2">
      <c r="B10" s="158" t="str">
        <f>IF(C10,"T","")</f>
        <v/>
      </c>
      <c r="C10" s="560" t="b">
        <v>0</v>
      </c>
      <c r="D10" s="158" t="str">
        <f>IF(E10,"T","")</f>
        <v/>
      </c>
      <c r="E10" s="560" t="b">
        <v>0</v>
      </c>
      <c r="F10" s="158" t="str">
        <f>IF(G10,"T","")</f>
        <v/>
      </c>
      <c r="G10" s="560" t="b">
        <v>0</v>
      </c>
      <c r="H10" s="158" t="str">
        <f>IF(I10,"T","")</f>
        <v/>
      </c>
      <c r="I10" s="560" t="b">
        <v>0</v>
      </c>
      <c r="K10" s="158" t="str">
        <f>IF(L10,"T","")</f>
        <v/>
      </c>
      <c r="L10" s="560" t="b">
        <v>0</v>
      </c>
      <c r="N10" s="360"/>
      <c r="P10" s="360"/>
    </row>
    <row r="11" spans="1:16" x14ac:dyDescent="0.2">
      <c r="B11" s="158" t="str">
        <f>IF(C11,"CRP","")</f>
        <v/>
      </c>
      <c r="C11" s="560" t="b">
        <v>0</v>
      </c>
      <c r="D11" s="158" t="str">
        <f>IF(E11,"CRP","")</f>
        <v/>
      </c>
      <c r="E11" s="560" t="b">
        <v>0</v>
      </c>
      <c r="F11" s="158" t="str">
        <f>IF(G11,"CRP","")</f>
        <v/>
      </c>
      <c r="G11" s="560" t="b">
        <v>0</v>
      </c>
      <c r="H11" s="158" t="str">
        <f>IF(I11,"CRP","")</f>
        <v/>
      </c>
      <c r="I11" s="560" t="b">
        <v>0</v>
      </c>
      <c r="K11" s="158" t="str">
        <f>IF(L11,"CRP","")</f>
        <v/>
      </c>
      <c r="L11" s="560" t="b">
        <v>0</v>
      </c>
      <c r="N11" s="360"/>
      <c r="P11" s="360"/>
    </row>
    <row r="12" spans="1:16" x14ac:dyDescent="0.2">
      <c r="B12" s="158" t="str">
        <f>IF(C12,"Lac","")</f>
        <v/>
      </c>
      <c r="C12" s="560" t="b">
        <v>0</v>
      </c>
      <c r="D12" s="158" t="str">
        <f>IF(E12,"Lac","")</f>
        <v/>
      </c>
      <c r="E12" s="560" t="b">
        <v>0</v>
      </c>
      <c r="F12" s="158" t="str">
        <f>IF(G12,"Lac","")</f>
        <v/>
      </c>
      <c r="G12" s="560" t="b">
        <v>0</v>
      </c>
      <c r="H12" s="158" t="str">
        <f>IF(I12,"Lac","")</f>
        <v/>
      </c>
      <c r="I12" s="560" t="b">
        <v>0</v>
      </c>
      <c r="K12" s="158" t="str">
        <f>IF(L12,"Lac","")</f>
        <v/>
      </c>
      <c r="L12" s="560" t="b">
        <v>0</v>
      </c>
      <c r="N12" s="360"/>
      <c r="P12" s="360"/>
    </row>
    <row r="13" spans="1:16" x14ac:dyDescent="0.2">
      <c r="B13" s="158" t="str">
        <f>IF(C13,"Ur","")</f>
        <v/>
      </c>
      <c r="C13" s="560" t="b">
        <v>0</v>
      </c>
      <c r="D13" s="158" t="str">
        <f>IF(E13,"Ur","")</f>
        <v/>
      </c>
      <c r="E13" s="560" t="b">
        <v>0</v>
      </c>
      <c r="F13" s="158" t="str">
        <f>IF(G13,"Ur","")</f>
        <v/>
      </c>
      <c r="G13" s="560" t="b">
        <v>0</v>
      </c>
      <c r="H13" s="158" t="str">
        <f>IF(I13,"Ur","")</f>
        <v/>
      </c>
      <c r="I13" s="560" t="b">
        <v>0</v>
      </c>
      <c r="K13" s="158" t="str">
        <f>IF(L13,"Ur","")</f>
        <v/>
      </c>
      <c r="L13" s="560" t="b">
        <v>0</v>
      </c>
      <c r="N13" s="360"/>
      <c r="P13" s="360"/>
    </row>
    <row r="14" spans="1:16" x14ac:dyDescent="0.2">
      <c r="B14" s="158" t="str">
        <f>IF(C14,"Kr","")</f>
        <v/>
      </c>
      <c r="C14" s="560" t="b">
        <v>0</v>
      </c>
      <c r="D14" s="158" t="str">
        <f>IF(E14,"Kr","")</f>
        <v/>
      </c>
      <c r="E14" s="560" t="b">
        <v>0</v>
      </c>
      <c r="F14" s="158" t="str">
        <f>IF(G14,"Kr","")</f>
        <v/>
      </c>
      <c r="G14" s="560" t="b">
        <v>0</v>
      </c>
      <c r="H14" s="158" t="str">
        <f>IF(I14,"Kr","")</f>
        <v/>
      </c>
      <c r="I14" s="560" t="b">
        <v>0</v>
      </c>
      <c r="K14" s="158" t="str">
        <f>IF(L14,"Kr","")</f>
        <v/>
      </c>
      <c r="L14" s="560" t="b">
        <v>0</v>
      </c>
      <c r="N14" s="360"/>
      <c r="P14" s="360"/>
    </row>
    <row r="15" spans="1:16" x14ac:dyDescent="0.2">
      <c r="B15" s="158" t="str">
        <f>IF(C15,"Ca++","")</f>
        <v/>
      </c>
      <c r="C15" s="560" t="b">
        <v>0</v>
      </c>
      <c r="D15" s="158" t="str">
        <f>IF(E15,"Ca++","")</f>
        <v/>
      </c>
      <c r="E15" s="560" t="b">
        <v>0</v>
      </c>
      <c r="F15" s="158" t="str">
        <f>IF(G15,"Ca++","")</f>
        <v/>
      </c>
      <c r="G15" s="560" t="b">
        <v>0</v>
      </c>
      <c r="H15" s="158" t="str">
        <f>IF(I15,"Ca++","")</f>
        <v/>
      </c>
      <c r="I15" s="560" t="b">
        <v>0</v>
      </c>
      <c r="K15" s="158" t="str">
        <f>IF(L15,"Ca++","")</f>
        <v/>
      </c>
      <c r="L15" s="560" t="b">
        <v>0</v>
      </c>
      <c r="N15" s="360"/>
      <c r="P15" s="360"/>
    </row>
    <row r="16" spans="1:16" x14ac:dyDescent="0.2">
      <c r="B16" s="158" t="str">
        <f>IF(C16,"Mg++","")</f>
        <v/>
      </c>
      <c r="C16" s="560" t="b">
        <v>0</v>
      </c>
      <c r="D16" s="158" t="str">
        <f>IF(E16,"Mg++","")</f>
        <v/>
      </c>
      <c r="E16" s="560" t="b">
        <v>0</v>
      </c>
      <c r="F16" s="158" t="str">
        <f>IF(G16,"Mg++","")</f>
        <v/>
      </c>
      <c r="G16" s="560" t="b">
        <v>0</v>
      </c>
      <c r="H16" s="158" t="str">
        <f>IF(I16,"Mg++","")</f>
        <v/>
      </c>
      <c r="I16" s="560" t="b">
        <v>0</v>
      </c>
      <c r="K16" s="158" t="str">
        <f>IF(L16,"Mg++","")</f>
        <v/>
      </c>
      <c r="L16" s="560" t="b">
        <v>0</v>
      </c>
      <c r="N16" s="360"/>
      <c r="P16" s="360"/>
    </row>
    <row r="17" spans="2:16" x14ac:dyDescent="0.2">
      <c r="B17" s="158" t="str">
        <f>IF(C17,"Fosfaat","")</f>
        <v/>
      </c>
      <c r="C17" s="560" t="b">
        <v>0</v>
      </c>
      <c r="D17" s="158" t="str">
        <f>IF(E17,"Fosfaat","")</f>
        <v/>
      </c>
      <c r="E17" s="560" t="b">
        <v>0</v>
      </c>
      <c r="F17" s="158" t="str">
        <f>IF(G17,"Fosfaat","")</f>
        <v/>
      </c>
      <c r="G17" s="560" t="b">
        <v>0</v>
      </c>
      <c r="H17" s="158" t="str">
        <f>IF(I17,"Fosfaat","")</f>
        <v/>
      </c>
      <c r="I17" s="560" t="b">
        <v>0</v>
      </c>
      <c r="K17" s="158" t="str">
        <f>IF(L17,"Fosfaat","")</f>
        <v/>
      </c>
      <c r="L17" s="560" t="b">
        <v>0</v>
      </c>
      <c r="N17" s="360"/>
      <c r="P17" s="360"/>
    </row>
    <row r="18" spans="2:16" x14ac:dyDescent="0.2">
      <c r="B18" s="158" t="str">
        <f>IF(C18,"Alb","")</f>
        <v/>
      </c>
      <c r="C18" s="560" t="b">
        <v>0</v>
      </c>
      <c r="D18" s="158" t="str">
        <f>IF(E18,"Alb","")</f>
        <v/>
      </c>
      <c r="E18" s="560" t="b">
        <v>0</v>
      </c>
      <c r="F18" s="158" t="str">
        <f>IF(G18,"Alb","")</f>
        <v/>
      </c>
      <c r="G18" s="560" t="b">
        <v>0</v>
      </c>
      <c r="H18" s="158" t="str">
        <f>IF(I18,"Alb","")</f>
        <v/>
      </c>
      <c r="I18" s="560" t="b">
        <v>0</v>
      </c>
      <c r="K18" s="158" t="str">
        <f>IF(L18,"Alb","")</f>
        <v/>
      </c>
      <c r="L18" s="560" t="b">
        <v>0</v>
      </c>
      <c r="N18" s="360"/>
      <c r="P18" s="360"/>
    </row>
    <row r="19" spans="2:16" x14ac:dyDescent="0.2">
      <c r="B19" s="158" t="str">
        <f>IF(C19,"Ca","")</f>
        <v/>
      </c>
      <c r="C19" s="560" t="b">
        <v>0</v>
      </c>
      <c r="D19" s="158" t="str">
        <f>IF(E19,"Ca","")</f>
        <v/>
      </c>
      <c r="E19" s="560" t="b">
        <v>0</v>
      </c>
      <c r="F19" s="158" t="str">
        <f>IF(G19,"Ca","")</f>
        <v/>
      </c>
      <c r="G19" s="560" t="b">
        <v>0</v>
      </c>
      <c r="H19" s="158" t="str">
        <f>IF(I19,"Ca","")</f>
        <v/>
      </c>
      <c r="I19" s="560" t="b">
        <v>0</v>
      </c>
      <c r="K19" s="158" t="str">
        <f>IF(L19,"Ca","")</f>
        <v/>
      </c>
      <c r="L19" s="560" t="b">
        <v>0</v>
      </c>
      <c r="N19" s="360"/>
      <c r="P19" s="360"/>
    </row>
    <row r="20" spans="2:16" x14ac:dyDescent="0.2">
      <c r="B20" s="158" t="str">
        <f>IF(C20,"ASAT","")</f>
        <v/>
      </c>
      <c r="C20" s="560" t="b">
        <v>0</v>
      </c>
      <c r="D20" s="158" t="str">
        <f>IF(E20,"ASAT","")</f>
        <v/>
      </c>
      <c r="E20" s="560" t="b">
        <v>0</v>
      </c>
      <c r="F20" s="158" t="str">
        <f>IF(G20,"ASAT","")</f>
        <v/>
      </c>
      <c r="G20" s="560" t="b">
        <v>0</v>
      </c>
      <c r="H20" s="158" t="str">
        <f>IF(I20,"ASAT","")</f>
        <v/>
      </c>
      <c r="I20" s="560" t="b">
        <v>0</v>
      </c>
      <c r="K20" s="158" t="str">
        <f>IF(L20,"ASAT","")</f>
        <v/>
      </c>
      <c r="L20" s="560" t="b">
        <v>0</v>
      </c>
      <c r="N20" s="360"/>
      <c r="P20" s="360"/>
    </row>
    <row r="21" spans="2:16" x14ac:dyDescent="0.2">
      <c r="B21" s="158" t="str">
        <f>IF(C21,"ALAT","")</f>
        <v/>
      </c>
      <c r="C21" s="560" t="b">
        <v>0</v>
      </c>
      <c r="D21" s="158" t="str">
        <f>IF(E21,"ALAT","")</f>
        <v/>
      </c>
      <c r="E21" s="560" t="b">
        <v>0</v>
      </c>
      <c r="F21" s="158" t="str">
        <f>IF(G21,"ALAT","")</f>
        <v/>
      </c>
      <c r="G21" s="560" t="b">
        <v>0</v>
      </c>
      <c r="H21" s="158" t="str">
        <f>IF(I21,"ALAT","")</f>
        <v/>
      </c>
      <c r="I21" s="560" t="b">
        <v>0</v>
      </c>
      <c r="K21" s="158" t="str">
        <f>IF(L21,"Alat","")</f>
        <v/>
      </c>
      <c r="L21" s="560" t="b">
        <v>0</v>
      </c>
      <c r="N21" s="360"/>
      <c r="P21" s="360"/>
    </row>
    <row r="22" spans="2:16" x14ac:dyDescent="0.2">
      <c r="B22" s="158" t="str">
        <f>IF(C22,"GGT","")</f>
        <v/>
      </c>
      <c r="C22" s="560" t="b">
        <v>0</v>
      </c>
      <c r="D22" s="158" t="str">
        <f>IF(E22,"GGT","")</f>
        <v/>
      </c>
      <c r="E22" s="560" t="b">
        <v>0</v>
      </c>
      <c r="F22" s="158" t="str">
        <f>IF(G22,"GGT","")</f>
        <v/>
      </c>
      <c r="G22" s="560" t="b">
        <v>0</v>
      </c>
      <c r="H22" s="158" t="str">
        <f>IF(I22,"GGT","")</f>
        <v/>
      </c>
      <c r="I22" s="560" t="b">
        <v>0</v>
      </c>
      <c r="K22" s="158" t="str">
        <f>IF(L22,"GGT","")</f>
        <v/>
      </c>
      <c r="L22" s="560" t="b">
        <v>0</v>
      </c>
      <c r="N22" s="360"/>
      <c r="P22" s="360"/>
    </row>
    <row r="23" spans="2:16" x14ac:dyDescent="0.2">
      <c r="B23" s="158" t="str">
        <f>IF(C23,"AF","")</f>
        <v/>
      </c>
      <c r="C23" s="560" t="b">
        <v>0</v>
      </c>
      <c r="D23" s="158" t="str">
        <f>IF(E23,"AF","")</f>
        <v/>
      </c>
      <c r="E23" s="560" t="b">
        <v>0</v>
      </c>
      <c r="F23" s="158" t="str">
        <f>IF(G23,"AF","")</f>
        <v/>
      </c>
      <c r="G23" s="560" t="b">
        <v>0</v>
      </c>
      <c r="H23" s="158" t="str">
        <f>IF(I23,"AF","")</f>
        <v/>
      </c>
      <c r="I23" s="560" t="b">
        <v>0</v>
      </c>
      <c r="K23" s="158" t="str">
        <f>IF(L23,"AF","")</f>
        <v/>
      </c>
      <c r="L23" s="560" t="b">
        <v>0</v>
      </c>
      <c r="N23" s="360"/>
      <c r="P23" s="360"/>
    </row>
    <row r="24" spans="2:16" x14ac:dyDescent="0.2">
      <c r="B24" s="158" t="str">
        <f>IF(C24,"LDH","")</f>
        <v/>
      </c>
      <c r="C24" s="560" t="b">
        <v>0</v>
      </c>
      <c r="D24" s="158" t="str">
        <f>IF(E24,"LDH","")</f>
        <v/>
      </c>
      <c r="E24" s="560" t="b">
        <v>0</v>
      </c>
      <c r="F24" s="158" t="str">
        <f>IF(G24,"LDH","")</f>
        <v/>
      </c>
      <c r="G24" s="560" t="b">
        <v>0</v>
      </c>
      <c r="H24" s="158" t="str">
        <f>IF(I24,"LDH","")</f>
        <v/>
      </c>
      <c r="I24" s="560" t="b">
        <v>0</v>
      </c>
      <c r="K24" s="158" t="str">
        <f>IF(L24,"LDH","")</f>
        <v/>
      </c>
      <c r="L24" s="560" t="b">
        <v>0</v>
      </c>
      <c r="N24" s="360"/>
      <c r="P24" s="360"/>
    </row>
    <row r="25" spans="2:16" x14ac:dyDescent="0.2">
      <c r="B25" s="158" t="str">
        <f>IF(C25,"Bili","")</f>
        <v/>
      </c>
      <c r="C25" s="560" t="b">
        <v>0</v>
      </c>
      <c r="D25" s="158" t="str">
        <f>IF(E25,"Bili","")</f>
        <v/>
      </c>
      <c r="E25" s="560" t="b">
        <v>0</v>
      </c>
      <c r="F25" s="158" t="str">
        <f>IF(G25,"Bili","")</f>
        <v/>
      </c>
      <c r="G25" s="560" t="b">
        <v>0</v>
      </c>
      <c r="H25" s="158" t="str">
        <f>IF(I25,"Bili","")</f>
        <v/>
      </c>
      <c r="I25" s="560" t="b">
        <v>0</v>
      </c>
      <c r="K25" s="158" t="str">
        <f>IF(L25,"Blil","")</f>
        <v/>
      </c>
      <c r="L25" s="560" t="b">
        <v>0</v>
      </c>
      <c r="N25" s="360"/>
      <c r="P25" s="360"/>
    </row>
    <row r="26" spans="2:16" x14ac:dyDescent="0.2">
      <c r="B26" s="158" t="str">
        <f>IF(C26,"CK","")</f>
        <v/>
      </c>
      <c r="C26" s="560" t="b">
        <v>0</v>
      </c>
      <c r="D26" s="158" t="str">
        <f>IF(E26,"CK","")</f>
        <v/>
      </c>
      <c r="E26" s="560" t="b">
        <v>0</v>
      </c>
      <c r="F26" s="158" t="str">
        <f>IF(G26,"CK","")</f>
        <v/>
      </c>
      <c r="G26" s="560" t="b">
        <v>0</v>
      </c>
      <c r="H26" s="158" t="str">
        <f>IF(I26,"CK","")</f>
        <v/>
      </c>
      <c r="I26" s="560" t="b">
        <v>0</v>
      </c>
      <c r="K26" s="158" t="str">
        <f>IF(L26,"CK","")</f>
        <v/>
      </c>
      <c r="L26" s="560" t="b">
        <v>0</v>
      </c>
      <c r="N26" s="360"/>
      <c r="P26" s="360"/>
    </row>
    <row r="27" spans="2:16" x14ac:dyDescent="0.2">
      <c r="B27" s="158" t="str">
        <f>IF(C27,"TG","")</f>
        <v/>
      </c>
      <c r="C27" s="560" t="b">
        <v>0</v>
      </c>
      <c r="D27" s="158" t="str">
        <f>IF(E27,"TG","")</f>
        <v/>
      </c>
      <c r="E27" s="560" t="b">
        <v>0</v>
      </c>
      <c r="F27" s="158" t="str">
        <f>IF(G27,"TG","")</f>
        <v/>
      </c>
      <c r="G27" s="560" t="b">
        <v>0</v>
      </c>
      <c r="H27" s="158" t="str">
        <f>IF(I27,"TG","")</f>
        <v/>
      </c>
      <c r="I27" s="560" t="b">
        <v>0</v>
      </c>
      <c r="K27" s="158" t="str">
        <f>IF(L27,"TG","")</f>
        <v/>
      </c>
      <c r="L27" s="560" t="b">
        <v>0</v>
      </c>
      <c r="N27" s="360"/>
      <c r="P27" s="360"/>
    </row>
    <row r="28" spans="2:16" x14ac:dyDescent="0.2">
      <c r="B28" s="158" t="str">
        <f>IF(C28,"BG","")</f>
        <v/>
      </c>
      <c r="C28" s="560" t="b">
        <v>0</v>
      </c>
      <c r="D28" s="158" t="str">
        <f>IF(E28,"BG","")</f>
        <v/>
      </c>
      <c r="E28" s="560" t="b">
        <v>0</v>
      </c>
      <c r="F28" s="158" t="str">
        <f>IF(G28,"BG","")</f>
        <v/>
      </c>
      <c r="G28" s="560" t="b">
        <v>0</v>
      </c>
      <c r="H28" s="158" t="str">
        <f>IF(I28,"BG","")</f>
        <v/>
      </c>
      <c r="I28" s="560" t="b">
        <v>0</v>
      </c>
      <c r="K28" s="158" t="str">
        <f>IF(L28,"BG","")</f>
        <v/>
      </c>
      <c r="L28" s="560" t="b">
        <v>0</v>
      </c>
      <c r="N28" s="360"/>
      <c r="P28" s="360"/>
    </row>
    <row r="29" spans="2:16" x14ac:dyDescent="0.2">
      <c r="B29" s="158" t="str">
        <f>IF(C29,"PT","")</f>
        <v/>
      </c>
      <c r="C29" s="560" t="b">
        <v>0</v>
      </c>
      <c r="D29" s="158" t="str">
        <f>IF(E29,"PT","")</f>
        <v/>
      </c>
      <c r="E29" s="560" t="b">
        <v>0</v>
      </c>
      <c r="F29" s="158" t="str">
        <f>IF(G29,"PT","")</f>
        <v/>
      </c>
      <c r="G29" s="560" t="b">
        <v>0</v>
      </c>
      <c r="H29" s="158" t="str">
        <f>IF(I29,"PT","")</f>
        <v/>
      </c>
      <c r="I29" s="560" t="b">
        <v>0</v>
      </c>
      <c r="K29" s="158" t="str">
        <f>IF(L29,"PT","")</f>
        <v/>
      </c>
      <c r="L29" s="560" t="b">
        <v>0</v>
      </c>
      <c r="N29" s="360"/>
      <c r="P29" s="360"/>
    </row>
    <row r="30" spans="2:16" x14ac:dyDescent="0.2">
      <c r="B30" s="158" t="str">
        <f>IF(C30,"APTT","")</f>
        <v/>
      </c>
      <c r="C30" s="560" t="b">
        <v>0</v>
      </c>
      <c r="D30" s="158" t="str">
        <f>IF(E30,"APTT","")</f>
        <v/>
      </c>
      <c r="E30" s="560" t="b">
        <v>0</v>
      </c>
      <c r="F30" s="158" t="str">
        <f>IF(G30,"APTT","")</f>
        <v/>
      </c>
      <c r="G30" s="560" t="b">
        <v>0</v>
      </c>
      <c r="H30" s="158" t="str">
        <f>IF(I30,"APTT","")</f>
        <v/>
      </c>
      <c r="I30" s="560" t="b">
        <v>0</v>
      </c>
      <c r="K30" s="158" t="str">
        <f>IF(L30,"APTT","")</f>
        <v/>
      </c>
      <c r="L30" s="560" t="b">
        <v>0</v>
      </c>
      <c r="N30" s="360"/>
      <c r="P30" s="360"/>
    </row>
    <row r="31" spans="2:16" x14ac:dyDescent="0.2">
      <c r="B31" s="158" t="str">
        <f>IF(C31,"d-dimeren","")</f>
        <v/>
      </c>
      <c r="C31" s="560" t="b">
        <v>0</v>
      </c>
      <c r="D31" s="158" t="str">
        <f>IF(E31,"d-dimeren","")</f>
        <v/>
      </c>
      <c r="E31" s="560" t="b">
        <v>0</v>
      </c>
      <c r="F31" s="158" t="str">
        <f>IF(G31,"d-dimeren","")</f>
        <v/>
      </c>
      <c r="G31" s="560" t="b">
        <v>0</v>
      </c>
      <c r="H31" s="158" t="str">
        <f>IF(I31,"d-dimeren","")</f>
        <v/>
      </c>
      <c r="I31" s="560" t="b">
        <v>0</v>
      </c>
      <c r="K31" s="158" t="str">
        <f>IF(L31,"d-dimeren","")</f>
        <v/>
      </c>
      <c r="L31" s="560" t="b">
        <v>0</v>
      </c>
      <c r="N31" s="360"/>
      <c r="P31" s="360"/>
    </row>
    <row r="32" spans="2:16" x14ac:dyDescent="0.2">
      <c r="B32" s="158" t="str">
        <f>IF(C32,"INR","")</f>
        <v/>
      </c>
      <c r="C32" s="560" t="b">
        <v>0</v>
      </c>
      <c r="D32" s="158" t="str">
        <f>IF(E32,"INR","")</f>
        <v/>
      </c>
      <c r="E32" s="560" t="b">
        <v>0</v>
      </c>
      <c r="F32" s="158" t="str">
        <f t="shared" ref="F32" si="0">IF(G32,"INR","")</f>
        <v/>
      </c>
      <c r="G32" s="560" t="b">
        <v>0</v>
      </c>
      <c r="H32" s="158" t="str">
        <f t="shared" ref="H32" si="1">IF(I32,"INR","")</f>
        <v/>
      </c>
      <c r="I32" s="560" t="b">
        <v>0</v>
      </c>
      <c r="K32" s="158" t="str">
        <f t="shared" ref="K32:K35" si="2">IF(L32,"INR","")</f>
        <v/>
      </c>
      <c r="L32" s="560" t="b">
        <v>0</v>
      </c>
      <c r="N32" s="360"/>
      <c r="P32" s="360"/>
    </row>
    <row r="33" spans="2:16" x14ac:dyDescent="0.2">
      <c r="B33" s="158" t="str">
        <f>IF(C33,"Hep-ratio","")</f>
        <v/>
      </c>
      <c r="C33" s="560" t="b">
        <v>0</v>
      </c>
      <c r="D33" s="158" t="str">
        <f>IF(E33,"Hep-ratio","")</f>
        <v/>
      </c>
      <c r="E33" s="560" t="b">
        <v>0</v>
      </c>
      <c r="F33" s="158" t="str">
        <f>IF(G33,"Hep-ratio","")</f>
        <v/>
      </c>
      <c r="G33" s="560" t="b">
        <v>0</v>
      </c>
      <c r="H33" s="158" t="str">
        <f>IF(I33,"Hep-ratio","")</f>
        <v/>
      </c>
      <c r="I33" s="560" t="b">
        <v>0</v>
      </c>
      <c r="K33" s="158" t="str">
        <f>IF(L33,"Hep-ratio","")</f>
        <v/>
      </c>
      <c r="L33" s="560" t="b">
        <v>0</v>
      </c>
      <c r="N33" s="360"/>
      <c r="P33" s="360"/>
    </row>
    <row r="34" spans="2:16" x14ac:dyDescent="0.2">
      <c r="B34" s="158" t="str">
        <f>IF(C34,"BNP","")</f>
        <v/>
      </c>
      <c r="C34" s="560" t="b">
        <v>0</v>
      </c>
      <c r="D34" s="158" t="str">
        <f>IF(E34,"BNP","")</f>
        <v/>
      </c>
      <c r="E34" s="560" t="b">
        <v>0</v>
      </c>
      <c r="F34" s="158" t="str">
        <f>IF(G34,"BNP","")</f>
        <v/>
      </c>
      <c r="G34" s="560" t="b">
        <v>0</v>
      </c>
      <c r="H34" s="158" t="str">
        <f>IF(I34,"BNP","")</f>
        <v/>
      </c>
      <c r="I34" s="560" t="b">
        <v>0</v>
      </c>
      <c r="K34" s="158" t="str">
        <f>IF(L34,"BNP","")</f>
        <v/>
      </c>
      <c r="L34" s="560" t="b">
        <v>0</v>
      </c>
      <c r="N34" s="360"/>
      <c r="P34" s="360"/>
    </row>
    <row r="35" spans="2:16" x14ac:dyDescent="0.2">
      <c r="B35" s="158" t="str">
        <f>IF(C35,"ACT","")</f>
        <v/>
      </c>
      <c r="C35" s="560" t="b">
        <v>0</v>
      </c>
      <c r="G35" s="561" t="b">
        <v>0</v>
      </c>
      <c r="K35" s="158" t="str">
        <f t="shared" si="2"/>
        <v/>
      </c>
    </row>
  </sheetData>
  <pageMargins left="0.75" right="0.75" top="1" bottom="1" header="0.5" footer="0.5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A1:Q74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1" width="5.42578125" style="854" customWidth="1"/>
    <col min="2" max="2" width="25" style="854" customWidth="1"/>
    <col min="3" max="3" width="16.28515625" style="854" customWidth="1"/>
    <col min="4" max="4" width="16.7109375" style="854" customWidth="1"/>
    <col min="5" max="5" width="15" style="854" bestFit="1" customWidth="1"/>
    <col min="6" max="6" width="21.85546875" style="854" bestFit="1" customWidth="1"/>
    <col min="7" max="7" width="21.5703125" style="854" customWidth="1"/>
    <col min="8" max="8" width="11.5703125" style="854" customWidth="1"/>
    <col min="9" max="9" width="27" style="854" customWidth="1"/>
    <col min="10" max="10" width="15.5703125" style="854" customWidth="1"/>
    <col min="11" max="11" width="13" style="854" customWidth="1"/>
    <col min="12" max="45" width="9.140625" style="854" customWidth="1"/>
    <col min="46" max="16384" width="9.140625" style="854"/>
  </cols>
  <sheetData>
    <row r="1" spans="1:17" s="851" customFormat="1" ht="17.25" customHeight="1" x14ac:dyDescent="0.2">
      <c r="A1" s="850"/>
      <c r="B1" s="942"/>
      <c r="C1" s="942"/>
      <c r="D1" s="942"/>
      <c r="E1" s="942"/>
      <c r="F1" s="942"/>
      <c r="G1" s="942"/>
      <c r="H1" s="942"/>
      <c r="I1" s="942"/>
    </row>
    <row r="2" spans="1:17" s="851" customFormat="1" ht="17.25" customHeight="1" x14ac:dyDescent="0.2">
      <c r="B2" s="943" t="s">
        <v>316</v>
      </c>
      <c r="C2" s="944">
        <f ca="1">Var_AfspraakDatum</f>
        <v>42748</v>
      </c>
      <c r="D2" s="943" t="s">
        <v>317</v>
      </c>
      <c r="E2" s="945" t="str">
        <f>PatDetails!B13</f>
        <v/>
      </c>
      <c r="F2" s="943" t="str">
        <f>PatDetails!B21</f>
        <v>Gewicht:</v>
      </c>
      <c r="G2" s="943"/>
      <c r="H2" s="943" t="s">
        <v>536</v>
      </c>
      <c r="I2" s="946">
        <f>__1_Bed</f>
        <v>0</v>
      </c>
    </row>
    <row r="3" spans="1:17" s="851" customFormat="1" ht="17.25" customHeight="1" x14ac:dyDescent="0.2">
      <c r="B3" s="943" t="s">
        <v>28</v>
      </c>
      <c r="C3" s="947" t="str">
        <f>PatDetails!B19</f>
        <v/>
      </c>
      <c r="D3" s="943" t="s">
        <v>324</v>
      </c>
      <c r="E3" s="945" t="str">
        <f ca="1">PatDetails!B14</f>
        <v/>
      </c>
      <c r="F3" s="943" t="str">
        <f>PatDetails!B22</f>
        <v>Lengte:</v>
      </c>
      <c r="G3" s="943"/>
      <c r="H3" s="943"/>
      <c r="I3" s="942"/>
    </row>
    <row r="4" spans="1:17" s="851" customFormat="1" ht="17.25" customHeight="1" x14ac:dyDescent="0.2">
      <c r="A4" s="852"/>
      <c r="B4" s="943" t="s">
        <v>5108</v>
      </c>
      <c r="C4" s="943" t="str">
        <f>PatDetails!B15</f>
        <v/>
      </c>
      <c r="D4" s="943" t="s">
        <v>287</v>
      </c>
      <c r="E4" s="948" t="str">
        <f ca="1">PatDetails!B18</f>
        <v/>
      </c>
      <c r="F4" s="943" t="str">
        <f>PatDetails!B23</f>
        <v>Lichamelijk oppervlak:</v>
      </c>
      <c r="G4" s="943"/>
      <c r="H4" s="943"/>
      <c r="I4" s="942"/>
    </row>
    <row r="6" spans="1:17" x14ac:dyDescent="0.2">
      <c r="A6" s="853"/>
      <c r="B6" s="962" t="s">
        <v>765</v>
      </c>
      <c r="C6" s="962"/>
      <c r="D6" s="962"/>
      <c r="E6" s="962"/>
      <c r="F6" s="962" t="s">
        <v>772</v>
      </c>
      <c r="G6" s="962"/>
      <c r="H6" s="962"/>
      <c r="I6" s="962"/>
      <c r="Q6" s="851"/>
    </row>
    <row r="7" spans="1:17" ht="18" customHeight="1" x14ac:dyDescent="0.2">
      <c r="Q7" s="851"/>
    </row>
    <row r="8" spans="1:17" ht="18" customHeight="1" thickBot="1" x14ac:dyDescent="0.25">
      <c r="C8" s="912" t="str">
        <f>IF(PedBerAfspr!C7=0,"",PedBerAfspr!C7)</f>
        <v/>
      </c>
      <c r="Q8" s="851"/>
    </row>
    <row r="9" spans="1:17" ht="18" customHeight="1" thickTop="1" thickBot="1" x14ac:dyDescent="0.25">
      <c r="C9" s="913" t="str">
        <f>IF(PedBerAfspr!C8=0,"",PedBerAfspr!C8)</f>
        <v/>
      </c>
      <c r="G9" s="916" t="str">
        <f>CONCATENATE("à ",PedBerAfspr!G16," uur")</f>
        <v>à 0 uur</v>
      </c>
      <c r="H9" s="855"/>
    </row>
    <row r="10" spans="1:17" ht="18" customHeight="1" thickTop="1" thickBot="1" x14ac:dyDescent="0.25">
      <c r="C10" s="913" t="str">
        <f>IF(PedBerAfspr!C9=0,"",PedBerAfspr!C9)</f>
        <v/>
      </c>
      <c r="G10" s="917" t="str">
        <f>CONCATENATE("à ",PedBerAfspr!G18," uur")</f>
        <v>à 0 uur</v>
      </c>
      <c r="H10" s="927" t="s">
        <v>1033</v>
      </c>
      <c r="I10" s="911" t="str">
        <f>IF(_Ped_AfsprD_Verliezen=0,"",_Ped_AfsprD_Verliezen)</f>
        <v/>
      </c>
      <c r="J10" s="856"/>
      <c r="K10" s="856"/>
    </row>
    <row r="11" spans="1:17" ht="18" customHeight="1" thickTop="1" thickBot="1" x14ac:dyDescent="0.25">
      <c r="C11" s="914" t="str">
        <f>CONCATENATE(PedBerAfspr!$B$12," dd")</f>
        <v>0 dd</v>
      </c>
      <c r="F11" s="857"/>
      <c r="I11" s="856"/>
      <c r="J11" s="856"/>
      <c r="K11" s="856"/>
    </row>
    <row r="12" spans="1:17" ht="18" customHeight="1" thickTop="1" x14ac:dyDescent="0.2">
      <c r="F12" s="857"/>
      <c r="I12" s="856"/>
      <c r="J12" s="856"/>
      <c r="K12" s="856"/>
    </row>
    <row r="13" spans="1:17" ht="18" customHeight="1" x14ac:dyDescent="0.2">
      <c r="F13" s="857"/>
      <c r="I13" s="858"/>
      <c r="M13" s="851"/>
    </row>
    <row r="14" spans="1:17" ht="18" customHeight="1" x14ac:dyDescent="0.2">
      <c r="F14" s="857"/>
      <c r="M14" s="851"/>
    </row>
    <row r="15" spans="1:17" ht="18" customHeight="1" x14ac:dyDescent="0.2">
      <c r="F15" s="857"/>
    </row>
    <row r="16" spans="1:17" ht="18" customHeight="1" x14ac:dyDescent="0.2">
      <c r="F16" s="857"/>
      <c r="M16" s="851"/>
    </row>
    <row r="17" spans="1:14" ht="18" customHeight="1" x14ac:dyDescent="0.2">
      <c r="F17" s="928" t="s">
        <v>946</v>
      </c>
      <c r="G17" s="929"/>
      <c r="H17" s="929"/>
      <c r="I17" s="929"/>
      <c r="M17" s="851"/>
    </row>
    <row r="18" spans="1:14" ht="18" customHeight="1" thickBot="1" x14ac:dyDescent="0.25">
      <c r="C18" s="915" t="str">
        <f>CONCATENATE(PedBerAfspr!$C$42," dd")</f>
        <v>0 dd</v>
      </c>
      <c r="F18" s="987" t="str">
        <f>IF(_Ped_AfsprOverig=0,"",_Ped_AfsprOverig)</f>
        <v/>
      </c>
      <c r="G18" s="988"/>
      <c r="H18" s="988"/>
      <c r="I18" s="988"/>
      <c r="K18" s="851"/>
      <c r="M18" s="851"/>
      <c r="N18" s="851"/>
    </row>
    <row r="19" spans="1:14" ht="18" customHeight="1" thickTop="1" thickBot="1" x14ac:dyDescent="0.25">
      <c r="C19" s="914" t="str">
        <f>CONCATENATE(PedBerAfspr!$C$43," dd")</f>
        <v>3 dd</v>
      </c>
      <c r="F19" s="988"/>
      <c r="G19" s="988"/>
      <c r="H19" s="988"/>
      <c r="I19" s="988"/>
      <c r="N19" s="851"/>
    </row>
    <row r="20" spans="1:14" ht="18" customHeight="1" thickTop="1" x14ac:dyDescent="0.2">
      <c r="F20" s="988"/>
      <c r="G20" s="988"/>
      <c r="H20" s="988"/>
      <c r="I20" s="988"/>
      <c r="K20" s="851"/>
      <c r="M20" s="851"/>
      <c r="N20" s="851"/>
    </row>
    <row r="21" spans="1:14" ht="18" customHeight="1" x14ac:dyDescent="0.2">
      <c r="F21" s="857"/>
      <c r="G21" s="859"/>
      <c r="H21" s="860"/>
      <c r="M21" s="851"/>
      <c r="N21" s="851"/>
    </row>
    <row r="22" spans="1:14" ht="18" customHeight="1" x14ac:dyDescent="0.2">
      <c r="B22" s="962" t="s">
        <v>771</v>
      </c>
      <c r="C22" s="962"/>
      <c r="D22" s="962"/>
      <c r="E22" s="962"/>
      <c r="F22" s="963"/>
      <c r="G22" s="964"/>
      <c r="H22" s="965"/>
      <c r="I22" s="962"/>
      <c r="M22" s="851"/>
    </row>
    <row r="23" spans="1:14" ht="18" customHeight="1" x14ac:dyDescent="0.2">
      <c r="F23" s="857"/>
      <c r="G23" s="859"/>
      <c r="H23" s="860"/>
      <c r="M23" s="851"/>
    </row>
    <row r="24" spans="1:14" ht="18" customHeight="1" x14ac:dyDescent="0.2">
      <c r="F24" s="857"/>
    </row>
    <row r="25" spans="1:14" ht="18" customHeight="1" x14ac:dyDescent="0.2"/>
    <row r="26" spans="1:14" ht="18" customHeight="1" x14ac:dyDescent="0.2"/>
    <row r="27" spans="1:14" ht="18" customHeight="1" x14ac:dyDescent="0.2"/>
    <row r="28" spans="1:14" ht="18" customHeight="1" x14ac:dyDescent="0.2">
      <c r="B28" s="962" t="s">
        <v>1009</v>
      </c>
      <c r="C28" s="962"/>
      <c r="D28" s="962"/>
      <c r="E28" s="962"/>
      <c r="F28" s="962"/>
      <c r="G28" s="962"/>
      <c r="H28" s="962"/>
      <c r="I28" s="962"/>
    </row>
    <row r="29" spans="1:14" ht="18" customHeight="1" x14ac:dyDescent="0.2">
      <c r="A29" s="855"/>
    </row>
    <row r="30" spans="1:14" ht="18" customHeight="1" x14ac:dyDescent="0.2">
      <c r="A30" s="855"/>
      <c r="E30" s="857"/>
    </row>
    <row r="31" spans="1:14" ht="18" customHeight="1" x14ac:dyDescent="0.2">
      <c r="A31" s="855"/>
      <c r="E31" s="857"/>
      <c r="M31" s="851"/>
    </row>
    <row r="32" spans="1:14" ht="18" customHeight="1" x14ac:dyDescent="0.2">
      <c r="A32" s="855"/>
      <c r="B32" s="861"/>
      <c r="C32" s="861"/>
      <c r="D32" s="855"/>
      <c r="E32" s="855"/>
      <c r="M32" s="851"/>
    </row>
    <row r="33" spans="2:13" ht="18" customHeight="1" x14ac:dyDescent="0.2">
      <c r="B33" s="861"/>
      <c r="C33" s="861"/>
      <c r="D33" s="855"/>
      <c r="E33" s="855"/>
      <c r="M33" s="851"/>
    </row>
    <row r="34" spans="2:13" ht="18" customHeight="1" x14ac:dyDescent="0.2">
      <c r="B34" s="861"/>
      <c r="C34" s="861"/>
      <c r="D34" s="855"/>
      <c r="E34" s="855"/>
      <c r="M34" s="851"/>
    </row>
    <row r="35" spans="2:13" ht="18" customHeight="1" x14ac:dyDescent="0.2">
      <c r="B35" s="861"/>
      <c r="C35" s="861"/>
      <c r="D35" s="883">
        <f>PedBerAfspr!D40</f>
        <v>0</v>
      </c>
      <c r="E35" s="861" t="s">
        <v>1011</v>
      </c>
      <c r="F35" s="851"/>
      <c r="M35" s="851"/>
    </row>
    <row r="36" spans="2:13" ht="18" customHeight="1" x14ac:dyDescent="0.2">
      <c r="E36" s="857"/>
      <c r="M36" s="851"/>
    </row>
    <row r="37" spans="2:13" ht="18" customHeight="1" x14ac:dyDescent="0.2">
      <c r="B37" s="966" t="s">
        <v>736</v>
      </c>
      <c r="C37" s="966"/>
      <c r="D37" s="966"/>
      <c r="E37" s="966"/>
      <c r="F37" s="966"/>
      <c r="G37" s="966"/>
      <c r="H37" s="966"/>
      <c r="I37" s="966"/>
      <c r="M37" s="851"/>
    </row>
    <row r="38" spans="2:13" ht="18" customHeight="1" x14ac:dyDescent="0.2">
      <c r="B38" s="966" t="s">
        <v>765</v>
      </c>
      <c r="C38" s="966" t="str">
        <f>IFERROR(LEFT(Var_Ped_AfsprControles,LEN(Var_Ped_AfsprControles)-3),"")</f>
        <v/>
      </c>
      <c r="D38" s="966"/>
      <c r="E38" s="966"/>
      <c r="F38" s="966"/>
      <c r="G38" s="966"/>
      <c r="H38" s="966"/>
      <c r="I38" s="966"/>
      <c r="M38" s="851"/>
    </row>
    <row r="39" spans="2:13" ht="18" customHeight="1" x14ac:dyDescent="0.2">
      <c r="B39" s="966" t="s">
        <v>771</v>
      </c>
      <c r="C39" s="966" t="str">
        <f>IFERROR(LEFT(Var_Ped_AfsprOnderzoeken,LEN(Var_Ped_AfsprOnderzoeken)-3),"")</f>
        <v/>
      </c>
      <c r="D39" s="966"/>
      <c r="E39" s="966"/>
      <c r="F39" s="966"/>
      <c r="G39" s="966"/>
      <c r="H39" s="966"/>
      <c r="I39" s="966"/>
    </row>
    <row r="40" spans="2:13" ht="18" customHeight="1" x14ac:dyDescent="0.2">
      <c r="B40" s="966" t="s">
        <v>1009</v>
      </c>
      <c r="C40" s="966" t="str">
        <f>IFERROR(LEFT(Var_Ped_AfsprInstellingen,LEN(Var_Ped_AfsprInstellingen)-3),"")</f>
        <v/>
      </c>
      <c r="D40" s="966"/>
      <c r="E40" s="966"/>
      <c r="F40" s="966"/>
      <c r="G40" s="966"/>
      <c r="H40" s="966"/>
      <c r="I40" s="966"/>
      <c r="M40" s="851"/>
    </row>
    <row r="41" spans="2:13" ht="18" customHeight="1" x14ac:dyDescent="0.2">
      <c r="B41" s="966" t="s">
        <v>749</v>
      </c>
      <c r="C41" s="966" t="str">
        <f>IFERROR(LEFT(Var_Ped_AfsprOverig,LEN(Var_Ped_AfsprOverig)-3),"")</f>
        <v/>
      </c>
      <c r="D41" s="966"/>
      <c r="E41" s="966"/>
      <c r="F41" s="966"/>
      <c r="G41" s="966"/>
      <c r="H41" s="966"/>
      <c r="I41" s="966"/>
      <c r="M41" s="851"/>
    </row>
    <row r="42" spans="2:13" ht="18" customHeight="1" x14ac:dyDescent="0.2">
      <c r="M42" s="851"/>
    </row>
    <row r="43" spans="2:13" ht="18" customHeight="1" x14ac:dyDescent="0.2">
      <c r="M43" s="851"/>
    </row>
    <row r="44" spans="2:13" ht="18" customHeight="1" x14ac:dyDescent="0.2">
      <c r="M44" s="851"/>
    </row>
    <row r="45" spans="2:13" ht="18" customHeight="1" x14ac:dyDescent="0.2"/>
    <row r="46" spans="2:13" ht="18" customHeight="1" x14ac:dyDescent="0.2"/>
    <row r="47" spans="2:13" ht="18" customHeight="1" x14ac:dyDescent="0.2">
      <c r="M47" s="862"/>
    </row>
    <row r="48" spans="2:13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mergeCells count="1">
    <mergeCell ref="F18:I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5</xdr:col>
                    <xdr:colOff>9525</xdr:colOff>
                    <xdr:row>6</xdr:row>
                    <xdr:rowOff>19050</xdr:rowOff>
                  </from>
                  <to>
                    <xdr:col>5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5</xdr:col>
                    <xdr:colOff>9525</xdr:colOff>
                    <xdr:row>7</xdr:row>
                    <xdr:rowOff>19050</xdr:rowOff>
                  </from>
                  <to>
                    <xdr:col>5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2</xdr:col>
                    <xdr:colOff>533400</xdr:colOff>
                    <xdr:row>10</xdr:row>
                    <xdr:rowOff>28575</xdr:rowOff>
                  </from>
                  <to>
                    <xdr:col>2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1</xdr:col>
                    <xdr:colOff>9525</xdr:colOff>
                    <xdr:row>24</xdr:row>
                    <xdr:rowOff>19050</xdr:rowOff>
                  </from>
                  <to>
                    <xdr:col>1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1</xdr:col>
                    <xdr:colOff>9525</xdr:colOff>
                    <xdr:row>25</xdr:row>
                    <xdr:rowOff>28575</xdr:rowOff>
                  </from>
                  <to>
                    <xdr:col>1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2</xdr:col>
                    <xdr:colOff>9525</xdr:colOff>
                    <xdr:row>28</xdr:row>
                    <xdr:rowOff>9525</xdr:rowOff>
                  </from>
                  <to>
                    <xdr:col>2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1</xdr:col>
                    <xdr:colOff>9525</xdr:colOff>
                    <xdr:row>29</xdr:row>
                    <xdr:rowOff>19050</xdr:rowOff>
                  </from>
                  <to>
                    <xdr:col>1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2</xdr:col>
                    <xdr:colOff>9525</xdr:colOff>
                    <xdr:row>29</xdr:row>
                    <xdr:rowOff>9525</xdr:rowOff>
                  </from>
                  <to>
                    <xdr:col>2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1</xdr:col>
                    <xdr:colOff>9525</xdr:colOff>
                    <xdr:row>7</xdr:row>
                    <xdr:rowOff>19050</xdr:rowOff>
                  </from>
                  <to>
                    <xdr:col>1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1</xdr:col>
                    <xdr:colOff>9525</xdr:colOff>
                    <xdr:row>8</xdr:row>
                    <xdr:rowOff>19050</xdr:rowOff>
                  </from>
                  <to>
                    <xdr:col>1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1</xdr:col>
                    <xdr:colOff>9525</xdr:colOff>
                    <xdr:row>23</xdr:row>
                    <xdr:rowOff>19050</xdr:rowOff>
                  </from>
                  <to>
                    <xdr:col>1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1</xdr:col>
                    <xdr:colOff>9525</xdr:colOff>
                    <xdr:row>10</xdr:row>
                    <xdr:rowOff>19050</xdr:rowOff>
                  </from>
                  <to>
                    <xdr:col>1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1</xdr:col>
                    <xdr:colOff>9525</xdr:colOff>
                    <xdr:row>14</xdr:row>
                    <xdr:rowOff>19050</xdr:rowOff>
                  </from>
                  <to>
                    <xdr:col>1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1</xdr:col>
                    <xdr:colOff>9525</xdr:colOff>
                    <xdr:row>15</xdr:row>
                    <xdr:rowOff>19050</xdr:rowOff>
                  </from>
                  <to>
                    <xdr:col>1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1</xdr:col>
                    <xdr:colOff>9525</xdr:colOff>
                    <xdr:row>16</xdr:row>
                    <xdr:rowOff>19050</xdr:rowOff>
                  </from>
                  <to>
                    <xdr:col>1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3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3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3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3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1</xdr:col>
                    <xdr:colOff>9525</xdr:colOff>
                    <xdr:row>9</xdr:row>
                    <xdr:rowOff>19050</xdr:rowOff>
                  </from>
                  <to>
                    <xdr:col>1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2</xdr:col>
                    <xdr:colOff>533400</xdr:colOff>
                    <xdr:row>7</xdr:row>
                    <xdr:rowOff>28575</xdr:rowOff>
                  </from>
                  <to>
                    <xdr:col>2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3</xdr:col>
                    <xdr:colOff>9525</xdr:colOff>
                    <xdr:row>7</xdr:row>
                    <xdr:rowOff>9525</xdr:rowOff>
                  </from>
                  <to>
                    <xdr:col>3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3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9525</xdr:rowOff>
                  </from>
                  <to>
                    <xdr:col>3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1</xdr:col>
                    <xdr:colOff>9525</xdr:colOff>
                    <xdr:row>30</xdr:row>
                    <xdr:rowOff>19050</xdr:rowOff>
                  </from>
                  <to>
                    <xdr:col>1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2</xdr:col>
                    <xdr:colOff>9525</xdr:colOff>
                    <xdr:row>30</xdr:row>
                    <xdr:rowOff>9525</xdr:rowOff>
                  </from>
                  <to>
                    <xdr:col>2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1</xdr:col>
                    <xdr:colOff>9525</xdr:colOff>
                    <xdr:row>31</xdr:row>
                    <xdr:rowOff>19050</xdr:rowOff>
                  </from>
                  <to>
                    <xdr:col>1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2</xdr:col>
                    <xdr:colOff>9525</xdr:colOff>
                    <xdr:row>34</xdr:row>
                    <xdr:rowOff>9525</xdr:rowOff>
                  </from>
                  <to>
                    <xdr:col>2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3</xdr:col>
                    <xdr:colOff>533400</xdr:colOff>
                    <xdr:row>34</xdr:row>
                    <xdr:rowOff>28575</xdr:rowOff>
                  </from>
                  <to>
                    <xdr:col>3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1</xdr:col>
                    <xdr:colOff>9525</xdr:colOff>
                    <xdr:row>34</xdr:row>
                    <xdr:rowOff>19050</xdr:rowOff>
                  </from>
                  <to>
                    <xdr:col>1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5</xdr:col>
                    <xdr:colOff>9525</xdr:colOff>
                    <xdr:row>10</xdr:row>
                    <xdr:rowOff>19050</xdr:rowOff>
                  </from>
                  <to>
                    <xdr:col>5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5</xdr:col>
                    <xdr:colOff>9525</xdr:colOff>
                    <xdr:row>11</xdr:row>
                    <xdr:rowOff>19050</xdr:rowOff>
                  </from>
                  <to>
                    <xdr:col>5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5</xdr:col>
                    <xdr:colOff>9525</xdr:colOff>
                    <xdr:row>12</xdr:row>
                    <xdr:rowOff>19050</xdr:rowOff>
                  </from>
                  <to>
                    <xdr:col>5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5</xdr:col>
                    <xdr:colOff>9525</xdr:colOff>
                    <xdr:row>13</xdr:row>
                    <xdr:rowOff>19050</xdr:rowOff>
                  </from>
                  <to>
                    <xdr:col>5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5</xdr:col>
                    <xdr:colOff>9525</xdr:colOff>
                    <xdr:row>14</xdr:row>
                    <xdr:rowOff>19050</xdr:rowOff>
                  </from>
                  <to>
                    <xdr:col>5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5</xdr:col>
                    <xdr:colOff>9525</xdr:colOff>
                    <xdr:row>15</xdr:row>
                    <xdr:rowOff>19050</xdr:rowOff>
                  </from>
                  <to>
                    <xdr:col>5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3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3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5</xdr:col>
                    <xdr:colOff>9525</xdr:colOff>
                    <xdr:row>8</xdr:row>
                    <xdr:rowOff>19050</xdr:rowOff>
                  </from>
                  <to>
                    <xdr:col>5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6</xdr:col>
                    <xdr:colOff>628650</xdr:colOff>
                    <xdr:row>8</xdr:row>
                    <xdr:rowOff>28575</xdr:rowOff>
                  </from>
                  <to>
                    <xdr:col>6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6</xdr:col>
                    <xdr:colOff>628650</xdr:colOff>
                    <xdr:row>9</xdr:row>
                    <xdr:rowOff>28575</xdr:rowOff>
                  </from>
                  <to>
                    <xdr:col>6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5</xdr:col>
                    <xdr:colOff>9525</xdr:colOff>
                    <xdr:row>9</xdr:row>
                    <xdr:rowOff>19050</xdr:rowOff>
                  </from>
                  <to>
                    <xdr:col>5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1</xdr:col>
                    <xdr:colOff>9525</xdr:colOff>
                    <xdr:row>17</xdr:row>
                    <xdr:rowOff>19050</xdr:rowOff>
                  </from>
                  <to>
                    <xdr:col>1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1</xdr:col>
                    <xdr:colOff>9525</xdr:colOff>
                    <xdr:row>19</xdr:row>
                    <xdr:rowOff>19050</xdr:rowOff>
                  </from>
                  <to>
                    <xdr:col>1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2</xdr:col>
                    <xdr:colOff>533400</xdr:colOff>
                    <xdr:row>17</xdr:row>
                    <xdr:rowOff>28575</xdr:rowOff>
                  </from>
                  <to>
                    <xdr:col>2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2</xdr:col>
                    <xdr:colOff>533400</xdr:colOff>
                    <xdr:row>18</xdr:row>
                    <xdr:rowOff>28575</xdr:rowOff>
                  </from>
                  <to>
                    <xdr:col>2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topLeftCell="A7" zoomScaleNormal="100" workbookViewId="0">
      <selection activeCell="C43" activeCellId="25" sqref="D7 D8 D9 D10 B12 D27 D28 D29 D30 D31 D32 D33 D34 D35 D39 D40 F17 C7 C8 C9 C10 G16 G18 H18 C42 C43"/>
    </sheetView>
  </sheetViews>
  <sheetFormatPr defaultColWidth="9.140625" defaultRowHeight="12.75" x14ac:dyDescent="0.2"/>
  <cols>
    <col min="1" max="1" width="34.7109375" style="353" bestFit="1" customWidth="1"/>
    <col min="2" max="2" width="9.140625" style="353"/>
    <col min="3" max="3" width="14" style="353" customWidth="1"/>
    <col min="4" max="4" width="9.140625" style="354"/>
    <col min="5" max="5" width="28" style="359" bestFit="1" customWidth="1"/>
    <col min="6" max="6" width="9.140625" style="353"/>
    <col min="7" max="7" width="13.5703125" style="353" customWidth="1"/>
    <col min="8" max="16384" width="9.140625" style="353"/>
  </cols>
  <sheetData>
    <row r="1" spans="1:8" x14ac:dyDescent="0.2">
      <c r="A1" s="363"/>
    </row>
    <row r="6" spans="1:8" x14ac:dyDescent="0.2">
      <c r="A6" s="377" t="s">
        <v>765</v>
      </c>
      <c r="E6" s="355" t="s">
        <v>749</v>
      </c>
    </row>
    <row r="7" spans="1:8" x14ac:dyDescent="0.2">
      <c r="A7" s="356" t="s">
        <v>286</v>
      </c>
      <c r="B7" s="363" t="b">
        <v>0</v>
      </c>
      <c r="C7" s="363">
        <v>0</v>
      </c>
      <c r="D7" s="364">
        <v>0</v>
      </c>
      <c r="E7" s="357" t="s">
        <v>735</v>
      </c>
      <c r="F7" s="363" t="b">
        <v>0</v>
      </c>
    </row>
    <row r="8" spans="1:8" x14ac:dyDescent="0.2">
      <c r="A8" s="356" t="s">
        <v>136</v>
      </c>
      <c r="B8" s="363" t="b">
        <v>0</v>
      </c>
      <c r="C8" s="363">
        <v>0</v>
      </c>
      <c r="D8" s="364">
        <v>0</v>
      </c>
      <c r="E8" s="357" t="s">
        <v>745</v>
      </c>
      <c r="F8" s="363" t="b">
        <v>0</v>
      </c>
    </row>
    <row r="9" spans="1:8" x14ac:dyDescent="0.2">
      <c r="A9" s="353" t="s">
        <v>943</v>
      </c>
      <c r="B9" s="363" t="b">
        <v>0</v>
      </c>
      <c r="C9" s="363">
        <v>0</v>
      </c>
      <c r="D9" s="364">
        <v>1</v>
      </c>
      <c r="E9" s="357" t="s">
        <v>1018</v>
      </c>
      <c r="F9" s="363" t="b">
        <v>0</v>
      </c>
    </row>
    <row r="10" spans="1:8" x14ac:dyDescent="0.2">
      <c r="A10" s="353" t="s">
        <v>997</v>
      </c>
      <c r="B10" s="363" t="b">
        <v>0</v>
      </c>
      <c r="C10" s="363"/>
      <c r="D10" s="364"/>
      <c r="E10" s="357" t="s">
        <v>1019</v>
      </c>
      <c r="F10" s="363" t="b">
        <v>0</v>
      </c>
    </row>
    <row r="11" spans="1:8" x14ac:dyDescent="0.2">
      <c r="A11" s="356" t="s">
        <v>823</v>
      </c>
      <c r="B11" s="363" t="b">
        <v>0</v>
      </c>
      <c r="C11" s="356" t="s">
        <v>767</v>
      </c>
      <c r="D11" s="364" t="b">
        <v>0</v>
      </c>
      <c r="E11" s="357" t="s">
        <v>1020</v>
      </c>
      <c r="F11" s="363" t="b">
        <v>0</v>
      </c>
    </row>
    <row r="12" spans="1:8" x14ac:dyDescent="0.2">
      <c r="A12" s="356" t="s">
        <v>825</v>
      </c>
      <c r="B12" s="389">
        <v>0</v>
      </c>
      <c r="C12" s="358" t="s">
        <v>768</v>
      </c>
      <c r="D12" s="364" t="b">
        <v>0</v>
      </c>
      <c r="E12" s="357" t="s">
        <v>743</v>
      </c>
      <c r="F12" s="363" t="b">
        <v>0</v>
      </c>
    </row>
    <row r="13" spans="1:8" x14ac:dyDescent="0.2">
      <c r="B13" s="363"/>
      <c r="C13" s="356" t="s">
        <v>769</v>
      </c>
      <c r="D13" s="364" t="b">
        <v>0</v>
      </c>
      <c r="E13" s="359" t="s">
        <v>1021</v>
      </c>
      <c r="F13" s="363" t="b">
        <v>0</v>
      </c>
    </row>
    <row r="14" spans="1:8" x14ac:dyDescent="0.2">
      <c r="B14" s="363"/>
      <c r="C14" s="356" t="s">
        <v>770</v>
      </c>
      <c r="D14" s="364" t="b">
        <v>0</v>
      </c>
      <c r="E14" s="359" t="s">
        <v>1022</v>
      </c>
      <c r="F14" s="363" t="b">
        <v>0</v>
      </c>
    </row>
    <row r="15" spans="1:8" x14ac:dyDescent="0.2">
      <c r="A15" s="356" t="s">
        <v>824</v>
      </c>
      <c r="B15" s="363" t="b">
        <v>0</v>
      </c>
      <c r="D15" s="364"/>
      <c r="E15" s="359" t="s">
        <v>1023</v>
      </c>
      <c r="F15" s="363" t="b">
        <v>0</v>
      </c>
    </row>
    <row r="16" spans="1:8" x14ac:dyDescent="0.2">
      <c r="A16" s="353" t="s">
        <v>691</v>
      </c>
      <c r="B16" s="363" t="b">
        <v>0</v>
      </c>
      <c r="D16" s="364"/>
      <c r="E16" s="357" t="s">
        <v>1032</v>
      </c>
      <c r="F16" s="363" t="b">
        <v>0</v>
      </c>
      <c r="G16" s="363">
        <v>0</v>
      </c>
      <c r="H16" s="356"/>
    </row>
    <row r="17" spans="1:8" x14ac:dyDescent="0.2">
      <c r="A17" s="356" t="s">
        <v>690</v>
      </c>
      <c r="B17" s="363" t="b">
        <v>0</v>
      </c>
      <c r="D17" s="364"/>
      <c r="E17" s="357" t="s">
        <v>749</v>
      </c>
      <c r="F17" s="363"/>
    </row>
    <row r="18" spans="1:8" x14ac:dyDescent="0.2">
      <c r="E18" s="357" t="s">
        <v>929</v>
      </c>
      <c r="F18" s="363" t="b">
        <v>0</v>
      </c>
      <c r="G18" s="363">
        <v>0</v>
      </c>
      <c r="H18" s="363"/>
    </row>
    <row r="19" spans="1:8" x14ac:dyDescent="0.2">
      <c r="A19" s="352" t="s">
        <v>771</v>
      </c>
      <c r="B19" s="363"/>
      <c r="E19" s="357"/>
    </row>
    <row r="20" spans="1:8" x14ac:dyDescent="0.2">
      <c r="A20" s="356" t="s">
        <v>995</v>
      </c>
      <c r="B20" s="363" t="b">
        <v>0</v>
      </c>
      <c r="D20" s="364"/>
      <c r="E20" s="357"/>
    </row>
    <row r="21" spans="1:8" x14ac:dyDescent="0.2">
      <c r="A21" s="356" t="s">
        <v>33</v>
      </c>
      <c r="B21" s="363" t="b">
        <v>0</v>
      </c>
      <c r="D21" s="364"/>
    </row>
    <row r="22" spans="1:8" x14ac:dyDescent="0.2">
      <c r="A22" s="356" t="s">
        <v>826</v>
      </c>
      <c r="B22" s="363" t="b">
        <v>0</v>
      </c>
      <c r="D22" s="364"/>
    </row>
    <row r="23" spans="1:8" x14ac:dyDescent="0.2">
      <c r="A23" s="356" t="s">
        <v>827</v>
      </c>
      <c r="B23" s="363" t="b">
        <v>0</v>
      </c>
      <c r="D23" s="364"/>
    </row>
    <row r="24" spans="1:8" x14ac:dyDescent="0.2">
      <c r="A24" s="353" t="s">
        <v>1024</v>
      </c>
      <c r="B24" s="363" t="b">
        <v>0</v>
      </c>
      <c r="D24" s="364"/>
    </row>
    <row r="25" spans="1:8" x14ac:dyDescent="0.2">
      <c r="A25" s="353" t="s">
        <v>1025</v>
      </c>
      <c r="B25" s="363" t="b">
        <v>0</v>
      </c>
      <c r="D25" s="364"/>
    </row>
    <row r="26" spans="1:8" x14ac:dyDescent="0.2">
      <c r="A26" s="352" t="s">
        <v>1009</v>
      </c>
      <c r="B26" s="363"/>
      <c r="D26" s="364"/>
    </row>
    <row r="27" spans="1:8" x14ac:dyDescent="0.2">
      <c r="A27" s="356" t="s">
        <v>828</v>
      </c>
      <c r="B27" s="363" t="b">
        <v>0</v>
      </c>
      <c r="C27" s="353" t="str">
        <f t="shared" ref="C27:C35" si="0">IF(OR(D27=0,D27=1,D27=""),"",INDEX(tbl_Ped_DrainLokatie,D27,0))</f>
        <v/>
      </c>
      <c r="D27" s="363">
        <v>1</v>
      </c>
    </row>
    <row r="28" spans="1:8" x14ac:dyDescent="0.2">
      <c r="B28" s="363"/>
      <c r="C28" s="353" t="str">
        <f>IF(OR(D28=0,D28=1,D28=""),"",INDEX(tbl_Ped_DrainModus,D28,0))</f>
        <v/>
      </c>
      <c r="D28" s="363">
        <v>1</v>
      </c>
    </row>
    <row r="29" spans="1:8" x14ac:dyDescent="0.2">
      <c r="B29" s="363"/>
      <c r="C29" s="353" t="str">
        <f>IF(OR(D29=0,D29=1,D29=""),"",INDEX(tbl_Ped_DrainZuig,D29,0))</f>
        <v/>
      </c>
      <c r="D29" s="363">
        <v>1</v>
      </c>
    </row>
    <row r="30" spans="1:8" x14ac:dyDescent="0.2">
      <c r="A30" s="356" t="s">
        <v>926</v>
      </c>
      <c r="B30" s="363" t="b">
        <v>0</v>
      </c>
      <c r="C30" s="353" t="str">
        <f t="shared" si="0"/>
        <v/>
      </c>
      <c r="D30" s="363">
        <v>1</v>
      </c>
    </row>
    <row r="31" spans="1:8" x14ac:dyDescent="0.2">
      <c r="B31" s="363"/>
      <c r="C31" s="353" t="str">
        <f>IF(OR(D31=0,D31=1,D31=""),"",INDEX(tbl_Ped_DrainModus,D31,0))</f>
        <v/>
      </c>
      <c r="D31" s="363">
        <v>1</v>
      </c>
    </row>
    <row r="32" spans="1:8" x14ac:dyDescent="0.2">
      <c r="B32" s="363"/>
      <c r="C32" s="353" t="str">
        <f>IF(OR(D32=0,D32=1,D32=""),"",INDEX(tbl_Ped_DrainZuig,D32,0))</f>
        <v/>
      </c>
      <c r="D32" s="363">
        <v>1</v>
      </c>
    </row>
    <row r="33" spans="1:5" x14ac:dyDescent="0.2">
      <c r="A33" s="356" t="s">
        <v>1012</v>
      </c>
      <c r="B33" s="363" t="b">
        <v>0</v>
      </c>
      <c r="C33" s="353" t="str">
        <f t="shared" si="0"/>
        <v/>
      </c>
      <c r="D33" s="363">
        <v>1</v>
      </c>
    </row>
    <row r="34" spans="1:5" x14ac:dyDescent="0.2">
      <c r="B34" s="363"/>
      <c r="C34" s="353" t="str">
        <f t="shared" si="0"/>
        <v/>
      </c>
      <c r="D34" s="363">
        <v>1</v>
      </c>
    </row>
    <row r="35" spans="1:5" x14ac:dyDescent="0.2">
      <c r="B35" s="363"/>
      <c r="C35" s="353" t="str">
        <f t="shared" si="0"/>
        <v/>
      </c>
      <c r="D35" s="363">
        <v>1</v>
      </c>
    </row>
    <row r="36" spans="1:5" x14ac:dyDescent="0.2">
      <c r="A36" s="350" t="s">
        <v>747</v>
      </c>
      <c r="B36" s="361" t="b">
        <v>0</v>
      </c>
      <c r="C36" s="321" t="s">
        <v>1013</v>
      </c>
      <c r="D36" s="362" t="b">
        <v>0</v>
      </c>
      <c r="E36" s="359" t="str">
        <f>IF(B36,CONCATENATE(A36,IF(D36,CONCATENATE(" (",C36,")"),"")," - "),"")</f>
        <v/>
      </c>
    </row>
    <row r="37" spans="1:5" x14ac:dyDescent="0.2">
      <c r="A37" s="321" t="s">
        <v>945</v>
      </c>
      <c r="B37" s="361" t="b">
        <v>0</v>
      </c>
      <c r="C37" s="321" t="s">
        <v>1013</v>
      </c>
      <c r="D37" s="361" t="b">
        <v>0</v>
      </c>
      <c r="E37" s="359" t="str">
        <f t="shared" ref="E37:E38" si="1">IF(B37,CONCATENATE(A37,IF(D37,CONCATENATE(" (",C37,")"),"")," - "),"")</f>
        <v/>
      </c>
    </row>
    <row r="38" spans="1:5" x14ac:dyDescent="0.2">
      <c r="A38" s="350" t="s">
        <v>746</v>
      </c>
      <c r="B38" s="361" t="b">
        <v>0</v>
      </c>
      <c r="C38" s="321" t="s">
        <v>1013</v>
      </c>
      <c r="D38" s="361" t="b">
        <v>0</v>
      </c>
      <c r="E38" s="359" t="str">
        <f t="shared" si="1"/>
        <v/>
      </c>
    </row>
    <row r="39" spans="1:5" x14ac:dyDescent="0.2">
      <c r="A39" s="321" t="s">
        <v>1010</v>
      </c>
      <c r="B39" s="361" t="b">
        <v>0</v>
      </c>
      <c r="C39" s="320" t="str">
        <f>IF(OR(D39=0,D39=1,D39=""),"",INDEX(tbl_Ped_LiquorDrain,D39,0))</f>
        <v/>
      </c>
      <c r="D39" s="362">
        <v>0</v>
      </c>
    </row>
    <row r="40" spans="1:5" x14ac:dyDescent="0.2">
      <c r="A40" s="320"/>
      <c r="B40" s="361"/>
      <c r="C40" s="320" t="s">
        <v>1011</v>
      </c>
      <c r="D40" s="362">
        <v>0</v>
      </c>
    </row>
    <row r="42" spans="1:5" x14ac:dyDescent="0.2">
      <c r="A42" s="353" t="s">
        <v>1034</v>
      </c>
      <c r="B42" s="363" t="b">
        <v>0</v>
      </c>
      <c r="C42" s="363">
        <v>0</v>
      </c>
    </row>
    <row r="43" spans="1:5" x14ac:dyDescent="0.2">
      <c r="A43" s="353" t="s">
        <v>1035</v>
      </c>
      <c r="B43" s="363" t="b">
        <v>0</v>
      </c>
      <c r="C43" s="363">
        <v>3</v>
      </c>
    </row>
    <row r="44" spans="1:5" x14ac:dyDescent="0.2">
      <c r="A44" s="353" t="s">
        <v>1036</v>
      </c>
      <c r="B44" s="363" t="b">
        <v>0</v>
      </c>
    </row>
    <row r="46" spans="1:5" x14ac:dyDescent="0.2">
      <c r="A46" s="352" t="s">
        <v>736</v>
      </c>
    </row>
    <row r="47" spans="1:5" x14ac:dyDescent="0.2">
      <c r="A47" s="356" t="s">
        <v>765</v>
      </c>
      <c r="B47" s="353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356" t="s">
        <v>771</v>
      </c>
      <c r="B48" s="353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353" t="s">
        <v>1009</v>
      </c>
      <c r="B49" s="353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356" t="s">
        <v>749</v>
      </c>
      <c r="B50" s="353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356"/>
    </row>
    <row r="58" spans="1:2" x14ac:dyDescent="0.2">
      <c r="A58" s="356"/>
    </row>
    <row r="60" spans="1:2" x14ac:dyDescent="0.2">
      <c r="A60" s="356"/>
    </row>
    <row r="61" spans="1:2" x14ac:dyDescent="0.2">
      <c r="A61" s="356"/>
    </row>
    <row r="62" spans="1:2" x14ac:dyDescent="0.2">
      <c r="A62" s="356"/>
    </row>
    <row r="63" spans="1:2" x14ac:dyDescent="0.2">
      <c r="A63" s="356"/>
    </row>
    <row r="64" spans="1:2" x14ac:dyDescent="0.2">
      <c r="A64" s="356"/>
    </row>
    <row r="65" spans="1:1" x14ac:dyDescent="0.2">
      <c r="A65" s="356"/>
    </row>
    <row r="66" spans="1:1" x14ac:dyDescent="0.2">
      <c r="A66" s="356"/>
    </row>
    <row r="67" spans="1:1" x14ac:dyDescent="0.2">
      <c r="A67" s="356"/>
    </row>
    <row r="68" spans="1:1" x14ac:dyDescent="0.2">
      <c r="A68" s="356"/>
    </row>
    <row r="69" spans="1:1" x14ac:dyDescent="0.2">
      <c r="A69" s="356"/>
    </row>
    <row r="70" spans="1:1" x14ac:dyDescent="0.2">
      <c r="A70" s="356"/>
    </row>
    <row r="71" spans="1:1" x14ac:dyDescent="0.2">
      <c r="A71" s="356"/>
    </row>
    <row r="73" spans="1:1" x14ac:dyDescent="0.2">
      <c r="A73" s="356"/>
    </row>
    <row r="74" spans="1:1" x14ac:dyDescent="0.2">
      <c r="A74" s="356"/>
    </row>
    <row r="75" spans="1:1" x14ac:dyDescent="0.2">
      <c r="A75" s="356"/>
    </row>
    <row r="76" spans="1:1" x14ac:dyDescent="0.2">
      <c r="A76" s="356"/>
    </row>
    <row r="77" spans="1:1" x14ac:dyDescent="0.2">
      <c r="A77" s="356"/>
    </row>
    <row r="78" spans="1:1" x14ac:dyDescent="0.2">
      <c r="A78" s="356"/>
    </row>
    <row r="79" spans="1:1" x14ac:dyDescent="0.2">
      <c r="A79" s="356"/>
    </row>
    <row r="80" spans="1:1" x14ac:dyDescent="0.2">
      <c r="A80" s="356"/>
    </row>
    <row r="81" spans="1:1" x14ac:dyDescent="0.2">
      <c r="A81" s="356"/>
    </row>
    <row r="82" spans="1:1" x14ac:dyDescent="0.2">
      <c r="A82" s="356"/>
    </row>
    <row r="83" spans="1:1" x14ac:dyDescent="0.2">
      <c r="A83" s="356"/>
    </row>
    <row r="84" spans="1:1" x14ac:dyDescent="0.2">
      <c r="A84" s="356"/>
    </row>
    <row r="85" spans="1:1" x14ac:dyDescent="0.2">
      <c r="A85" s="356"/>
    </row>
    <row r="86" spans="1:1" x14ac:dyDescent="0.2">
      <c r="A86" s="356"/>
    </row>
    <row r="87" spans="1:1" x14ac:dyDescent="0.2">
      <c r="A87" s="356"/>
    </row>
    <row r="88" spans="1:1" x14ac:dyDescent="0.2">
      <c r="A88" s="356"/>
    </row>
    <row r="89" spans="1:1" x14ac:dyDescent="0.2">
      <c r="A89" s="356"/>
    </row>
    <row r="90" spans="1:1" x14ac:dyDescent="0.2">
      <c r="A90" s="356"/>
    </row>
    <row r="91" spans="1:1" x14ac:dyDescent="0.2">
      <c r="A91" s="356"/>
    </row>
    <row r="92" spans="1:1" x14ac:dyDescent="0.2">
      <c r="A92" s="356"/>
    </row>
    <row r="93" spans="1:1" x14ac:dyDescent="0.2">
      <c r="A93" s="356"/>
    </row>
    <row r="94" spans="1:1" x14ac:dyDescent="0.2">
      <c r="A94" s="356"/>
    </row>
    <row r="95" spans="1:1" x14ac:dyDescent="0.2">
      <c r="A95" s="356"/>
    </row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320" customWidth="1"/>
    <col min="5" max="5" width="11" bestFit="1" customWidth="1"/>
    <col min="6" max="6" width="12.140625" bestFit="1" customWidth="1"/>
    <col min="8" max="8" width="9.140625" style="134"/>
    <col min="9" max="9" width="19.28515625" bestFit="1" customWidth="1"/>
    <col min="10" max="10" width="17.7109375" bestFit="1" customWidth="1"/>
  </cols>
  <sheetData>
    <row r="1" spans="1:16" s="320" customFormat="1" x14ac:dyDescent="0.2">
      <c r="A1" s="371" t="s">
        <v>704</v>
      </c>
      <c r="B1" s="2" t="s">
        <v>739</v>
      </c>
      <c r="C1" s="2" t="s">
        <v>740</v>
      </c>
      <c r="D1" s="2" t="s">
        <v>1005</v>
      </c>
      <c r="E1" s="2" t="s">
        <v>766</v>
      </c>
      <c r="F1" s="2" t="s">
        <v>773</v>
      </c>
      <c r="G1" s="2" t="s">
        <v>829</v>
      </c>
      <c r="H1" s="348"/>
      <c r="I1" s="2" t="s">
        <v>996</v>
      </c>
      <c r="J1" s="2" t="s">
        <v>1014</v>
      </c>
    </row>
    <row r="2" spans="1:16" x14ac:dyDescent="0.2">
      <c r="G2">
        <v>1</v>
      </c>
    </row>
    <row r="3" spans="1:16" x14ac:dyDescent="0.2">
      <c r="A3" s="321" t="s">
        <v>700</v>
      </c>
      <c r="B3" s="328" t="s">
        <v>998</v>
      </c>
      <c r="C3" s="321" t="s">
        <v>1001</v>
      </c>
      <c r="D3" s="321" t="s">
        <v>1006</v>
      </c>
      <c r="E3" s="321" t="s">
        <v>767</v>
      </c>
      <c r="F3" s="321" t="s">
        <v>774</v>
      </c>
      <c r="G3">
        <v>2</v>
      </c>
      <c r="H3" s="320" t="s">
        <v>830</v>
      </c>
      <c r="I3" s="386" t="s">
        <v>1026</v>
      </c>
      <c r="J3" t="s">
        <v>1015</v>
      </c>
      <c r="N3" s="325"/>
      <c r="O3" s="320"/>
      <c r="P3" s="320"/>
    </row>
    <row r="4" spans="1:16" x14ac:dyDescent="0.2">
      <c r="A4" s="321" t="s">
        <v>701</v>
      </c>
      <c r="B4" s="328" t="s">
        <v>737</v>
      </c>
      <c r="C4" s="321" t="s">
        <v>1002</v>
      </c>
      <c r="D4" s="321" t="s">
        <v>1007</v>
      </c>
      <c r="E4" s="321" t="s">
        <v>768</v>
      </c>
      <c r="F4" s="321" t="s">
        <v>775</v>
      </c>
      <c r="G4">
        <v>3</v>
      </c>
      <c r="H4" s="320" t="s">
        <v>831</v>
      </c>
      <c r="I4" s="386" t="s">
        <v>1027</v>
      </c>
      <c r="J4" t="s">
        <v>1016</v>
      </c>
      <c r="N4" s="321"/>
      <c r="O4" s="320"/>
      <c r="P4" s="320"/>
    </row>
    <row r="5" spans="1:16" x14ac:dyDescent="0.2">
      <c r="A5" s="321" t="s">
        <v>702</v>
      </c>
      <c r="B5" s="328" t="s">
        <v>738</v>
      </c>
      <c r="C5" s="321" t="s">
        <v>1003</v>
      </c>
      <c r="D5" s="321" t="s">
        <v>1008</v>
      </c>
      <c r="E5" s="321" t="s">
        <v>769</v>
      </c>
      <c r="F5" s="321" t="s">
        <v>776</v>
      </c>
      <c r="G5" s="320">
        <v>4</v>
      </c>
      <c r="H5" s="320" t="s">
        <v>832</v>
      </c>
      <c r="I5" s="386" t="s">
        <v>1028</v>
      </c>
      <c r="J5" t="s">
        <v>1017</v>
      </c>
      <c r="N5" s="321"/>
      <c r="O5" s="320"/>
      <c r="P5" s="320"/>
    </row>
    <row r="6" spans="1:16" x14ac:dyDescent="0.2">
      <c r="A6" s="361"/>
      <c r="B6" s="328" t="s">
        <v>944</v>
      </c>
      <c r="C6" t="s">
        <v>1004</v>
      </c>
      <c r="E6" s="321" t="s">
        <v>770</v>
      </c>
      <c r="F6" s="321" t="s">
        <v>777</v>
      </c>
      <c r="G6" s="320">
        <v>5</v>
      </c>
      <c r="H6" s="320" t="s">
        <v>833</v>
      </c>
      <c r="I6" s="347"/>
      <c r="N6" s="320"/>
      <c r="O6" s="320"/>
      <c r="P6" s="320"/>
    </row>
    <row r="7" spans="1:16" x14ac:dyDescent="0.2">
      <c r="B7" s="328" t="s">
        <v>999</v>
      </c>
      <c r="E7" s="321"/>
      <c r="G7" s="320">
        <v>6</v>
      </c>
      <c r="H7" s="320" t="s">
        <v>834</v>
      </c>
      <c r="I7" s="347"/>
      <c r="N7" s="320"/>
      <c r="O7" s="320"/>
      <c r="P7" s="320"/>
    </row>
    <row r="8" spans="1:16" x14ac:dyDescent="0.2">
      <c r="B8" s="328" t="s">
        <v>1000</v>
      </c>
      <c r="G8" s="320">
        <v>7</v>
      </c>
      <c r="H8" s="320" t="s">
        <v>835</v>
      </c>
      <c r="I8" s="347"/>
      <c r="N8" s="320"/>
      <c r="O8" s="320"/>
      <c r="P8" s="320"/>
    </row>
    <row r="9" spans="1:16" x14ac:dyDescent="0.2">
      <c r="G9" s="320">
        <v>8</v>
      </c>
      <c r="H9" s="320" t="s">
        <v>836</v>
      </c>
      <c r="I9" s="347"/>
      <c r="N9" s="320"/>
      <c r="O9" s="320"/>
      <c r="P9" s="320"/>
    </row>
    <row r="10" spans="1:16" x14ac:dyDescent="0.2">
      <c r="G10" s="320">
        <v>9</v>
      </c>
      <c r="H10" s="320" t="s">
        <v>837</v>
      </c>
      <c r="I10" s="347"/>
      <c r="N10" s="320"/>
      <c r="O10" s="320"/>
      <c r="P10" s="320"/>
    </row>
    <row r="11" spans="1:16" x14ac:dyDescent="0.2">
      <c r="G11" s="320">
        <v>10</v>
      </c>
      <c r="H11" s="320" t="s">
        <v>838</v>
      </c>
      <c r="I11" s="347"/>
      <c r="N11" s="320"/>
      <c r="O11" s="320"/>
      <c r="P11" s="320"/>
    </row>
    <row r="12" spans="1:16" x14ac:dyDescent="0.2">
      <c r="G12" s="320">
        <v>11</v>
      </c>
      <c r="H12" s="320" t="s">
        <v>839</v>
      </c>
      <c r="I12" s="347"/>
      <c r="N12" s="320"/>
      <c r="O12" s="320"/>
      <c r="P12" s="320"/>
    </row>
    <row r="13" spans="1:16" x14ac:dyDescent="0.2">
      <c r="G13" s="320">
        <v>12</v>
      </c>
      <c r="H13" s="320" t="s">
        <v>840</v>
      </c>
      <c r="I13" s="347"/>
      <c r="N13" s="320"/>
      <c r="O13" s="320"/>
      <c r="P13" s="320"/>
    </row>
    <row r="14" spans="1:16" x14ac:dyDescent="0.2">
      <c r="G14" s="320">
        <v>13</v>
      </c>
      <c r="H14" s="320" t="s">
        <v>841</v>
      </c>
      <c r="I14" s="347"/>
      <c r="N14" s="320"/>
      <c r="O14" s="320"/>
      <c r="P14" s="320"/>
    </row>
    <row r="15" spans="1:16" x14ac:dyDescent="0.2">
      <c r="G15" s="320">
        <v>14</v>
      </c>
      <c r="H15" s="320" t="s">
        <v>842</v>
      </c>
      <c r="I15" s="347"/>
      <c r="N15" s="321"/>
      <c r="O15" s="320"/>
      <c r="P15" s="320"/>
    </row>
    <row r="16" spans="1:16" x14ac:dyDescent="0.2">
      <c r="G16" s="320">
        <v>15</v>
      </c>
      <c r="H16" s="320" t="s">
        <v>843</v>
      </c>
      <c r="I16" s="347"/>
      <c r="N16" s="321"/>
      <c r="O16" s="320"/>
      <c r="P16" s="320"/>
    </row>
    <row r="17" spans="7:16" x14ac:dyDescent="0.2">
      <c r="G17" s="320">
        <v>16</v>
      </c>
      <c r="H17" s="320" t="s">
        <v>844</v>
      </c>
      <c r="I17" s="347"/>
      <c r="N17" s="321"/>
      <c r="O17" s="320"/>
      <c r="P17" s="320"/>
    </row>
    <row r="18" spans="7:16" x14ac:dyDescent="0.2">
      <c r="G18" s="320">
        <v>17</v>
      </c>
      <c r="H18" s="320" t="s">
        <v>845</v>
      </c>
      <c r="I18" s="347"/>
      <c r="N18" s="321"/>
      <c r="O18" s="320"/>
      <c r="P18" s="320"/>
    </row>
    <row r="19" spans="7:16" x14ac:dyDescent="0.2">
      <c r="G19" s="320">
        <v>18</v>
      </c>
      <c r="H19" s="320" t="s">
        <v>846</v>
      </c>
      <c r="I19" s="347"/>
      <c r="N19" s="321"/>
      <c r="O19" s="320"/>
      <c r="P19" s="320"/>
    </row>
    <row r="20" spans="7:16" x14ac:dyDescent="0.2">
      <c r="G20" s="320">
        <v>19</v>
      </c>
      <c r="H20" s="320" t="s">
        <v>847</v>
      </c>
      <c r="I20" s="347"/>
      <c r="N20" s="321"/>
      <c r="O20" s="320"/>
      <c r="P20" s="320"/>
    </row>
    <row r="21" spans="7:16" x14ac:dyDescent="0.2">
      <c r="G21" s="320">
        <v>20</v>
      </c>
      <c r="H21" s="320" t="s">
        <v>848</v>
      </c>
      <c r="I21" s="347"/>
      <c r="N21" s="320"/>
      <c r="O21" s="320"/>
      <c r="P21" s="320"/>
    </row>
    <row r="22" spans="7:16" x14ac:dyDescent="0.2">
      <c r="G22" s="320">
        <v>21</v>
      </c>
      <c r="H22" s="320" t="s">
        <v>849</v>
      </c>
      <c r="I22" s="347"/>
      <c r="N22" s="321"/>
      <c r="O22" s="320"/>
      <c r="P22" s="320"/>
    </row>
    <row r="23" spans="7:16" x14ac:dyDescent="0.2">
      <c r="G23" s="320">
        <v>22</v>
      </c>
      <c r="H23" s="320" t="s">
        <v>850</v>
      </c>
      <c r="I23" s="347"/>
      <c r="N23" s="321"/>
      <c r="O23" s="320"/>
      <c r="P23" s="320"/>
    </row>
    <row r="24" spans="7:16" x14ac:dyDescent="0.2">
      <c r="G24" s="320">
        <v>23</v>
      </c>
      <c r="H24" s="320" t="s">
        <v>851</v>
      </c>
      <c r="I24" s="347"/>
      <c r="N24" s="321"/>
      <c r="O24" s="320"/>
      <c r="P24" s="320"/>
    </row>
    <row r="25" spans="7:16" x14ac:dyDescent="0.2">
      <c r="G25" s="320">
        <v>24</v>
      </c>
      <c r="H25" s="320" t="s">
        <v>852</v>
      </c>
      <c r="I25" s="347"/>
      <c r="N25" s="320"/>
      <c r="O25" s="320"/>
      <c r="P25" s="320"/>
    </row>
    <row r="26" spans="7:16" x14ac:dyDescent="0.2">
      <c r="G26" s="320">
        <v>25</v>
      </c>
      <c r="H26" s="320" t="s">
        <v>853</v>
      </c>
      <c r="I26" s="347"/>
      <c r="N26" s="321"/>
      <c r="O26" s="320"/>
      <c r="P26" s="320"/>
    </row>
    <row r="27" spans="7:16" x14ac:dyDescent="0.2">
      <c r="G27" s="320">
        <v>26</v>
      </c>
      <c r="H27" s="320" t="s">
        <v>854</v>
      </c>
      <c r="I27" s="347"/>
      <c r="N27" s="320"/>
      <c r="O27" s="320"/>
      <c r="P27" s="320"/>
    </row>
    <row r="28" spans="7:16" x14ac:dyDescent="0.2">
      <c r="G28" s="320">
        <v>27</v>
      </c>
      <c r="H28" s="320" t="s">
        <v>855</v>
      </c>
      <c r="I28" s="347"/>
      <c r="N28" s="321"/>
      <c r="O28" s="320"/>
      <c r="P28" s="320"/>
    </row>
    <row r="29" spans="7:16" x14ac:dyDescent="0.2">
      <c r="G29" s="320">
        <v>28</v>
      </c>
      <c r="H29" s="320" t="s">
        <v>856</v>
      </c>
      <c r="I29" s="347"/>
      <c r="N29" s="320"/>
      <c r="O29" s="320"/>
      <c r="P29" s="320"/>
    </row>
    <row r="30" spans="7:16" x14ac:dyDescent="0.2">
      <c r="G30" s="320">
        <v>29</v>
      </c>
      <c r="H30" s="320" t="s">
        <v>857</v>
      </c>
      <c r="I30" s="347"/>
      <c r="N30" s="321"/>
      <c r="O30" s="320"/>
      <c r="P30" s="320"/>
    </row>
    <row r="31" spans="7:16" x14ac:dyDescent="0.2">
      <c r="G31" s="320">
        <v>30</v>
      </c>
      <c r="H31" s="320" t="s">
        <v>858</v>
      </c>
      <c r="I31" s="347"/>
      <c r="N31" s="321"/>
      <c r="O31" s="320"/>
      <c r="P31" s="320"/>
    </row>
    <row r="32" spans="7:16" x14ac:dyDescent="0.2">
      <c r="G32" s="320">
        <v>31</v>
      </c>
      <c r="H32" s="320" t="s">
        <v>859</v>
      </c>
      <c r="I32" s="347"/>
      <c r="N32" s="321"/>
      <c r="O32" s="320"/>
      <c r="P32" s="320"/>
    </row>
    <row r="33" spans="7:16" x14ac:dyDescent="0.2">
      <c r="G33" s="320">
        <v>32</v>
      </c>
      <c r="H33" s="320" t="s">
        <v>860</v>
      </c>
      <c r="I33" s="347"/>
      <c r="N33" s="325"/>
      <c r="O33" s="320"/>
      <c r="P33" s="320"/>
    </row>
    <row r="34" spans="7:16" x14ac:dyDescent="0.2">
      <c r="G34" s="320">
        <v>33</v>
      </c>
      <c r="H34" s="320" t="s">
        <v>861</v>
      </c>
      <c r="I34" s="347"/>
      <c r="N34" s="321"/>
      <c r="O34" s="320"/>
      <c r="P34" s="320"/>
    </row>
    <row r="35" spans="7:16" x14ac:dyDescent="0.2">
      <c r="G35" s="320">
        <v>34</v>
      </c>
      <c r="H35" s="320" t="s">
        <v>862</v>
      </c>
      <c r="I35" s="347"/>
      <c r="N35" s="321"/>
      <c r="O35" s="320"/>
      <c r="P35" s="320"/>
    </row>
    <row r="36" spans="7:16" x14ac:dyDescent="0.2">
      <c r="G36" s="320">
        <v>35</v>
      </c>
      <c r="H36" s="320" t="s">
        <v>863</v>
      </c>
      <c r="I36" s="347"/>
      <c r="N36" s="321"/>
      <c r="O36" s="320"/>
      <c r="P36" s="320"/>
    </row>
    <row r="37" spans="7:16" x14ac:dyDescent="0.2">
      <c r="G37" s="320">
        <v>36</v>
      </c>
      <c r="H37" s="320" t="s">
        <v>864</v>
      </c>
      <c r="I37" s="347"/>
      <c r="N37" s="320"/>
      <c r="O37" s="320"/>
      <c r="P37" s="320"/>
    </row>
    <row r="38" spans="7:16" x14ac:dyDescent="0.2">
      <c r="G38" s="320">
        <v>37</v>
      </c>
      <c r="H38" s="320" t="s">
        <v>865</v>
      </c>
      <c r="I38" s="347"/>
      <c r="N38" s="321"/>
      <c r="O38" s="320"/>
      <c r="P38" s="320"/>
    </row>
    <row r="39" spans="7:16" x14ac:dyDescent="0.2">
      <c r="G39" s="320">
        <v>38</v>
      </c>
      <c r="H39" s="320" t="s">
        <v>866</v>
      </c>
      <c r="I39" s="347"/>
      <c r="N39" s="321"/>
      <c r="O39" s="320"/>
      <c r="P39" s="320"/>
    </row>
    <row r="40" spans="7:16" x14ac:dyDescent="0.2">
      <c r="G40" s="320">
        <v>39</v>
      </c>
      <c r="H40" s="320" t="s">
        <v>867</v>
      </c>
      <c r="I40" s="347"/>
      <c r="N40" s="320"/>
      <c r="O40" s="320"/>
      <c r="P40" s="320"/>
    </row>
    <row r="41" spans="7:16" x14ac:dyDescent="0.2">
      <c r="G41" s="320">
        <v>40</v>
      </c>
      <c r="H41" s="320" t="s">
        <v>868</v>
      </c>
      <c r="I41" s="347"/>
      <c r="N41" s="320"/>
      <c r="O41" s="320"/>
      <c r="P41" s="320"/>
    </row>
    <row r="42" spans="7:16" x14ac:dyDescent="0.2">
      <c r="G42" s="320">
        <v>41</v>
      </c>
      <c r="H42" s="320" t="s">
        <v>869</v>
      </c>
      <c r="I42" s="347"/>
      <c r="N42" s="320"/>
      <c r="O42" s="320"/>
      <c r="P42" s="320"/>
    </row>
    <row r="43" spans="7:16" x14ac:dyDescent="0.2">
      <c r="G43" s="320">
        <v>42</v>
      </c>
      <c r="H43" s="320" t="s">
        <v>870</v>
      </c>
      <c r="I43" s="347"/>
      <c r="N43" s="320"/>
      <c r="O43" s="320"/>
      <c r="P43" s="320"/>
    </row>
    <row r="44" spans="7:16" x14ac:dyDescent="0.2">
      <c r="G44" s="320">
        <v>43</v>
      </c>
      <c r="H44" s="320" t="s">
        <v>871</v>
      </c>
      <c r="I44" s="347"/>
      <c r="N44" s="321"/>
      <c r="O44" s="320"/>
      <c r="P44" s="320"/>
    </row>
    <row r="45" spans="7:16" x14ac:dyDescent="0.2">
      <c r="G45" s="320">
        <v>44</v>
      </c>
      <c r="H45" s="320" t="s">
        <v>872</v>
      </c>
      <c r="I45" s="347"/>
      <c r="N45" s="321"/>
      <c r="O45" s="320"/>
      <c r="P45" s="320"/>
    </row>
    <row r="46" spans="7:16" x14ac:dyDescent="0.2">
      <c r="G46" s="320">
        <v>45</v>
      </c>
      <c r="H46" s="320" t="s">
        <v>873</v>
      </c>
      <c r="I46" s="347"/>
      <c r="N46" s="321"/>
      <c r="O46" s="320"/>
      <c r="P46" s="320"/>
    </row>
    <row r="47" spans="7:16" x14ac:dyDescent="0.2">
      <c r="G47" s="320">
        <v>46</v>
      </c>
      <c r="H47" s="320" t="s">
        <v>874</v>
      </c>
      <c r="I47" s="347"/>
      <c r="N47" s="321"/>
      <c r="O47" s="320"/>
      <c r="P47" s="320"/>
    </row>
    <row r="48" spans="7:16" x14ac:dyDescent="0.2">
      <c r="G48" s="320">
        <v>47</v>
      </c>
      <c r="H48" s="320" t="s">
        <v>875</v>
      </c>
      <c r="I48" s="347"/>
      <c r="N48" s="321"/>
      <c r="O48" s="320"/>
      <c r="P48" s="320"/>
    </row>
    <row r="49" spans="7:16" x14ac:dyDescent="0.2">
      <c r="G49" s="320">
        <v>48</v>
      </c>
      <c r="H49" s="320" t="s">
        <v>876</v>
      </c>
      <c r="I49" s="347"/>
      <c r="N49" s="321"/>
      <c r="O49" s="320"/>
      <c r="P49" s="320"/>
    </row>
    <row r="50" spans="7:16" x14ac:dyDescent="0.2">
      <c r="G50" s="320">
        <v>49</v>
      </c>
      <c r="H50" s="320" t="s">
        <v>877</v>
      </c>
      <c r="I50" s="347"/>
      <c r="N50" s="321"/>
      <c r="O50" s="320"/>
      <c r="P50" s="320"/>
    </row>
    <row r="51" spans="7:16" x14ac:dyDescent="0.2">
      <c r="G51" s="320">
        <v>50</v>
      </c>
      <c r="H51" s="320" t="s">
        <v>878</v>
      </c>
      <c r="I51" s="347"/>
      <c r="N51" s="321"/>
      <c r="O51" s="320"/>
      <c r="P51" s="320"/>
    </row>
    <row r="52" spans="7:16" x14ac:dyDescent="0.2">
      <c r="G52" s="320">
        <v>51</v>
      </c>
      <c r="H52" s="320" t="s">
        <v>879</v>
      </c>
      <c r="I52" s="347"/>
      <c r="N52" s="321"/>
      <c r="O52" s="320"/>
      <c r="P52" s="320"/>
    </row>
    <row r="53" spans="7:16" x14ac:dyDescent="0.2">
      <c r="G53" s="320">
        <v>52</v>
      </c>
      <c r="H53" s="320" t="s">
        <v>880</v>
      </c>
      <c r="I53" s="347"/>
      <c r="N53" s="321"/>
      <c r="O53" s="320"/>
      <c r="P53" s="320"/>
    </row>
    <row r="54" spans="7:16" x14ac:dyDescent="0.2">
      <c r="G54" s="320">
        <v>53</v>
      </c>
      <c r="H54" s="320" t="s">
        <v>881</v>
      </c>
      <c r="I54" s="347"/>
      <c r="N54" s="321"/>
      <c r="O54" s="320"/>
      <c r="P54" s="320"/>
    </row>
    <row r="55" spans="7:16" x14ac:dyDescent="0.2">
      <c r="G55" s="320">
        <v>54</v>
      </c>
      <c r="H55" s="320" t="s">
        <v>882</v>
      </c>
      <c r="I55" s="347"/>
      <c r="N55" s="321"/>
      <c r="O55" s="320"/>
      <c r="P55" s="320"/>
    </row>
    <row r="56" spans="7:16" x14ac:dyDescent="0.2">
      <c r="G56" s="320">
        <v>55</v>
      </c>
      <c r="H56" s="320" t="s">
        <v>883</v>
      </c>
      <c r="I56" s="347"/>
      <c r="N56" s="320"/>
      <c r="O56" s="320"/>
      <c r="P56" s="320"/>
    </row>
    <row r="57" spans="7:16" x14ac:dyDescent="0.2">
      <c r="G57" s="320">
        <v>56</v>
      </c>
      <c r="H57" s="320" t="s">
        <v>884</v>
      </c>
      <c r="I57" s="347"/>
      <c r="N57" s="320"/>
      <c r="O57" s="320"/>
      <c r="P57" s="320"/>
    </row>
    <row r="58" spans="7:16" x14ac:dyDescent="0.2">
      <c r="G58" s="320">
        <v>57</v>
      </c>
      <c r="H58" s="320" t="s">
        <v>885</v>
      </c>
      <c r="I58" s="347"/>
      <c r="N58" s="321"/>
      <c r="O58" s="320"/>
      <c r="P58" s="320"/>
    </row>
    <row r="59" spans="7:16" x14ac:dyDescent="0.2">
      <c r="G59" s="320">
        <v>58</v>
      </c>
      <c r="H59" s="320" t="s">
        <v>886</v>
      </c>
      <c r="I59" s="347"/>
      <c r="N59" s="320"/>
      <c r="O59" s="320"/>
      <c r="P59" s="320"/>
    </row>
    <row r="60" spans="7:16" x14ac:dyDescent="0.2">
      <c r="G60" s="320">
        <v>59</v>
      </c>
      <c r="H60" s="320" t="s">
        <v>887</v>
      </c>
      <c r="I60" s="347"/>
      <c r="N60" s="321"/>
      <c r="O60" s="320"/>
      <c r="P60" s="320"/>
    </row>
    <row r="61" spans="7:16" x14ac:dyDescent="0.2">
      <c r="G61" s="320">
        <v>60</v>
      </c>
      <c r="H61" s="320" t="s">
        <v>888</v>
      </c>
      <c r="I61" s="347"/>
      <c r="N61" s="321"/>
      <c r="O61" s="320"/>
      <c r="P61" s="320"/>
    </row>
    <row r="62" spans="7:16" x14ac:dyDescent="0.2">
      <c r="G62" s="320">
        <v>61</v>
      </c>
      <c r="H62" s="320" t="s">
        <v>889</v>
      </c>
      <c r="I62" s="347"/>
      <c r="N62" s="320"/>
      <c r="O62" s="320"/>
      <c r="P62" s="320"/>
    </row>
    <row r="63" spans="7:16" x14ac:dyDescent="0.2">
      <c r="G63" s="320">
        <v>62</v>
      </c>
      <c r="H63" s="320" t="s">
        <v>890</v>
      </c>
      <c r="I63" s="347"/>
      <c r="N63" s="321"/>
      <c r="O63" s="320"/>
      <c r="P63" s="320"/>
    </row>
    <row r="64" spans="7:16" x14ac:dyDescent="0.2">
      <c r="G64" s="320">
        <v>63</v>
      </c>
      <c r="H64" s="320" t="s">
        <v>891</v>
      </c>
      <c r="I64" s="347"/>
      <c r="N64" s="321"/>
      <c r="O64" s="320"/>
      <c r="P64" s="320"/>
    </row>
    <row r="65" spans="7:16" x14ac:dyDescent="0.2">
      <c r="G65" s="320">
        <v>64</v>
      </c>
      <c r="H65" s="320" t="s">
        <v>892</v>
      </c>
      <c r="I65" s="347"/>
      <c r="N65" s="321"/>
      <c r="O65" s="320"/>
      <c r="P65" s="320"/>
    </row>
    <row r="66" spans="7:16" x14ac:dyDescent="0.2">
      <c r="G66" s="320">
        <v>65</v>
      </c>
      <c r="H66" s="320" t="s">
        <v>893</v>
      </c>
      <c r="I66" s="347"/>
      <c r="N66" s="321"/>
      <c r="O66" s="320"/>
      <c r="P66" s="320"/>
    </row>
    <row r="67" spans="7:16" x14ac:dyDescent="0.2">
      <c r="G67" s="320">
        <v>66</v>
      </c>
      <c r="H67" s="320" t="s">
        <v>894</v>
      </c>
      <c r="I67" s="347"/>
      <c r="N67" s="320"/>
      <c r="O67" s="320"/>
      <c r="P67" s="320"/>
    </row>
    <row r="68" spans="7:16" x14ac:dyDescent="0.2">
      <c r="G68" s="320">
        <v>67</v>
      </c>
      <c r="H68" s="320" t="s">
        <v>895</v>
      </c>
      <c r="I68" s="347"/>
      <c r="N68" s="321"/>
      <c r="O68" s="320"/>
      <c r="P68" s="320"/>
    </row>
    <row r="69" spans="7:16" x14ac:dyDescent="0.2">
      <c r="G69" s="320">
        <v>68</v>
      </c>
      <c r="H69" s="320" t="s">
        <v>896</v>
      </c>
      <c r="I69" s="347"/>
      <c r="N69" s="321"/>
      <c r="O69" s="320"/>
      <c r="P69" s="320"/>
    </row>
    <row r="70" spans="7:16" x14ac:dyDescent="0.2">
      <c r="G70" s="320">
        <v>69</v>
      </c>
      <c r="H70" s="320" t="s">
        <v>897</v>
      </c>
      <c r="I70" s="347"/>
      <c r="N70" s="321"/>
      <c r="O70" s="320"/>
      <c r="P70" s="320"/>
    </row>
    <row r="71" spans="7:16" x14ac:dyDescent="0.2">
      <c r="G71" s="320">
        <v>70</v>
      </c>
      <c r="H71" s="320" t="s">
        <v>898</v>
      </c>
      <c r="I71" s="347"/>
      <c r="N71" s="321"/>
      <c r="O71" s="320"/>
      <c r="P71" s="320"/>
    </row>
    <row r="72" spans="7:16" x14ac:dyDescent="0.2">
      <c r="G72" s="320">
        <v>71</v>
      </c>
      <c r="H72" s="320" t="s">
        <v>899</v>
      </c>
      <c r="I72" s="347"/>
      <c r="N72" s="321"/>
      <c r="O72" s="320"/>
      <c r="P72" s="320"/>
    </row>
    <row r="73" spans="7:16" x14ac:dyDescent="0.2">
      <c r="G73" s="320">
        <v>72</v>
      </c>
      <c r="H73" s="320" t="s">
        <v>900</v>
      </c>
      <c r="I73" s="347"/>
      <c r="N73" s="321"/>
      <c r="O73" s="320"/>
      <c r="P73" s="320"/>
    </row>
    <row r="74" spans="7:16" x14ac:dyDescent="0.2">
      <c r="G74" s="320">
        <v>73</v>
      </c>
      <c r="H74" s="320" t="s">
        <v>901</v>
      </c>
      <c r="I74" s="347"/>
      <c r="N74" s="320"/>
      <c r="O74" s="320"/>
      <c r="P74" s="320"/>
    </row>
    <row r="75" spans="7:16" x14ac:dyDescent="0.2">
      <c r="G75" s="320">
        <v>74</v>
      </c>
      <c r="H75" s="320" t="s">
        <v>902</v>
      </c>
      <c r="I75" s="347"/>
      <c r="N75" s="320"/>
      <c r="O75" s="320"/>
      <c r="P75" s="320"/>
    </row>
    <row r="76" spans="7:16" x14ac:dyDescent="0.2">
      <c r="G76" s="320">
        <v>75</v>
      </c>
      <c r="H76" s="320" t="s">
        <v>903</v>
      </c>
      <c r="I76" s="347"/>
    </row>
    <row r="77" spans="7:16" x14ac:dyDescent="0.2">
      <c r="G77" s="320">
        <v>76</v>
      </c>
      <c r="H77" s="320" t="s">
        <v>904</v>
      </c>
      <c r="I77" s="347"/>
    </row>
    <row r="78" spans="7:16" x14ac:dyDescent="0.2">
      <c r="G78" s="320">
        <v>77</v>
      </c>
      <c r="H78" s="320" t="s">
        <v>905</v>
      </c>
      <c r="I78" s="347"/>
    </row>
    <row r="79" spans="7:16" x14ac:dyDescent="0.2">
      <c r="G79" s="320">
        <v>78</v>
      </c>
      <c r="H79" s="320" t="s">
        <v>906</v>
      </c>
      <c r="I79" s="347"/>
    </row>
    <row r="80" spans="7:16" x14ac:dyDescent="0.2">
      <c r="G80" s="320">
        <v>79</v>
      </c>
      <c r="H80" s="320" t="s">
        <v>907</v>
      </c>
      <c r="I80" s="347"/>
    </row>
    <row r="81" spans="7:9" x14ac:dyDescent="0.2">
      <c r="G81" s="320">
        <v>80</v>
      </c>
      <c r="H81" s="320" t="s">
        <v>908</v>
      </c>
      <c r="I81" s="347"/>
    </row>
    <row r="82" spans="7:9" x14ac:dyDescent="0.2">
      <c r="G82" s="320">
        <v>81</v>
      </c>
      <c r="H82" s="320" t="s">
        <v>909</v>
      </c>
      <c r="I82" s="347"/>
    </row>
    <row r="83" spans="7:9" x14ac:dyDescent="0.2">
      <c r="G83" s="320">
        <v>82</v>
      </c>
      <c r="H83" s="320" t="s">
        <v>910</v>
      </c>
      <c r="I83" s="347"/>
    </row>
    <row r="84" spans="7:9" x14ac:dyDescent="0.2">
      <c r="G84" s="320">
        <v>83</v>
      </c>
      <c r="H84" s="320" t="s">
        <v>911</v>
      </c>
      <c r="I84" s="347"/>
    </row>
    <row r="85" spans="7:9" x14ac:dyDescent="0.2">
      <c r="G85" s="320">
        <v>84</v>
      </c>
      <c r="H85" s="320" t="s">
        <v>912</v>
      </c>
      <c r="I85" s="347"/>
    </row>
    <row r="86" spans="7:9" x14ac:dyDescent="0.2">
      <c r="G86" s="320">
        <v>85</v>
      </c>
      <c r="H86" s="320" t="s">
        <v>913</v>
      </c>
      <c r="I86" s="347"/>
    </row>
    <row r="87" spans="7:9" x14ac:dyDescent="0.2">
      <c r="G87" s="320">
        <v>86</v>
      </c>
      <c r="H87" s="320" t="s">
        <v>914</v>
      </c>
      <c r="I87" s="347"/>
    </row>
    <row r="88" spans="7:9" x14ac:dyDescent="0.2">
      <c r="G88" s="320">
        <v>87</v>
      </c>
      <c r="H88" s="320" t="s">
        <v>915</v>
      </c>
      <c r="I88" s="347"/>
    </row>
    <row r="89" spans="7:9" x14ac:dyDescent="0.2">
      <c r="G89" s="320">
        <v>88</v>
      </c>
      <c r="H89" s="320" t="s">
        <v>916</v>
      </c>
      <c r="I89" s="347"/>
    </row>
    <row r="90" spans="7:9" x14ac:dyDescent="0.2">
      <c r="G90" s="320">
        <v>89</v>
      </c>
      <c r="H90" s="320" t="s">
        <v>917</v>
      </c>
      <c r="I90" s="347"/>
    </row>
    <row r="91" spans="7:9" x14ac:dyDescent="0.2">
      <c r="G91" s="320">
        <v>90</v>
      </c>
      <c r="H91" s="320" t="s">
        <v>918</v>
      </c>
      <c r="I91" s="347"/>
    </row>
    <row r="92" spans="7:9" x14ac:dyDescent="0.2">
      <c r="G92" s="320">
        <v>91</v>
      </c>
      <c r="H92" s="320" t="s">
        <v>919</v>
      </c>
      <c r="I92" s="347"/>
    </row>
    <row r="93" spans="7:9" x14ac:dyDescent="0.2">
      <c r="G93" s="320">
        <v>92</v>
      </c>
      <c r="H93" s="320" t="s">
        <v>920</v>
      </c>
      <c r="I93" s="347"/>
    </row>
    <row r="94" spans="7:9" x14ac:dyDescent="0.2">
      <c r="G94" s="320">
        <v>93</v>
      </c>
      <c r="H94" s="320" t="s">
        <v>921</v>
      </c>
      <c r="I94" s="347"/>
    </row>
    <row r="95" spans="7:9" x14ac:dyDescent="0.2">
      <c r="G95" s="320">
        <v>94</v>
      </c>
      <c r="H95" s="320" t="s">
        <v>922</v>
      </c>
      <c r="I95" s="347"/>
    </row>
    <row r="96" spans="7:9" x14ac:dyDescent="0.2">
      <c r="G96" s="320">
        <v>95</v>
      </c>
      <c r="H96" s="320" t="s">
        <v>923</v>
      </c>
      <c r="I96" s="347"/>
    </row>
    <row r="97" spans="7:9" x14ac:dyDescent="0.2">
      <c r="G97" s="320">
        <v>96</v>
      </c>
      <c r="H97" s="320" t="s">
        <v>924</v>
      </c>
      <c r="I97" s="347"/>
    </row>
    <row r="98" spans="7:9" x14ac:dyDescent="0.2">
      <c r="G98" s="320">
        <v>97</v>
      </c>
      <c r="H98" s="320" t="s">
        <v>925</v>
      </c>
      <c r="I98" s="347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/>
  </sheetViews>
  <sheetFormatPr defaultColWidth="9.140625" defaultRowHeight="12.75" x14ac:dyDescent="0.2"/>
  <cols>
    <col min="1" max="1" width="9.140625" style="762"/>
    <col min="2" max="2" width="10.28515625" style="796" customWidth="1"/>
    <col min="3" max="3" width="19.7109375" style="762" customWidth="1"/>
    <col min="4" max="4" width="24.5703125" style="762" customWidth="1"/>
    <col min="5" max="5" width="17.7109375" style="762" customWidth="1"/>
    <col min="6" max="7" width="18.7109375" style="762" customWidth="1"/>
    <col min="8" max="11" width="9.140625" style="762"/>
    <col min="12" max="21" width="0" style="762" hidden="1" customWidth="1"/>
    <col min="22" max="16384" width="9.140625" style="762"/>
  </cols>
  <sheetData>
    <row r="1" spans="1:25 4305:4305" x14ac:dyDescent="0.2">
      <c r="A1" s="831"/>
      <c r="J1" s="839"/>
      <c r="K1" s="839"/>
      <c r="L1" s="840" t="s">
        <v>812</v>
      </c>
      <c r="M1" s="840" t="s">
        <v>820</v>
      </c>
      <c r="N1" s="840" t="s">
        <v>813</v>
      </c>
      <c r="O1" s="840"/>
      <c r="P1" s="840"/>
      <c r="Q1" s="840"/>
      <c r="R1" s="840"/>
      <c r="S1" s="840" t="s">
        <v>821</v>
      </c>
      <c r="T1" s="840" t="s">
        <v>822</v>
      </c>
      <c r="U1" s="840"/>
      <c r="V1" s="840"/>
      <c r="W1" s="840"/>
      <c r="X1" s="840"/>
      <c r="Y1" s="839"/>
    </row>
    <row r="2" spans="1:25 4305:4305" ht="15" customHeight="1" x14ac:dyDescent="0.2">
      <c r="B2" s="744" t="str">
        <f>"Patient: "&amp;__2_AchterNaam&amp;", "&amp;__3_VoorNaam</f>
        <v xml:space="preserve">Patient: , </v>
      </c>
      <c r="C2" s="744"/>
      <c r="D2" s="781"/>
      <c r="E2" s="744" t="str">
        <f ca="1">"Geschatte lengte: "&amp;VLOOKUP(C5+D5/12,PedTblLengte!A2:D45,4)&amp;" cm"</f>
        <v>Geschatte lengte: 175,15 cm</v>
      </c>
      <c r="F2" s="781"/>
      <c r="G2" s="744"/>
      <c r="H2" s="754"/>
      <c r="I2" s="754"/>
      <c r="J2" s="839"/>
      <c r="K2" s="839"/>
      <c r="L2" s="840">
        <v>0</v>
      </c>
      <c r="M2" s="840">
        <v>40</v>
      </c>
      <c r="N2" s="840">
        <v>3.5</v>
      </c>
      <c r="O2" s="840">
        <v>0</v>
      </c>
      <c r="P2" s="840">
        <v>3.5</v>
      </c>
      <c r="Q2" s="840">
        <v>51</v>
      </c>
      <c r="R2" s="840"/>
      <c r="S2" s="840">
        <v>1</v>
      </c>
      <c r="T2" s="840">
        <v>1</v>
      </c>
      <c r="U2" s="840">
        <v>1</v>
      </c>
      <c r="V2" s="840"/>
      <c r="W2" s="840"/>
      <c r="X2" s="840"/>
      <c r="Y2" s="839"/>
      <c r="FIO2" s="762">
        <v>30</v>
      </c>
    </row>
    <row r="3" spans="1:25 4305:4305" ht="15" customHeight="1" x14ac:dyDescent="0.2">
      <c r="B3" s="744" t="str">
        <f>"Geb datum.: "</f>
        <v xml:space="preserve">Geb datum.: </v>
      </c>
      <c r="C3" s="939">
        <f>__4_GebDatum</f>
        <v>1462</v>
      </c>
      <c r="D3" s="781"/>
      <c r="E3" s="744" t="str">
        <f ca="1">"Geschat gewicht: "&amp;VLOOKUP(C5+D5/12,PedTblGew!A2:T49,20)&amp;" kg"</f>
        <v>Geschat gewicht: 66,1 kg</v>
      </c>
      <c r="F3" s="940"/>
      <c r="G3" s="744"/>
      <c r="H3" s="754"/>
      <c r="I3" s="754"/>
      <c r="J3" s="839"/>
      <c r="K3" s="839"/>
      <c r="L3" s="840">
        <v>1</v>
      </c>
      <c r="M3" s="840">
        <v>30</v>
      </c>
      <c r="N3" s="840">
        <v>4.5</v>
      </c>
      <c r="O3" s="840">
        <v>1</v>
      </c>
      <c r="P3" s="840">
        <v>4.2</v>
      </c>
      <c r="Q3" s="840">
        <v>54</v>
      </c>
      <c r="R3" s="840"/>
      <c r="S3" s="840">
        <v>2</v>
      </c>
      <c r="T3" s="840">
        <v>2</v>
      </c>
      <c r="U3" s="840">
        <v>2</v>
      </c>
      <c r="V3" s="840"/>
      <c r="W3" s="840"/>
      <c r="X3" s="840"/>
      <c r="Y3" s="839"/>
    </row>
    <row r="4" spans="1:25 4305:4305" ht="15.75" customHeight="1" x14ac:dyDescent="0.2">
      <c r="B4" s="771"/>
      <c r="C4" s="941" t="s">
        <v>435</v>
      </c>
      <c r="D4" s="941" t="s">
        <v>436</v>
      </c>
      <c r="E4" s="941" t="s">
        <v>286</v>
      </c>
      <c r="F4" s="941" t="s">
        <v>136</v>
      </c>
      <c r="G4" s="941" t="s">
        <v>53</v>
      </c>
      <c r="H4" s="754"/>
      <c r="J4" s="842"/>
      <c r="K4" s="842"/>
      <c r="L4" s="840">
        <v>2</v>
      </c>
      <c r="M4" s="840">
        <v>25</v>
      </c>
      <c r="N4" s="840">
        <v>4.5</v>
      </c>
      <c r="O4" s="840">
        <v>2</v>
      </c>
      <c r="P4" s="840">
        <v>5</v>
      </c>
      <c r="Q4" s="840">
        <v>57</v>
      </c>
      <c r="R4" s="840"/>
      <c r="S4" s="840">
        <v>3</v>
      </c>
      <c r="T4" s="840">
        <v>3</v>
      </c>
      <c r="U4" s="840">
        <v>3</v>
      </c>
      <c r="V4" s="840"/>
      <c r="W4" s="840"/>
      <c r="X4" s="840"/>
      <c r="Y4" s="839"/>
    </row>
    <row r="5" spans="1:25 4305:4305" ht="15" customHeight="1" x14ac:dyDescent="0.2">
      <c r="B5" s="771"/>
      <c r="C5" s="941">
        <f ca="1">TRUNC((Var_AfspraakDatum-__4_GebDatum)/365,0)</f>
        <v>113</v>
      </c>
      <c r="D5" s="941">
        <f ca="1">TRUNC(((Var_AfspraakDatum-__4_GebDatum)-365*TRUNC((Var_AfspraakDatum-__4_GebDatum)/365,0))/30,0)</f>
        <v>1</v>
      </c>
      <c r="E5" s="941">
        <f>_Pat_Gewicht/10</f>
        <v>0</v>
      </c>
      <c r="F5" s="941">
        <f>_Pat_Lengte</f>
        <v>0</v>
      </c>
      <c r="G5" s="941">
        <f>ROUND(POWER(E5,0.425)*POWER(((F5/100)*100),0.725)*0.007184,2)</f>
        <v>0</v>
      </c>
      <c r="H5" s="754"/>
      <c r="J5" s="842"/>
      <c r="K5" s="842"/>
      <c r="L5" s="840">
        <v>3</v>
      </c>
      <c r="M5" s="840">
        <v>25</v>
      </c>
      <c r="N5" s="840">
        <v>5</v>
      </c>
      <c r="O5" s="840">
        <v>3</v>
      </c>
      <c r="P5" s="840">
        <v>5.7</v>
      </c>
      <c r="Q5" s="840">
        <v>60</v>
      </c>
      <c r="R5" s="840"/>
      <c r="S5" s="840">
        <v>4</v>
      </c>
      <c r="T5" s="840">
        <v>3</v>
      </c>
      <c r="U5" s="840"/>
      <c r="V5" s="840"/>
      <c r="W5" s="840"/>
      <c r="X5" s="840"/>
      <c r="Y5" s="839"/>
    </row>
    <row r="6" spans="1:25 4305:4305" ht="15" customHeight="1" thickBot="1" x14ac:dyDescent="0.25">
      <c r="A6" s="831"/>
      <c r="B6" s="802"/>
      <c r="C6" s="841"/>
      <c r="D6" s="841"/>
      <c r="E6" s="841"/>
      <c r="F6" s="841"/>
      <c r="G6" s="841"/>
      <c r="H6" s="754"/>
      <c r="J6" s="842"/>
      <c r="K6" s="842"/>
      <c r="L6" s="840">
        <v>4</v>
      </c>
      <c r="M6" s="840">
        <v>25</v>
      </c>
      <c r="N6" s="840">
        <v>5</v>
      </c>
      <c r="O6" s="840">
        <v>4</v>
      </c>
      <c r="P6" s="840">
        <v>6.5</v>
      </c>
      <c r="Q6" s="840">
        <v>63</v>
      </c>
      <c r="R6" s="840"/>
      <c r="S6" s="840">
        <v>5</v>
      </c>
      <c r="T6" s="840">
        <v>5</v>
      </c>
      <c r="U6" s="840">
        <v>5</v>
      </c>
      <c r="V6" s="840"/>
      <c r="W6" s="840"/>
      <c r="X6" s="840"/>
      <c r="Y6" s="839"/>
    </row>
    <row r="7" spans="1:25 4305:4305" ht="20.100000000000001" customHeight="1" thickBot="1" x14ac:dyDescent="0.25">
      <c r="B7" s="772" t="s">
        <v>326</v>
      </c>
      <c r="C7" s="924" t="s">
        <v>54</v>
      </c>
      <c r="D7" s="899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900"/>
      <c r="F7" s="900"/>
      <c r="G7" s="901"/>
      <c r="H7" s="754"/>
      <c r="I7" s="754"/>
      <c r="J7" s="839"/>
      <c r="K7" s="839"/>
      <c r="L7" s="840">
        <v>5</v>
      </c>
      <c r="M7" s="840">
        <v>25</v>
      </c>
      <c r="N7" s="840">
        <v>5.5</v>
      </c>
      <c r="O7" s="840">
        <v>5</v>
      </c>
      <c r="P7" s="840">
        <v>7</v>
      </c>
      <c r="Q7" s="840">
        <v>65</v>
      </c>
      <c r="R7" s="840"/>
      <c r="S7" s="840">
        <v>6</v>
      </c>
      <c r="T7" s="840">
        <v>5</v>
      </c>
      <c r="U7" s="840"/>
      <c r="V7" s="840"/>
      <c r="W7" s="840"/>
      <c r="X7" s="840"/>
      <c r="Y7" s="839"/>
    </row>
    <row r="8" spans="1:25 4305:4305" ht="20.100000000000001" customHeight="1" thickTop="1" thickBot="1" x14ac:dyDescent="0.25">
      <c r="B8" s="772"/>
      <c r="C8" s="732" t="s">
        <v>55</v>
      </c>
      <c r="D8" s="902" t="str">
        <f>IF(_Pat_Gewicht&gt;0,IF(ROUND((E5)*4,0)&gt;150,150,VLOOKUP(ROUND(E5*4,0),S2:T362,2))&amp;" Joules Asynchroon","")</f>
        <v/>
      </c>
      <c r="E8" s="720"/>
      <c r="F8" s="720"/>
      <c r="G8" s="903" t="s">
        <v>0</v>
      </c>
      <c r="H8" s="754"/>
      <c r="I8" s="754"/>
      <c r="J8" s="839"/>
      <c r="K8" s="839"/>
      <c r="L8" s="840">
        <v>6</v>
      </c>
      <c r="M8" s="840">
        <v>20</v>
      </c>
      <c r="N8" s="840">
        <v>5.5</v>
      </c>
      <c r="O8" s="840">
        <v>6</v>
      </c>
      <c r="P8" s="840">
        <v>7.7</v>
      </c>
      <c r="Q8" s="840">
        <v>67</v>
      </c>
      <c r="R8" s="840"/>
      <c r="S8" s="840">
        <v>7</v>
      </c>
      <c r="T8" s="840">
        <v>7</v>
      </c>
      <c r="U8" s="840">
        <v>7</v>
      </c>
      <c r="V8" s="840"/>
      <c r="W8" s="840"/>
      <c r="X8" s="840"/>
      <c r="Y8" s="839"/>
    </row>
    <row r="9" spans="1:25 4305:4305" ht="20.100000000000001" customHeight="1" thickTop="1" thickBot="1" x14ac:dyDescent="0.25">
      <c r="B9" s="772"/>
      <c r="C9" s="732" t="s">
        <v>126</v>
      </c>
      <c r="D9" s="902" t="str">
        <f ca="1">IF(OR(ROUND(0.01*(E5),2)&gt;1,C5&gt;=18),"1 mg iv",ROUND(0.01*(E5),2)&amp;" mg iv")</f>
        <v>1 mg iv</v>
      </c>
      <c r="E9" s="720" t="str">
        <f>"= "&amp;IF(ROUND(0.01*(E5),2)&gt;1,"1 ml van 1mg = 10 ml (1:10.000)",ROUND(0.1*(E5),1)&amp;" ml van 1mg = 10 ml (1:10.000)")</f>
        <v>= 0 ml van 1mg = 10 ml (1:10.000)</v>
      </c>
      <c r="F9" s="720"/>
      <c r="G9" s="903" t="s">
        <v>1</v>
      </c>
      <c r="H9" s="754"/>
      <c r="I9" s="754"/>
      <c r="J9" s="839"/>
      <c r="K9" s="839"/>
      <c r="L9" s="840">
        <v>7</v>
      </c>
      <c r="M9" s="840">
        <v>20</v>
      </c>
      <c r="N9" s="840">
        <v>6</v>
      </c>
      <c r="O9" s="840">
        <v>7</v>
      </c>
      <c r="P9" s="840">
        <v>8.1999999999999993</v>
      </c>
      <c r="Q9" s="840">
        <v>69</v>
      </c>
      <c r="R9" s="840"/>
      <c r="S9" s="840">
        <v>8</v>
      </c>
      <c r="T9" s="840">
        <v>7</v>
      </c>
      <c r="U9" s="840"/>
      <c r="V9" s="840"/>
      <c r="W9" s="840"/>
      <c r="X9" s="840"/>
      <c r="Y9" s="839"/>
    </row>
    <row r="10" spans="1:25 4305:4305" ht="20.100000000000001" customHeight="1" thickTop="1" thickBot="1" x14ac:dyDescent="0.25">
      <c r="B10" s="772"/>
      <c r="C10" s="732" t="s">
        <v>56</v>
      </c>
      <c r="D10" s="902" t="str">
        <f>ROUND(IF(E5&gt;50,50,0.5*E5),0)&amp;" ml iv"</f>
        <v>0 ml iv</v>
      </c>
      <c r="E10" s="720"/>
      <c r="F10" s="720"/>
      <c r="G10" s="903" t="s">
        <v>2</v>
      </c>
      <c r="H10" s="754"/>
      <c r="I10" s="754"/>
      <c r="J10" s="839"/>
      <c r="K10" s="839"/>
      <c r="L10" s="840">
        <v>8</v>
      </c>
      <c r="M10" s="840">
        <v>20</v>
      </c>
      <c r="N10" s="840">
        <v>6</v>
      </c>
      <c r="O10" s="840">
        <v>8</v>
      </c>
      <c r="P10" s="840">
        <v>8.5</v>
      </c>
      <c r="Q10" s="840">
        <v>70</v>
      </c>
      <c r="R10" s="840"/>
      <c r="S10" s="840">
        <v>9</v>
      </c>
      <c r="T10" s="840">
        <v>7</v>
      </c>
      <c r="U10" s="840"/>
      <c r="V10" s="840"/>
      <c r="W10" s="840"/>
      <c r="X10" s="840"/>
      <c r="Y10" s="839"/>
    </row>
    <row r="11" spans="1:25 4305:4305" ht="20.100000000000001" customHeight="1" thickTop="1" thickBot="1" x14ac:dyDescent="0.25">
      <c r="B11" s="772"/>
      <c r="C11" s="732" t="s">
        <v>200</v>
      </c>
      <c r="D11" s="902" t="str">
        <f>IF(0.2*E5&lt;=25,0.2*E5&amp;" gram iv","25 gram iv")</f>
        <v>0 gram iv</v>
      </c>
      <c r="E11" s="720" t="str">
        <f>"="&amp;" "&amp;IF(2*E5&lt;=250,ROUND(2*E5,0)&amp;" ml glucose 10%","250 ml glucose 10%")</f>
        <v>= 0 ml glucose 10%</v>
      </c>
      <c r="F11" s="720"/>
      <c r="G11" s="903" t="s">
        <v>3</v>
      </c>
      <c r="H11" s="754"/>
      <c r="I11" s="754"/>
      <c r="J11" s="839"/>
      <c r="K11" s="839"/>
      <c r="L11" s="840">
        <v>9</v>
      </c>
      <c r="M11" s="840">
        <v>20</v>
      </c>
      <c r="N11" s="840">
        <v>6.5</v>
      </c>
      <c r="O11" s="840">
        <v>9</v>
      </c>
      <c r="P11" s="840">
        <v>9</v>
      </c>
      <c r="Q11" s="840">
        <v>72</v>
      </c>
      <c r="R11" s="840"/>
      <c r="S11" s="840">
        <v>10</v>
      </c>
      <c r="T11" s="840">
        <v>10</v>
      </c>
      <c r="U11" s="840">
        <v>10</v>
      </c>
      <c r="V11" s="840"/>
      <c r="W11" s="840"/>
      <c r="X11" s="840"/>
      <c r="Y11" s="839"/>
    </row>
    <row r="12" spans="1:25 4305:4305" ht="20.100000000000001" customHeight="1" thickTop="1" thickBot="1" x14ac:dyDescent="0.25">
      <c r="B12" s="772"/>
      <c r="C12" s="925" t="s">
        <v>57</v>
      </c>
      <c r="D12" s="904" t="str">
        <f>IF(ROUND(20*E5/10,0)*10&gt;500,500,ROUND(20*E5/10,0)*10)&amp;" ml fysiologisch zout iv per bolus"</f>
        <v>0 ml fysiologisch zout iv per bolus</v>
      </c>
      <c r="E12" s="905"/>
      <c r="F12" s="905"/>
      <c r="G12" s="906" t="s">
        <v>4</v>
      </c>
      <c r="H12" s="754"/>
      <c r="I12" s="754"/>
      <c r="J12" s="839"/>
      <c r="K12" s="839"/>
      <c r="L12" s="840">
        <v>10</v>
      </c>
      <c r="M12" s="840">
        <v>20</v>
      </c>
      <c r="N12" s="840">
        <v>6.5</v>
      </c>
      <c r="O12" s="840">
        <v>10</v>
      </c>
      <c r="P12" s="840">
        <v>9.3000000000000007</v>
      </c>
      <c r="Q12" s="840">
        <v>73</v>
      </c>
      <c r="R12" s="840"/>
      <c r="S12" s="840">
        <v>11</v>
      </c>
      <c r="T12" s="840">
        <v>10</v>
      </c>
      <c r="U12" s="840"/>
      <c r="V12" s="840"/>
      <c r="W12" s="840"/>
      <c r="X12" s="840"/>
      <c r="Y12" s="839"/>
    </row>
    <row r="13" spans="1:25 4305:4305" ht="20.100000000000001" customHeight="1" thickBot="1" x14ac:dyDescent="0.25">
      <c r="B13" s="802"/>
      <c r="C13" s="754"/>
      <c r="D13" s="750"/>
      <c r="E13" s="754"/>
      <c r="F13" s="754"/>
      <c r="G13" s="844"/>
      <c r="H13" s="754"/>
      <c r="I13" s="754"/>
      <c r="J13" s="839"/>
      <c r="K13" s="839"/>
      <c r="L13" s="840">
        <v>11</v>
      </c>
      <c r="M13" s="840">
        <v>20</v>
      </c>
      <c r="N13" s="840">
        <v>7</v>
      </c>
      <c r="O13" s="840">
        <v>11</v>
      </c>
      <c r="P13" s="840">
        <v>9.5</v>
      </c>
      <c r="Q13" s="840">
        <v>74</v>
      </c>
      <c r="R13" s="840"/>
      <c r="S13" s="840">
        <v>12</v>
      </c>
      <c r="T13" s="840">
        <v>10</v>
      </c>
      <c r="U13" s="840"/>
      <c r="V13" s="840"/>
      <c r="W13" s="840"/>
      <c r="X13" s="840"/>
      <c r="Y13" s="839"/>
    </row>
    <row r="14" spans="1:25 4305:4305" ht="20.100000000000001" customHeight="1" thickBot="1" x14ac:dyDescent="0.25">
      <c r="B14" s="772" t="s">
        <v>392</v>
      </c>
      <c r="C14" s="924" t="s">
        <v>335</v>
      </c>
      <c r="D14" s="899" t="str">
        <f>IF(0.5*E5&gt;20,"20 mg iv",0.5*E5&amp;" mg iv")</f>
        <v>0 mg iv</v>
      </c>
      <c r="E14" s="900" t="str">
        <f>"= "&amp;IF(0.5*E5&gt;20,"10 ml van een 2 mg/ml oplossing",ROUND(0.5*E5*0.5,1)&amp;" ml van een 2 mg/ml oplossing")</f>
        <v>= 0 ml van een 2 mg/ml oplossing</v>
      </c>
      <c r="F14" s="900"/>
      <c r="G14" s="901" t="s">
        <v>5</v>
      </c>
      <c r="H14" s="754"/>
      <c r="I14" s="754"/>
      <c r="J14" s="839"/>
      <c r="K14" s="839"/>
      <c r="L14" s="840">
        <v>12</v>
      </c>
      <c r="M14" s="840">
        <v>15</v>
      </c>
      <c r="N14" s="840">
        <v>7</v>
      </c>
      <c r="O14" s="840">
        <v>12</v>
      </c>
      <c r="P14" s="840">
        <v>10</v>
      </c>
      <c r="Q14" s="840">
        <v>76</v>
      </c>
      <c r="R14" s="840"/>
      <c r="S14" s="840">
        <v>13</v>
      </c>
      <c r="T14" s="840">
        <v>10</v>
      </c>
      <c r="U14" s="840"/>
      <c r="V14" s="840"/>
      <c r="W14" s="840"/>
      <c r="X14" s="840"/>
      <c r="Y14" s="839"/>
    </row>
    <row r="15" spans="1:25 4305:4305" ht="20.100000000000001" customHeight="1" thickTop="1" thickBot="1" x14ac:dyDescent="0.25">
      <c r="B15" s="772"/>
      <c r="C15" s="732" t="s">
        <v>285</v>
      </c>
      <c r="D15" s="902" t="str">
        <f>IF(ROUND(1*(E5),1)&gt;100,"100 mg iv",ROUND(1*(E5),1)&amp;" mg iv")</f>
        <v>0 mg iv</v>
      </c>
      <c r="E15" s="720" t="str">
        <f>"= "&amp;IF(ROUND(1*(E5),1)&gt;100,"10 ml"&amp;" van een 1mg/ml oplossing",ROUND(0.1*(E5),1)&amp;" ml"&amp;" van een 10 mg/ml oplossing")</f>
        <v>= 0 ml van een 10 mg/ml oplossing</v>
      </c>
      <c r="F15" s="720"/>
      <c r="G15" s="903" t="s">
        <v>6</v>
      </c>
      <c r="H15" s="754"/>
      <c r="I15" s="754"/>
      <c r="J15" s="839"/>
      <c r="K15" s="839"/>
      <c r="L15" s="840">
        <v>13</v>
      </c>
      <c r="M15" s="840">
        <v>15</v>
      </c>
      <c r="N15" s="840">
        <v>7</v>
      </c>
      <c r="O15" s="840"/>
      <c r="P15" s="840"/>
      <c r="Q15" s="840"/>
      <c r="R15" s="840"/>
      <c r="S15" s="840">
        <v>14</v>
      </c>
      <c r="T15" s="840">
        <v>10</v>
      </c>
      <c r="U15" s="840"/>
      <c r="V15" s="840"/>
      <c r="W15" s="840"/>
      <c r="X15" s="840"/>
      <c r="Y15" s="839"/>
    </row>
    <row r="16" spans="1:25 4305:4305" ht="20.100000000000001" customHeight="1" thickTop="1" thickBot="1" x14ac:dyDescent="0.25">
      <c r="B16" s="772"/>
      <c r="C16" s="732" t="s">
        <v>336</v>
      </c>
      <c r="D16" s="902" t="str">
        <f>IF(ROUND(0.02*(E5),1)&lt;0.1,"0,1 mg iv",IF(ROUND(0.02*(E5),1)&gt;0.5,"0,5 mg iv",ROUND(0.02*(E5),1)&amp;" mg iv"))</f>
        <v>0,1 mg iv</v>
      </c>
      <c r="E16" s="992" t="str">
        <f>"= "&amp;IF(ROUND(0.02*(E5),1)&lt;0.1,0.1,IF(ROUND(0.02*(E5),1)&gt;0.5,0.5,ROUND(0.02*(E5),1)))*2&amp;" ml van 0,5 mg/ml (min 0,1 mg)"</f>
        <v>= 0,2 ml van 0,5 mg/ml (min 0,1 mg)</v>
      </c>
      <c r="F16" s="992"/>
      <c r="G16" s="903" t="s">
        <v>7</v>
      </c>
      <c r="H16" s="754"/>
      <c r="I16" s="754"/>
      <c r="J16" s="839"/>
      <c r="K16" s="839"/>
      <c r="L16" s="840">
        <v>14</v>
      </c>
      <c r="M16" s="840">
        <v>15</v>
      </c>
      <c r="N16" s="840">
        <v>7</v>
      </c>
      <c r="O16" s="840"/>
      <c r="P16" s="840"/>
      <c r="Q16" s="840"/>
      <c r="R16" s="840"/>
      <c r="S16" s="840">
        <v>15</v>
      </c>
      <c r="T16" s="840">
        <v>10</v>
      </c>
      <c r="U16" s="840"/>
      <c r="V16" s="840"/>
      <c r="W16" s="840"/>
      <c r="X16" s="840"/>
      <c r="Y16" s="839"/>
    </row>
    <row r="17" spans="2:25" ht="20.100000000000001" customHeight="1" thickTop="1" thickBot="1" x14ac:dyDescent="0.25">
      <c r="B17" s="772"/>
      <c r="C17" s="925"/>
      <c r="D17" s="904"/>
      <c r="E17" s="993"/>
      <c r="F17" s="993"/>
      <c r="G17" s="906"/>
      <c r="H17" s="754"/>
      <c r="I17" s="754"/>
      <c r="J17" s="839"/>
      <c r="K17" s="839"/>
      <c r="L17" s="840">
        <v>15</v>
      </c>
      <c r="M17" s="840">
        <v>15</v>
      </c>
      <c r="N17" s="840">
        <v>7</v>
      </c>
      <c r="O17" s="840"/>
      <c r="P17" s="840"/>
      <c r="Q17" s="840"/>
      <c r="R17" s="840"/>
      <c r="S17" s="840">
        <v>16</v>
      </c>
      <c r="T17" s="840">
        <v>20</v>
      </c>
      <c r="U17" s="840"/>
      <c r="V17" s="840"/>
      <c r="W17" s="840"/>
      <c r="X17" s="840"/>
      <c r="Y17" s="839"/>
    </row>
    <row r="18" spans="2:25" ht="15.75" customHeight="1" thickBot="1" x14ac:dyDescent="0.25">
      <c r="B18" s="802"/>
      <c r="C18" s="843"/>
      <c r="D18" s="750"/>
      <c r="E18" s="845"/>
      <c r="F18" s="845"/>
      <c r="G18" s="844"/>
      <c r="H18" s="846"/>
      <c r="I18" s="846"/>
      <c r="J18" s="847"/>
      <c r="K18" s="839"/>
      <c r="L18" s="840">
        <v>16</v>
      </c>
      <c r="M18" s="840">
        <v>15</v>
      </c>
      <c r="N18" s="840">
        <v>7</v>
      </c>
      <c r="O18" s="840"/>
      <c r="P18" s="840"/>
      <c r="Q18" s="840"/>
      <c r="R18" s="840"/>
      <c r="S18" s="840">
        <v>17</v>
      </c>
      <c r="T18" s="840">
        <v>20</v>
      </c>
      <c r="U18" s="840"/>
      <c r="V18" s="840"/>
      <c r="W18" s="840"/>
      <c r="X18" s="840"/>
      <c r="Y18" s="839"/>
    </row>
    <row r="19" spans="2:25" ht="20.100000000000001" customHeight="1" thickBot="1" x14ac:dyDescent="0.25">
      <c r="B19" s="772" t="s">
        <v>280</v>
      </c>
      <c r="C19" s="924" t="s">
        <v>95</v>
      </c>
      <c r="D19" s="899" t="str">
        <f>IF(0.02*E5&gt;0.3,"0,3 mg iv",0.02*E5&amp;" mg iv")</f>
        <v>0 mg iv</v>
      </c>
      <c r="E19" s="900" t="str">
        <f>"= "&amp;IF(0.02*E5&gt;1,"10 ml van anexate 0,1 mg/ml",ROUND((0.02*E5)/0.1,1)&amp;" ml van anexate 0,1 mg/ml")</f>
        <v>= 0 ml van anexate 0,1 mg/ml</v>
      </c>
      <c r="F19" s="900"/>
      <c r="G19" s="901" t="s">
        <v>8</v>
      </c>
      <c r="H19" s="846"/>
      <c r="I19" s="846"/>
      <c r="J19" s="847"/>
      <c r="K19" s="839"/>
      <c r="L19" s="840">
        <v>17</v>
      </c>
      <c r="M19" s="840">
        <v>15</v>
      </c>
      <c r="N19" s="840">
        <v>7</v>
      </c>
      <c r="O19" s="840"/>
      <c r="P19" s="840"/>
      <c r="Q19" s="840"/>
      <c r="R19" s="840"/>
      <c r="S19" s="840">
        <v>18</v>
      </c>
      <c r="T19" s="840">
        <v>20</v>
      </c>
      <c r="U19" s="840"/>
      <c r="V19" s="840"/>
      <c r="W19" s="840"/>
      <c r="X19" s="840"/>
      <c r="Y19" s="839"/>
    </row>
    <row r="20" spans="2:25" ht="20.100000000000001" customHeight="1" thickTop="1" thickBot="1" x14ac:dyDescent="0.25">
      <c r="B20" s="772"/>
      <c r="C20" s="732" t="s">
        <v>337</v>
      </c>
      <c r="D20" s="902" t="str">
        <f>IF(0.01*E5&gt;0.4,"0,4 mg iv",0.01*E5&amp;" mg iv")</f>
        <v>0 mg iv</v>
      </c>
      <c r="E20" s="992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92"/>
      <c r="G20" s="903" t="s">
        <v>9</v>
      </c>
      <c r="H20" s="754"/>
      <c r="I20" s="754"/>
      <c r="J20" s="839"/>
      <c r="K20" s="839"/>
      <c r="L20" s="840">
        <v>18</v>
      </c>
      <c r="M20" s="840">
        <v>15</v>
      </c>
      <c r="N20" s="840">
        <v>7</v>
      </c>
      <c r="O20" s="840"/>
      <c r="P20" s="840"/>
      <c r="Q20" s="840"/>
      <c r="R20" s="840"/>
      <c r="S20" s="840">
        <v>19</v>
      </c>
      <c r="T20" s="840">
        <v>20</v>
      </c>
      <c r="U20" s="840"/>
      <c r="V20" s="840"/>
      <c r="W20" s="840"/>
      <c r="X20" s="840"/>
      <c r="Y20" s="839"/>
    </row>
    <row r="21" spans="2:25" ht="20.100000000000001" customHeight="1" thickTop="1" thickBot="1" x14ac:dyDescent="0.25">
      <c r="B21" s="772"/>
      <c r="C21" s="925"/>
      <c r="D21" s="904"/>
      <c r="E21" s="993"/>
      <c r="F21" s="993"/>
      <c r="G21" s="906"/>
      <c r="H21" s="754"/>
      <c r="I21" s="754"/>
      <c r="J21" s="839"/>
      <c r="K21" s="839"/>
      <c r="L21" s="840"/>
      <c r="M21" s="840"/>
      <c r="N21" s="840"/>
      <c r="O21" s="840"/>
      <c r="P21" s="840"/>
      <c r="Q21" s="840"/>
      <c r="R21" s="840"/>
      <c r="S21" s="840">
        <v>20</v>
      </c>
      <c r="T21" s="840">
        <v>20</v>
      </c>
      <c r="U21" s="840">
        <v>20</v>
      </c>
      <c r="V21" s="840"/>
      <c r="W21" s="840"/>
      <c r="X21" s="840"/>
      <c r="Y21" s="839"/>
    </row>
    <row r="22" spans="2:25" ht="20.100000000000001" customHeight="1" thickBot="1" x14ac:dyDescent="0.25">
      <c r="B22" s="802"/>
      <c r="C22" s="843"/>
      <c r="D22" s="750"/>
      <c r="E22" s="845"/>
      <c r="F22" s="845"/>
      <c r="G22" s="844"/>
      <c r="H22" s="754"/>
      <c r="I22" s="754"/>
      <c r="J22" s="839"/>
      <c r="K22" s="839"/>
      <c r="L22" s="840"/>
      <c r="M22" s="840"/>
      <c r="N22" s="840"/>
      <c r="O22" s="840"/>
      <c r="P22" s="840"/>
      <c r="Q22" s="840"/>
      <c r="R22" s="840"/>
      <c r="S22" s="840">
        <v>21</v>
      </c>
      <c r="T22" s="840">
        <v>30</v>
      </c>
      <c r="U22" s="840"/>
      <c r="V22" s="840"/>
      <c r="W22" s="840"/>
      <c r="X22" s="840"/>
      <c r="Y22" s="839"/>
    </row>
    <row r="23" spans="2:25" ht="20.100000000000001" customHeight="1" thickBot="1" x14ac:dyDescent="0.25">
      <c r="B23" s="772" t="s">
        <v>281</v>
      </c>
      <c r="C23" s="924" t="str">
        <f ca="1">IF(C5=0,"alprostadil (Prostin)","")</f>
        <v/>
      </c>
      <c r="D23" s="899" t="str">
        <f ca="1">IF(C5=0,"0,5 mg in 50 ml NaCl 0.9%","")</f>
        <v/>
      </c>
      <c r="E23" s="900" t="str">
        <f ca="1">IF(C5=0,"1 ml/uur = "&amp;ROUND(1000*(0.5/50)*24/(E5)/1.44,0)&amp;" nanog/kg/min iv","")</f>
        <v/>
      </c>
      <c r="F23" s="900"/>
      <c r="G23" s="901" t="s">
        <v>330</v>
      </c>
      <c r="H23" s="754"/>
      <c r="I23" s="754"/>
      <c r="J23" s="839"/>
      <c r="K23" s="839"/>
      <c r="L23" s="840"/>
      <c r="M23" s="840"/>
      <c r="N23" s="840"/>
      <c r="O23" s="840"/>
      <c r="P23" s="840"/>
      <c r="Q23" s="840"/>
      <c r="R23" s="840"/>
      <c r="S23" s="840">
        <v>22</v>
      </c>
      <c r="T23" s="840">
        <v>30</v>
      </c>
      <c r="U23" s="840"/>
      <c r="V23" s="840"/>
      <c r="W23" s="840"/>
      <c r="X23" s="840"/>
      <c r="Y23" s="839"/>
    </row>
    <row r="24" spans="2:25" ht="20.100000000000001" customHeight="1" thickTop="1" thickBot="1" x14ac:dyDescent="0.25">
      <c r="B24" s="772"/>
      <c r="C24" s="732" t="s">
        <v>101</v>
      </c>
      <c r="D24" s="902" t="str">
        <f>IF(E5&gt;5,"200 mg in 50 ml NaCl 0.9%",ROUND(((E5)*24*60*(10/1000)/(24/50))/50,0)*50&amp;" mg in 50 ml NaCl 0.9%")</f>
        <v>0 mg in 50 ml NaCl 0.9%</v>
      </c>
      <c r="E24" s="720" t="str">
        <f>IF(_Pat_Gewicht&gt;0,"1 ml/uur = "&amp;IF(E5&gt;5,ROUND((200/50/E5/60)*1000,1),ROUND(24*ROUND(((E5)*24*60*(10/1000)/(24/50))/50,0)*50/50/1.44/E5,1))&amp;" mcg/kg/min","")</f>
        <v/>
      </c>
      <c r="F24" s="720"/>
      <c r="G24" s="903" t="s">
        <v>341</v>
      </c>
      <c r="H24" s="754"/>
      <c r="I24" s="754"/>
      <c r="J24" s="839"/>
      <c r="K24" s="839"/>
      <c r="L24" s="840"/>
      <c r="M24" s="840"/>
      <c r="N24" s="840"/>
      <c r="O24" s="840"/>
      <c r="P24" s="840"/>
      <c r="Q24" s="840"/>
      <c r="R24" s="840"/>
      <c r="S24" s="840">
        <v>23</v>
      </c>
      <c r="T24" s="840">
        <v>30</v>
      </c>
      <c r="U24" s="840"/>
      <c r="V24" s="840"/>
      <c r="W24" s="840"/>
      <c r="X24" s="840"/>
      <c r="Y24" s="839"/>
    </row>
    <row r="25" spans="2:25" ht="20.100000000000001" customHeight="1" thickTop="1" thickBot="1" x14ac:dyDescent="0.25">
      <c r="B25" s="772"/>
      <c r="C25" s="925" t="s">
        <v>102</v>
      </c>
      <c r="D25" s="904" t="str">
        <f>IF(_Pat_Gewicht/15&gt;5,"10 mg in 50 ml NaCl 0.9%",ROUND((E5)*24*60*(0.1/1000)/(24/50)/5,1)*5&amp;" mg in 50 ml NaCl 0.9%")</f>
        <v>0 mg in 50 ml NaCl 0.9%</v>
      </c>
      <c r="E25" s="905" t="str">
        <f>IF(_Pat_Gewicht&gt;0,"1 ml/uur = "&amp;IF(E5&gt;5,ROUND((10/50/E5/60)*1000,2),ROUND(24*ROUND((E5)*24*60*(0.1/1000)/(24/50)/5,1)*5/50/1.44/E5,2))&amp;" mcg/kg/min","")</f>
        <v/>
      </c>
      <c r="F25" s="905"/>
      <c r="G25" s="906" t="s">
        <v>401</v>
      </c>
      <c r="H25" s="754"/>
      <c r="I25" s="754"/>
      <c r="J25" s="839"/>
      <c r="K25" s="839"/>
      <c r="L25" s="840"/>
      <c r="M25" s="840"/>
      <c r="N25" s="840"/>
      <c r="O25" s="840"/>
      <c r="P25" s="840"/>
      <c r="Q25" s="840"/>
      <c r="R25" s="840"/>
      <c r="S25" s="840">
        <v>24</v>
      </c>
      <c r="T25" s="840">
        <v>30</v>
      </c>
      <c r="U25" s="840"/>
      <c r="V25" s="840"/>
      <c r="W25" s="840"/>
      <c r="X25" s="840"/>
      <c r="Y25" s="839"/>
    </row>
    <row r="26" spans="2:25" ht="20.100000000000001" customHeight="1" thickBot="1" x14ac:dyDescent="0.25">
      <c r="B26" s="802"/>
      <c r="C26" s="754"/>
      <c r="D26" s="750"/>
      <c r="E26" s="754"/>
      <c r="F26" s="754"/>
      <c r="G26" s="844"/>
      <c r="H26" s="754"/>
      <c r="I26" s="754"/>
      <c r="J26" s="839"/>
      <c r="K26" s="839"/>
      <c r="L26" s="840"/>
      <c r="M26" s="840"/>
      <c r="N26" s="840"/>
      <c r="O26" s="840"/>
      <c r="P26" s="840"/>
      <c r="Q26" s="840"/>
      <c r="R26" s="840"/>
      <c r="S26" s="840">
        <v>25</v>
      </c>
      <c r="T26" s="840">
        <v>30</v>
      </c>
      <c r="U26" s="840"/>
      <c r="V26" s="840"/>
      <c r="W26" s="840"/>
      <c r="X26" s="840"/>
      <c r="Y26" s="839"/>
    </row>
    <row r="27" spans="2:25" ht="20.100000000000001" customHeight="1" thickBot="1" x14ac:dyDescent="0.25">
      <c r="B27" s="990" t="s">
        <v>282</v>
      </c>
      <c r="C27" s="924" t="s">
        <v>443</v>
      </c>
      <c r="D27" s="899" t="str">
        <f>IF(ROUND(E5/2,0)*2&gt;50,"300 mg iv",ROUND(E5*5,0)&amp;" mg iv")</f>
        <v>0 mg iv</v>
      </c>
      <c r="E27" s="900" t="str">
        <f>IF(ROUND(E5/2,0)*2&gt;50,"6 ml van amiodarone 50 mg/ml iv",ROUND(E5*0.1,1)&amp;" ml van amiodarone 50 mg/ml iv")</f>
        <v>0 ml van amiodarone 50 mg/ml iv</v>
      </c>
      <c r="F27" s="900"/>
      <c r="G27" s="901" t="s">
        <v>10</v>
      </c>
      <c r="H27" s="754"/>
      <c r="I27" s="754"/>
      <c r="J27" s="839"/>
      <c r="K27" s="839"/>
      <c r="L27" s="840"/>
      <c r="M27" s="840"/>
      <c r="N27" s="840"/>
      <c r="O27" s="840"/>
      <c r="P27" s="840"/>
      <c r="Q27" s="840"/>
      <c r="R27" s="840"/>
      <c r="S27" s="840">
        <v>26</v>
      </c>
      <c r="T27" s="840">
        <v>30</v>
      </c>
      <c r="U27" s="840"/>
      <c r="V27" s="840"/>
      <c r="W27" s="840"/>
      <c r="X27" s="840"/>
      <c r="Y27" s="839"/>
    </row>
    <row r="28" spans="2:25" ht="20.100000000000001" customHeight="1" thickTop="1" thickBot="1" x14ac:dyDescent="0.25">
      <c r="B28" s="991"/>
      <c r="C28" s="925" t="s">
        <v>325</v>
      </c>
      <c r="D28" s="904" t="str">
        <f>IF(E5/10&gt;10,"10 ml iv",E5/10 &amp;" ml iv")</f>
        <v>0 ml iv</v>
      </c>
      <c r="E28" s="905" t="s">
        <v>250</v>
      </c>
      <c r="F28" s="905"/>
      <c r="G28" s="906" t="s">
        <v>11</v>
      </c>
      <c r="H28" s="754"/>
      <c r="I28" s="754"/>
      <c r="J28" s="839"/>
      <c r="K28" s="839"/>
      <c r="L28" s="840"/>
      <c r="M28" s="840"/>
      <c r="N28" s="840"/>
      <c r="O28" s="840"/>
      <c r="P28" s="840"/>
      <c r="Q28" s="840"/>
      <c r="R28" s="840"/>
      <c r="S28" s="840">
        <v>27</v>
      </c>
      <c r="T28" s="840">
        <v>30</v>
      </c>
      <c r="U28" s="840"/>
      <c r="V28" s="840"/>
      <c r="W28" s="840"/>
      <c r="X28" s="840"/>
      <c r="Y28" s="839"/>
    </row>
    <row r="29" spans="2:25" ht="20.100000000000001" customHeight="1" thickBot="1" x14ac:dyDescent="0.25">
      <c r="B29" s="802"/>
      <c r="C29" s="754"/>
      <c r="D29" s="750"/>
      <c r="E29" s="754"/>
      <c r="F29" s="754"/>
      <c r="G29" s="844"/>
      <c r="H29" s="754"/>
      <c r="I29" s="754"/>
      <c r="J29" s="839"/>
      <c r="K29" s="839"/>
      <c r="L29" s="840"/>
      <c r="M29" s="840"/>
      <c r="N29" s="840"/>
      <c r="O29" s="840"/>
      <c r="P29" s="840"/>
      <c r="Q29" s="840"/>
      <c r="R29" s="840"/>
      <c r="S29" s="840">
        <v>28</v>
      </c>
      <c r="T29" s="840">
        <v>30</v>
      </c>
      <c r="U29" s="840"/>
      <c r="V29" s="840"/>
      <c r="W29" s="840"/>
      <c r="X29" s="840"/>
      <c r="Y29" s="839"/>
    </row>
    <row r="30" spans="2:25" ht="20.100000000000001" customHeight="1" thickBot="1" x14ac:dyDescent="0.25">
      <c r="B30" s="989" t="s">
        <v>89</v>
      </c>
      <c r="C30" s="924" t="s">
        <v>103</v>
      </c>
      <c r="D30" s="899" t="str">
        <f>IF((0.5*E5)&gt;10,"10 mg rect",(0.5*E5)&amp;" mg rect")</f>
        <v>0 mg rect</v>
      </c>
      <c r="E30" s="900" t="str">
        <f>"= "&amp;IF((0.5*E5)&gt;10,"5 ml van diazepam 2 mg/ml",ROUND((0.5*E5)/2,1)&amp;" ml van diazepam 2 mg/ml")</f>
        <v>= 0 ml van diazepam 2 mg/ml</v>
      </c>
      <c r="F30" s="900"/>
      <c r="G30" s="901" t="s">
        <v>12</v>
      </c>
      <c r="H30" s="754"/>
      <c r="I30" s="754"/>
      <c r="J30" s="839"/>
      <c r="K30" s="839"/>
      <c r="L30" s="840"/>
      <c r="M30" s="840"/>
      <c r="N30" s="840"/>
      <c r="O30" s="840"/>
      <c r="P30" s="840"/>
      <c r="Q30" s="840"/>
      <c r="R30" s="840"/>
      <c r="S30" s="840">
        <v>29</v>
      </c>
      <c r="T30" s="840">
        <v>30</v>
      </c>
      <c r="U30" s="840"/>
      <c r="V30" s="840"/>
      <c r="W30" s="840"/>
      <c r="X30" s="840"/>
      <c r="Y30" s="839"/>
    </row>
    <row r="31" spans="2:25" ht="20.100000000000001" customHeight="1" thickTop="1" thickBot="1" x14ac:dyDescent="0.25">
      <c r="B31" s="989"/>
      <c r="C31" s="732" t="s">
        <v>284</v>
      </c>
      <c r="D31" s="902" t="str">
        <f>IF((20*E5)&gt;1500,"1500 mg iv",20*E5&amp;" mg iv")</f>
        <v>0 mg iv</v>
      </c>
      <c r="E31" s="992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992"/>
      <c r="G31" s="907" t="s">
        <v>29</v>
      </c>
      <c r="H31" s="754"/>
      <c r="I31" s="754"/>
      <c r="J31" s="839"/>
      <c r="L31" s="840"/>
      <c r="M31" s="840"/>
      <c r="N31" s="840"/>
      <c r="O31" s="840"/>
      <c r="P31" s="840"/>
      <c r="Q31" s="840"/>
      <c r="R31" s="840"/>
      <c r="S31" s="840">
        <v>30</v>
      </c>
      <c r="T31" s="840">
        <v>30</v>
      </c>
      <c r="U31" s="840">
        <v>30</v>
      </c>
      <c r="V31" s="840"/>
      <c r="W31" s="840"/>
      <c r="X31" s="840"/>
      <c r="Y31" s="839"/>
    </row>
    <row r="32" spans="2:25" ht="20.100000000000001" customHeight="1" thickTop="1" thickBot="1" x14ac:dyDescent="0.25">
      <c r="B32" s="772"/>
      <c r="C32" s="732"/>
      <c r="D32" s="902"/>
      <c r="E32" s="992"/>
      <c r="F32" s="992"/>
      <c r="G32" s="903"/>
      <c r="H32" s="754"/>
      <c r="I32" s="754"/>
      <c r="L32" s="840"/>
      <c r="M32" s="840"/>
      <c r="N32" s="840"/>
      <c r="O32" s="840"/>
      <c r="P32" s="840"/>
      <c r="Q32" s="840"/>
      <c r="R32" s="840"/>
      <c r="S32" s="840">
        <v>31</v>
      </c>
      <c r="T32" s="840">
        <v>50</v>
      </c>
      <c r="U32" s="840"/>
      <c r="V32" s="840"/>
      <c r="W32" s="840"/>
      <c r="X32" s="840"/>
      <c r="Y32" s="839"/>
    </row>
    <row r="33" spans="2:25" ht="12.75" customHeight="1" thickTop="1" thickBot="1" x14ac:dyDescent="0.25">
      <c r="B33" s="772"/>
      <c r="C33" s="925" t="s">
        <v>368</v>
      </c>
      <c r="D33" s="904" t="str">
        <f>IF((0.1*E5)&gt;10,"10 mg iv",0.1*E5&amp;" mg iv")</f>
        <v>0 mg iv</v>
      </c>
      <c r="E33" s="905" t="str">
        <f>"= "&amp;IF((0.1*E5)&gt;15,10,ROUND((0.1*E5),1))&amp;" ml van dormicum 1 mg/ml iv"</f>
        <v>= 0 ml van dormicum 1 mg/ml iv</v>
      </c>
      <c r="F33" s="905"/>
      <c r="G33" s="908" t="s">
        <v>13</v>
      </c>
      <c r="H33" s="754"/>
      <c r="I33" s="754"/>
      <c r="L33" s="840"/>
      <c r="M33" s="840"/>
      <c r="N33" s="840"/>
      <c r="O33" s="840"/>
      <c r="P33" s="840"/>
      <c r="Q33" s="840"/>
      <c r="R33" s="840"/>
      <c r="S33" s="840">
        <v>32</v>
      </c>
      <c r="T33" s="840">
        <v>50</v>
      </c>
      <c r="U33" s="840"/>
      <c r="V33" s="840"/>
      <c r="W33" s="840"/>
      <c r="X33" s="840"/>
      <c r="Y33" s="839"/>
    </row>
    <row r="34" spans="2:25" ht="13.5" customHeight="1" thickBot="1" x14ac:dyDescent="0.25">
      <c r="B34" s="802"/>
      <c r="C34" s="754"/>
      <c r="D34" s="750"/>
      <c r="E34" s="754"/>
      <c r="F34" s="754"/>
      <c r="G34" s="848"/>
      <c r="H34" s="754"/>
      <c r="I34" s="754"/>
      <c r="L34" s="840"/>
      <c r="M34" s="840"/>
      <c r="N34" s="840"/>
      <c r="O34" s="840"/>
      <c r="P34" s="840"/>
      <c r="Q34" s="840"/>
      <c r="R34" s="840"/>
      <c r="S34" s="840">
        <v>33</v>
      </c>
      <c r="T34" s="840">
        <v>50</v>
      </c>
      <c r="U34" s="840"/>
      <c r="V34" s="840"/>
      <c r="W34" s="840"/>
      <c r="X34" s="840"/>
      <c r="Y34" s="839"/>
    </row>
    <row r="35" spans="2:25" ht="19.5" customHeight="1" thickBot="1" x14ac:dyDescent="0.25">
      <c r="B35" s="772" t="s">
        <v>90</v>
      </c>
      <c r="C35" s="924" t="s">
        <v>413</v>
      </c>
      <c r="D35" s="899" t="str">
        <f>IF(1*(E5&gt;25),"25 mg iv",1*(E5)&amp;" mg iv")</f>
        <v>0 mg iv</v>
      </c>
      <c r="E35" s="900"/>
      <c r="F35" s="900"/>
      <c r="G35" s="901" t="s">
        <v>14</v>
      </c>
      <c r="H35" s="754"/>
      <c r="I35" s="754"/>
      <c r="L35" s="840"/>
      <c r="M35" s="840"/>
      <c r="N35" s="840"/>
      <c r="O35" s="840"/>
      <c r="P35" s="840"/>
      <c r="Q35" s="840"/>
      <c r="R35" s="840"/>
      <c r="S35" s="840">
        <v>34</v>
      </c>
      <c r="T35" s="840">
        <v>50</v>
      </c>
      <c r="U35" s="840"/>
      <c r="V35" s="840"/>
      <c r="W35" s="840"/>
      <c r="X35" s="840"/>
      <c r="Y35" s="839"/>
    </row>
    <row r="36" spans="2:25" ht="19.5" customHeight="1" thickTop="1" thickBot="1" x14ac:dyDescent="0.25">
      <c r="B36" s="772"/>
      <c r="C36" s="925" t="s">
        <v>104</v>
      </c>
      <c r="D36" s="904" t="str">
        <f>IF(ROUND((0.5*E5),1)&gt;50,"50 gram iv",ROUND((0.5*E5),1)&amp;" gram iv")</f>
        <v>0 gram iv</v>
      </c>
      <c r="E36" s="905" t="str">
        <f>"= "&amp;IF(ROUND((0.5*E5),1)&gt;50,ROUND(50/0.15,0),ROUND((0.5*E5)/0.15,0))&amp;" ml van mannitol 15% in 30 min iv"</f>
        <v>= 0 ml van mannitol 15% in 30 min iv</v>
      </c>
      <c r="F36" s="905"/>
      <c r="G36" s="906" t="s">
        <v>15</v>
      </c>
      <c r="H36" s="754"/>
      <c r="I36" s="754"/>
      <c r="L36" s="840"/>
      <c r="M36" s="840"/>
      <c r="N36" s="840"/>
      <c r="O36" s="840"/>
      <c r="P36" s="840"/>
      <c r="Q36" s="840"/>
      <c r="R36" s="840"/>
      <c r="S36" s="840">
        <v>35</v>
      </c>
      <c r="T36" s="840">
        <v>50</v>
      </c>
      <c r="U36" s="840"/>
      <c r="V36" s="840"/>
      <c r="W36" s="840"/>
      <c r="X36" s="840"/>
      <c r="Y36" s="839"/>
    </row>
    <row r="37" spans="2:25" ht="25.5" customHeight="1" thickBot="1" x14ac:dyDescent="0.25">
      <c r="B37" s="802"/>
      <c r="C37" s="754"/>
      <c r="D37" s="750"/>
      <c r="E37" s="754"/>
      <c r="F37" s="754"/>
      <c r="G37" s="849"/>
      <c r="H37" s="754"/>
      <c r="I37" s="754"/>
      <c r="L37" s="840"/>
      <c r="M37" s="840"/>
      <c r="N37" s="840"/>
      <c r="O37" s="840"/>
      <c r="P37" s="840"/>
      <c r="Q37" s="840"/>
      <c r="R37" s="840"/>
      <c r="S37" s="840">
        <v>36</v>
      </c>
      <c r="T37" s="840">
        <v>50</v>
      </c>
      <c r="U37" s="840"/>
      <c r="V37" s="840"/>
      <c r="W37" s="840"/>
      <c r="X37" s="840"/>
      <c r="Y37" s="839"/>
    </row>
    <row r="38" spans="2:25" ht="19.5" customHeight="1" thickBot="1" x14ac:dyDescent="0.25">
      <c r="B38" s="772" t="s">
        <v>105</v>
      </c>
      <c r="C38" s="926" t="s">
        <v>309</v>
      </c>
      <c r="D38" s="899" t="str">
        <f ca="1">"AMV "&amp;ROUND(E5*8*VLOOKUP(C5,L2:M20,2)/1000,1)&amp;" L/min"</f>
        <v>AMV 0 L/min</v>
      </c>
      <c r="E38" s="900"/>
      <c r="F38" s="900" t="s">
        <v>106</v>
      </c>
      <c r="G38" s="909"/>
      <c r="H38" s="754"/>
      <c r="I38" s="754"/>
      <c r="L38" s="840"/>
      <c r="M38" s="840"/>
      <c r="N38" s="840"/>
      <c r="O38" s="840"/>
      <c r="P38" s="840"/>
      <c r="Q38" s="840"/>
      <c r="R38" s="840"/>
      <c r="S38" s="840"/>
      <c r="T38" s="840"/>
      <c r="U38" s="840"/>
      <c r="V38" s="840"/>
      <c r="W38" s="840"/>
      <c r="X38" s="840"/>
      <c r="Y38" s="839"/>
    </row>
    <row r="39" spans="2:25" ht="19.5" customHeight="1" thickTop="1" thickBot="1" x14ac:dyDescent="0.25">
      <c r="B39" s="772"/>
      <c r="C39" s="732"/>
      <c r="D39" s="902" t="str">
        <f ca="1">"frequentie "&amp;VLOOKUP(C5,L2:M20,2)&amp;"/min"</f>
        <v>frequentie 15/min</v>
      </c>
      <c r="E39" s="720"/>
      <c r="F39" s="720" t="s">
        <v>107</v>
      </c>
      <c r="G39" s="721"/>
      <c r="H39" s="754"/>
      <c r="I39" s="754"/>
      <c r="L39" s="840"/>
      <c r="M39" s="840"/>
      <c r="N39" s="840"/>
      <c r="O39" s="840"/>
      <c r="P39" s="840"/>
      <c r="Q39" s="840"/>
      <c r="R39" s="840"/>
      <c r="S39" s="840">
        <v>37</v>
      </c>
      <c r="T39" s="840">
        <v>50</v>
      </c>
      <c r="U39" s="840"/>
      <c r="V39" s="840"/>
      <c r="W39" s="840"/>
      <c r="X39" s="840"/>
      <c r="Y39" s="839"/>
    </row>
    <row r="40" spans="2:25" ht="19.5" customHeight="1" thickTop="1" thickBot="1" x14ac:dyDescent="0.25">
      <c r="B40" s="772"/>
      <c r="C40" s="732"/>
      <c r="D40" s="902" t="s">
        <v>444</v>
      </c>
      <c r="E40" s="720"/>
      <c r="F40" s="720" t="s">
        <v>431</v>
      </c>
      <c r="G40" s="721"/>
      <c r="H40" s="754"/>
      <c r="I40" s="754"/>
      <c r="L40" s="840"/>
      <c r="M40" s="840"/>
      <c r="N40" s="840"/>
      <c r="O40" s="840"/>
      <c r="P40" s="840"/>
      <c r="Q40" s="840"/>
      <c r="R40" s="840"/>
      <c r="S40" s="840">
        <v>38</v>
      </c>
      <c r="T40" s="840">
        <v>50</v>
      </c>
      <c r="U40" s="840"/>
      <c r="V40" s="840"/>
      <c r="W40" s="840"/>
      <c r="X40" s="840"/>
      <c r="Y40" s="839"/>
    </row>
    <row r="41" spans="2:25" ht="19.5" customHeight="1" thickTop="1" thickBot="1" x14ac:dyDescent="0.25">
      <c r="B41" s="772"/>
      <c r="C41" s="732"/>
      <c r="D41" s="902" t="s">
        <v>432</v>
      </c>
      <c r="E41" s="720"/>
      <c r="F41" s="720"/>
      <c r="G41" s="721"/>
      <c r="H41" s="754"/>
      <c r="I41" s="754"/>
      <c r="L41" s="840"/>
      <c r="M41" s="840"/>
      <c r="N41" s="840"/>
      <c r="O41" s="840"/>
      <c r="P41" s="840"/>
      <c r="Q41" s="840"/>
      <c r="R41" s="840"/>
      <c r="S41" s="840">
        <v>39</v>
      </c>
      <c r="T41" s="840">
        <v>50</v>
      </c>
      <c r="U41" s="840"/>
      <c r="V41" s="840"/>
      <c r="W41" s="840"/>
      <c r="X41" s="840"/>
      <c r="Y41" s="839"/>
    </row>
    <row r="42" spans="2:25" ht="19.5" customHeight="1" thickTop="1" thickBot="1" x14ac:dyDescent="0.25">
      <c r="B42" s="772"/>
      <c r="C42" s="925"/>
      <c r="D42" s="904"/>
      <c r="E42" s="905"/>
      <c r="F42" s="905"/>
      <c r="G42" s="910"/>
      <c r="H42" s="754"/>
      <c r="I42" s="754"/>
      <c r="L42" s="840"/>
      <c r="M42" s="840"/>
      <c r="N42" s="840"/>
      <c r="O42" s="840"/>
      <c r="P42" s="840"/>
      <c r="Q42" s="840"/>
      <c r="R42" s="840"/>
      <c r="S42" s="840">
        <v>40</v>
      </c>
      <c r="T42" s="840">
        <v>50</v>
      </c>
      <c r="U42" s="840"/>
      <c r="V42" s="840"/>
      <c r="W42" s="840"/>
      <c r="X42" s="840"/>
      <c r="Y42" s="839"/>
    </row>
    <row r="43" spans="2:25" ht="19.5" customHeight="1" x14ac:dyDescent="0.2">
      <c r="C43" s="754"/>
      <c r="D43" s="754"/>
      <c r="E43" s="754"/>
      <c r="F43" s="754"/>
      <c r="G43" s="754"/>
      <c r="H43" s="754"/>
      <c r="I43" s="754"/>
      <c r="L43" s="840"/>
      <c r="M43" s="840"/>
      <c r="N43" s="840"/>
      <c r="O43" s="840"/>
      <c r="P43" s="840"/>
      <c r="Q43" s="840"/>
      <c r="R43" s="840"/>
      <c r="S43" s="840">
        <v>41</v>
      </c>
      <c r="T43" s="840">
        <v>50</v>
      </c>
      <c r="U43" s="840"/>
      <c r="V43" s="840"/>
      <c r="W43" s="840"/>
      <c r="X43" s="840"/>
      <c r="Y43" s="839"/>
    </row>
    <row r="44" spans="2:25" ht="19.5" customHeight="1" x14ac:dyDescent="0.2">
      <c r="B44" s="778" t="s">
        <v>82</v>
      </c>
      <c r="C44" s="898"/>
      <c r="D44" s="754"/>
      <c r="E44" s="754"/>
      <c r="F44" s="754"/>
      <c r="G44" s="754"/>
      <c r="H44" s="754"/>
      <c r="I44" s="754"/>
      <c r="L44" s="840"/>
      <c r="M44" s="840"/>
      <c r="N44" s="840"/>
      <c r="O44" s="840"/>
      <c r="P44" s="840"/>
      <c r="Q44" s="840"/>
      <c r="R44" s="840"/>
      <c r="S44" s="840">
        <v>42</v>
      </c>
      <c r="T44" s="840">
        <v>50</v>
      </c>
      <c r="U44" s="840"/>
      <c r="V44" s="840"/>
      <c r="W44" s="840"/>
      <c r="X44" s="840"/>
      <c r="Y44" s="839"/>
    </row>
    <row r="45" spans="2:25" ht="19.5" customHeight="1" x14ac:dyDescent="0.2">
      <c r="B45" s="802"/>
      <c r="C45" s="754"/>
      <c r="D45" s="754"/>
      <c r="E45" s="754"/>
      <c r="F45" s="754"/>
      <c r="G45" s="754"/>
      <c r="H45" s="754"/>
      <c r="I45" s="754"/>
      <c r="L45" s="840"/>
      <c r="M45" s="840"/>
      <c r="N45" s="840"/>
      <c r="O45" s="840"/>
      <c r="P45" s="840"/>
      <c r="Q45" s="840"/>
      <c r="R45" s="840"/>
      <c r="S45" s="840">
        <v>43</v>
      </c>
      <c r="T45" s="840">
        <v>50</v>
      </c>
      <c r="U45" s="840"/>
      <c r="V45" s="840"/>
      <c r="W45" s="840"/>
      <c r="X45" s="840"/>
      <c r="Y45" s="839"/>
    </row>
    <row r="46" spans="2:25" ht="19.5" customHeight="1" x14ac:dyDescent="0.2">
      <c r="B46" s="802"/>
      <c r="C46" s="754"/>
      <c r="D46" s="754"/>
      <c r="E46" s="754"/>
      <c r="F46" s="754"/>
      <c r="G46" s="754"/>
      <c r="H46" s="754"/>
      <c r="I46" s="754"/>
      <c r="L46" s="840"/>
      <c r="M46" s="840"/>
      <c r="N46" s="840"/>
      <c r="O46" s="840"/>
      <c r="P46" s="840"/>
      <c r="Q46" s="840"/>
      <c r="R46" s="840"/>
      <c r="S46" s="840">
        <v>44</v>
      </c>
      <c r="T46" s="840">
        <v>50</v>
      </c>
      <c r="U46" s="840"/>
      <c r="V46" s="840"/>
      <c r="W46" s="840"/>
      <c r="X46" s="840"/>
      <c r="Y46" s="839"/>
    </row>
    <row r="47" spans="2:25" x14ac:dyDescent="0.2">
      <c r="B47" s="802"/>
      <c r="C47" s="754"/>
      <c r="D47" s="754"/>
      <c r="E47" s="754"/>
      <c r="F47" s="754"/>
      <c r="G47" s="754"/>
      <c r="H47" s="754"/>
      <c r="I47" s="754"/>
      <c r="L47" s="840"/>
      <c r="M47" s="840"/>
      <c r="N47" s="840"/>
      <c r="O47" s="840"/>
      <c r="P47" s="840"/>
      <c r="Q47" s="840"/>
      <c r="R47" s="840"/>
      <c r="S47" s="840">
        <v>45</v>
      </c>
      <c r="T47" s="840">
        <v>50</v>
      </c>
      <c r="U47" s="840"/>
      <c r="V47" s="840"/>
      <c r="W47" s="840"/>
      <c r="X47" s="840"/>
      <c r="Y47" s="839"/>
    </row>
    <row r="48" spans="2:25" x14ac:dyDescent="0.2">
      <c r="B48" s="802"/>
      <c r="C48" s="754"/>
      <c r="D48" s="754"/>
      <c r="E48" s="754"/>
      <c r="F48" s="754"/>
      <c r="G48" s="754"/>
      <c r="H48" s="754"/>
      <c r="I48" s="754"/>
      <c r="L48" s="840"/>
      <c r="M48" s="840"/>
      <c r="N48" s="840"/>
      <c r="O48" s="840"/>
      <c r="P48" s="840"/>
      <c r="Q48" s="840"/>
      <c r="R48" s="840"/>
      <c r="S48" s="840">
        <v>46</v>
      </c>
      <c r="T48" s="840">
        <v>50</v>
      </c>
      <c r="U48" s="840"/>
      <c r="V48" s="840"/>
      <c r="W48" s="840"/>
      <c r="X48" s="840"/>
      <c r="Y48" s="839"/>
    </row>
    <row r="49" spans="2:25" x14ac:dyDescent="0.2">
      <c r="B49" s="802"/>
      <c r="C49" s="754"/>
      <c r="D49" s="754"/>
      <c r="E49" s="754"/>
      <c r="F49" s="754"/>
      <c r="G49" s="754"/>
      <c r="H49" s="754"/>
      <c r="I49" s="754"/>
      <c r="L49" s="840"/>
      <c r="M49" s="840"/>
      <c r="N49" s="840"/>
      <c r="O49" s="840"/>
      <c r="P49" s="840"/>
      <c r="Q49" s="840"/>
      <c r="R49" s="840"/>
      <c r="S49" s="840">
        <v>47</v>
      </c>
      <c r="T49" s="840">
        <v>50</v>
      </c>
      <c r="U49" s="840"/>
      <c r="V49" s="840"/>
      <c r="W49" s="840"/>
      <c r="X49" s="840"/>
      <c r="Y49" s="839"/>
    </row>
    <row r="50" spans="2:25" x14ac:dyDescent="0.2">
      <c r="B50" s="802"/>
      <c r="C50" s="754"/>
      <c r="D50" s="754"/>
      <c r="E50" s="754"/>
      <c r="F50" s="754"/>
      <c r="G50" s="754"/>
      <c r="H50" s="754"/>
      <c r="I50" s="754"/>
      <c r="L50" s="840"/>
      <c r="M50" s="840"/>
      <c r="N50" s="840"/>
      <c r="O50" s="840"/>
      <c r="P50" s="840"/>
      <c r="Q50" s="840"/>
      <c r="R50" s="840"/>
      <c r="S50" s="840">
        <v>48</v>
      </c>
      <c r="T50" s="840">
        <v>50</v>
      </c>
      <c r="U50" s="840"/>
      <c r="V50" s="840"/>
      <c r="W50" s="840"/>
      <c r="X50" s="840"/>
      <c r="Y50" s="839"/>
    </row>
    <row r="51" spans="2:25" x14ac:dyDescent="0.2">
      <c r="B51" s="802"/>
      <c r="C51" s="754"/>
      <c r="D51" s="754"/>
      <c r="E51" s="754"/>
      <c r="F51" s="754"/>
      <c r="G51" s="754"/>
      <c r="H51" s="754"/>
      <c r="I51" s="754"/>
      <c r="L51" s="840"/>
      <c r="M51" s="840"/>
      <c r="N51" s="840"/>
      <c r="O51" s="840"/>
      <c r="P51" s="840"/>
      <c r="Q51" s="840"/>
      <c r="R51" s="840"/>
      <c r="S51" s="840">
        <v>49</v>
      </c>
      <c r="T51" s="840">
        <v>50</v>
      </c>
      <c r="U51" s="840"/>
      <c r="V51" s="840"/>
      <c r="W51" s="840"/>
      <c r="X51" s="840"/>
      <c r="Y51" s="839"/>
    </row>
    <row r="52" spans="2:25" x14ac:dyDescent="0.2">
      <c r="B52" s="802"/>
      <c r="C52" s="754"/>
      <c r="D52" s="754"/>
      <c r="E52" s="754"/>
      <c r="F52" s="754"/>
      <c r="G52" s="754"/>
      <c r="H52" s="754"/>
      <c r="I52" s="754"/>
      <c r="L52" s="840"/>
      <c r="M52" s="840"/>
      <c r="N52" s="840"/>
      <c r="O52" s="840"/>
      <c r="P52" s="840"/>
      <c r="Q52" s="840"/>
      <c r="R52" s="840"/>
      <c r="S52" s="840">
        <v>50</v>
      </c>
      <c r="T52" s="840">
        <v>50</v>
      </c>
      <c r="U52" s="840">
        <v>50</v>
      </c>
      <c r="V52" s="840"/>
      <c r="W52" s="840"/>
      <c r="X52" s="840"/>
      <c r="Y52" s="839"/>
    </row>
    <row r="53" spans="2:25" x14ac:dyDescent="0.2">
      <c r="B53" s="802"/>
      <c r="C53" s="754"/>
      <c r="D53" s="754"/>
      <c r="E53" s="754"/>
      <c r="F53" s="754"/>
      <c r="G53" s="754"/>
      <c r="H53" s="754"/>
      <c r="I53" s="754"/>
      <c r="L53" s="840"/>
      <c r="M53" s="840"/>
      <c r="N53" s="840"/>
      <c r="O53" s="840"/>
      <c r="P53" s="840"/>
      <c r="Q53" s="840"/>
      <c r="R53" s="840"/>
      <c r="S53" s="840">
        <v>51</v>
      </c>
      <c r="T53" s="840">
        <v>70</v>
      </c>
      <c r="U53" s="840"/>
      <c r="V53" s="840"/>
      <c r="W53" s="840"/>
      <c r="X53" s="840"/>
      <c r="Y53" s="839"/>
    </row>
    <row r="54" spans="2:25" x14ac:dyDescent="0.2">
      <c r="B54" s="802"/>
      <c r="C54" s="754"/>
      <c r="D54" s="754"/>
      <c r="E54" s="754"/>
      <c r="F54" s="754"/>
      <c r="G54" s="754"/>
      <c r="H54" s="754"/>
      <c r="I54" s="754"/>
      <c r="L54" s="840"/>
      <c r="M54" s="840"/>
      <c r="N54" s="840"/>
      <c r="O54" s="840"/>
      <c r="P54" s="840"/>
      <c r="Q54" s="840"/>
      <c r="R54" s="840"/>
      <c r="S54" s="840">
        <v>52</v>
      </c>
      <c r="T54" s="840">
        <v>70</v>
      </c>
      <c r="U54" s="840"/>
      <c r="V54" s="840"/>
      <c r="W54" s="840"/>
      <c r="X54" s="840"/>
      <c r="Y54" s="839"/>
    </row>
    <row r="55" spans="2:25" x14ac:dyDescent="0.2">
      <c r="B55" s="802"/>
      <c r="C55" s="754"/>
      <c r="D55" s="754"/>
      <c r="E55" s="754"/>
      <c r="F55" s="754"/>
      <c r="G55" s="754"/>
      <c r="H55" s="754"/>
      <c r="I55" s="754"/>
      <c r="L55" s="840"/>
      <c r="M55" s="840"/>
      <c r="N55" s="840"/>
      <c r="O55" s="840"/>
      <c r="P55" s="840"/>
      <c r="Q55" s="840"/>
      <c r="R55" s="840"/>
      <c r="S55" s="840">
        <v>53</v>
      </c>
      <c r="T55" s="840">
        <v>70</v>
      </c>
      <c r="U55" s="840"/>
      <c r="V55" s="840"/>
      <c r="W55" s="840"/>
      <c r="X55" s="840"/>
      <c r="Y55" s="839"/>
    </row>
    <row r="56" spans="2:25" x14ac:dyDescent="0.2">
      <c r="B56" s="802"/>
      <c r="C56" s="754"/>
      <c r="D56" s="754"/>
      <c r="E56" s="754"/>
      <c r="F56" s="754"/>
      <c r="G56" s="754"/>
      <c r="H56" s="754"/>
      <c r="I56" s="754"/>
      <c r="L56" s="840"/>
      <c r="M56" s="840"/>
      <c r="N56" s="840"/>
      <c r="O56" s="840"/>
      <c r="P56" s="840"/>
      <c r="Q56" s="840"/>
      <c r="R56" s="840"/>
      <c r="S56" s="840">
        <v>54</v>
      </c>
      <c r="T56" s="840">
        <v>70</v>
      </c>
      <c r="U56" s="840"/>
      <c r="V56" s="840"/>
      <c r="W56" s="840"/>
      <c r="X56" s="840"/>
      <c r="Y56" s="839"/>
    </row>
    <row r="57" spans="2:25" x14ac:dyDescent="0.2">
      <c r="B57" s="802"/>
      <c r="C57" s="754"/>
      <c r="D57" s="754"/>
      <c r="E57" s="754"/>
      <c r="F57" s="754"/>
      <c r="G57" s="754"/>
      <c r="H57" s="754"/>
      <c r="I57" s="754"/>
      <c r="L57" s="840"/>
      <c r="M57" s="840"/>
      <c r="N57" s="840"/>
      <c r="O57" s="840"/>
      <c r="P57" s="840"/>
      <c r="Q57" s="840"/>
      <c r="R57" s="840"/>
      <c r="S57" s="840">
        <v>55</v>
      </c>
      <c r="T57" s="840">
        <v>70</v>
      </c>
      <c r="U57" s="840"/>
      <c r="V57" s="840"/>
      <c r="W57" s="840"/>
      <c r="X57" s="840"/>
      <c r="Y57" s="839"/>
    </row>
    <row r="58" spans="2:25" x14ac:dyDescent="0.2">
      <c r="B58" s="802"/>
      <c r="C58" s="754"/>
      <c r="D58" s="754"/>
      <c r="E58" s="754"/>
      <c r="F58" s="754"/>
      <c r="G58" s="754"/>
      <c r="H58" s="754"/>
      <c r="I58" s="754"/>
      <c r="L58" s="840"/>
      <c r="M58" s="840"/>
      <c r="N58" s="840"/>
      <c r="O58" s="840"/>
      <c r="P58" s="840"/>
      <c r="Q58" s="840"/>
      <c r="R58" s="840"/>
      <c r="S58" s="840">
        <v>56</v>
      </c>
      <c r="T58" s="840">
        <v>70</v>
      </c>
      <c r="U58" s="840"/>
      <c r="V58" s="840"/>
      <c r="W58" s="840"/>
      <c r="X58" s="840"/>
      <c r="Y58" s="839"/>
    </row>
    <row r="59" spans="2:25" x14ac:dyDescent="0.2">
      <c r="B59" s="802"/>
      <c r="C59" s="754"/>
      <c r="D59" s="754"/>
      <c r="E59" s="754"/>
      <c r="F59" s="754"/>
      <c r="G59" s="754"/>
      <c r="H59" s="754"/>
      <c r="I59" s="754"/>
      <c r="L59" s="840"/>
      <c r="M59" s="840"/>
      <c r="N59" s="840"/>
      <c r="O59" s="840"/>
      <c r="P59" s="840"/>
      <c r="Q59" s="840"/>
      <c r="R59" s="840"/>
      <c r="S59" s="840">
        <v>57</v>
      </c>
      <c r="T59" s="840">
        <v>70</v>
      </c>
      <c r="U59" s="840"/>
      <c r="V59" s="840"/>
      <c r="W59" s="840"/>
      <c r="X59" s="840"/>
      <c r="Y59" s="839"/>
    </row>
    <row r="60" spans="2:25" x14ac:dyDescent="0.2">
      <c r="B60" s="802"/>
      <c r="C60" s="754"/>
      <c r="D60" s="754"/>
      <c r="E60" s="754"/>
      <c r="F60" s="754"/>
      <c r="G60" s="754"/>
      <c r="H60" s="754"/>
      <c r="I60" s="754"/>
      <c r="L60" s="840"/>
      <c r="M60" s="840"/>
      <c r="N60" s="840"/>
      <c r="O60" s="840"/>
      <c r="P60" s="840"/>
      <c r="Q60" s="840"/>
      <c r="R60" s="840"/>
      <c r="S60" s="840">
        <v>58</v>
      </c>
      <c r="T60" s="840">
        <v>70</v>
      </c>
      <c r="U60" s="840"/>
      <c r="V60" s="840"/>
      <c r="W60" s="840"/>
      <c r="X60" s="840"/>
      <c r="Y60" s="839"/>
    </row>
    <row r="61" spans="2:25" x14ac:dyDescent="0.2">
      <c r="B61" s="802"/>
      <c r="C61" s="754"/>
      <c r="D61" s="754"/>
      <c r="E61" s="754"/>
      <c r="F61" s="754"/>
      <c r="G61" s="754"/>
      <c r="H61" s="754"/>
      <c r="I61" s="754"/>
      <c r="L61" s="840"/>
      <c r="M61" s="840"/>
      <c r="N61" s="840"/>
      <c r="O61" s="840"/>
      <c r="P61" s="840"/>
      <c r="Q61" s="840"/>
      <c r="R61" s="840"/>
      <c r="S61" s="840">
        <v>59</v>
      </c>
      <c r="T61" s="840">
        <v>70</v>
      </c>
      <c r="U61" s="840"/>
      <c r="V61" s="840"/>
      <c r="W61" s="840"/>
      <c r="X61" s="840"/>
      <c r="Y61" s="839"/>
    </row>
    <row r="62" spans="2:25" x14ac:dyDescent="0.2">
      <c r="B62" s="802"/>
      <c r="C62" s="754"/>
      <c r="D62" s="754"/>
      <c r="E62" s="754"/>
      <c r="F62" s="754"/>
      <c r="G62" s="754"/>
      <c r="H62" s="754"/>
      <c r="I62" s="754"/>
      <c r="L62" s="840"/>
      <c r="M62" s="840"/>
      <c r="N62" s="840"/>
      <c r="O62" s="840"/>
      <c r="P62" s="840"/>
      <c r="Q62" s="840"/>
      <c r="R62" s="840"/>
      <c r="S62" s="840">
        <v>60</v>
      </c>
      <c r="T62" s="840">
        <v>70</v>
      </c>
      <c r="U62" s="840"/>
      <c r="V62" s="840"/>
      <c r="W62" s="840"/>
      <c r="X62" s="840"/>
      <c r="Y62" s="839"/>
    </row>
    <row r="63" spans="2:25" x14ac:dyDescent="0.2">
      <c r="B63" s="802"/>
      <c r="C63" s="754"/>
      <c r="D63" s="754"/>
      <c r="E63" s="754"/>
      <c r="F63" s="754"/>
      <c r="G63" s="754"/>
      <c r="H63" s="754"/>
      <c r="I63" s="754"/>
      <c r="L63" s="840"/>
      <c r="M63" s="840"/>
      <c r="N63" s="840"/>
      <c r="O63" s="840"/>
      <c r="P63" s="840"/>
      <c r="Q63" s="840"/>
      <c r="R63" s="840"/>
      <c r="S63" s="840">
        <v>61</v>
      </c>
      <c r="T63" s="840">
        <v>70</v>
      </c>
      <c r="U63" s="840"/>
      <c r="V63" s="840"/>
      <c r="W63" s="840"/>
      <c r="X63" s="840"/>
      <c r="Y63" s="839"/>
    </row>
    <row r="64" spans="2:25" x14ac:dyDescent="0.2">
      <c r="B64" s="802"/>
      <c r="C64" s="754"/>
      <c r="D64" s="754"/>
      <c r="E64" s="754"/>
      <c r="F64" s="754"/>
      <c r="G64" s="754"/>
      <c r="H64" s="754"/>
      <c r="I64" s="754"/>
      <c r="L64" s="840"/>
      <c r="M64" s="840"/>
      <c r="N64" s="840"/>
      <c r="O64" s="840"/>
      <c r="P64" s="840"/>
      <c r="Q64" s="840"/>
      <c r="R64" s="840"/>
      <c r="S64" s="840">
        <v>62</v>
      </c>
      <c r="T64" s="840">
        <v>70</v>
      </c>
      <c r="U64" s="840"/>
      <c r="V64" s="840"/>
      <c r="W64" s="840"/>
      <c r="X64" s="840"/>
      <c r="Y64" s="839"/>
    </row>
    <row r="65" spans="2:25" x14ac:dyDescent="0.2">
      <c r="B65" s="802"/>
      <c r="C65" s="754"/>
      <c r="D65" s="754"/>
      <c r="E65" s="754"/>
      <c r="F65" s="754"/>
      <c r="G65" s="754"/>
      <c r="H65" s="754"/>
      <c r="I65" s="754"/>
      <c r="L65" s="840"/>
      <c r="M65" s="840"/>
      <c r="N65" s="840"/>
      <c r="O65" s="840"/>
      <c r="P65" s="840"/>
      <c r="Q65" s="840"/>
      <c r="R65" s="840"/>
      <c r="S65" s="840">
        <v>63</v>
      </c>
      <c r="T65" s="840">
        <v>70</v>
      </c>
      <c r="U65" s="840"/>
      <c r="V65" s="840"/>
      <c r="W65" s="840"/>
      <c r="X65" s="840"/>
      <c r="Y65" s="839"/>
    </row>
    <row r="66" spans="2:25" x14ac:dyDescent="0.2">
      <c r="B66" s="802"/>
      <c r="C66" s="754"/>
      <c r="D66" s="754"/>
      <c r="E66" s="754"/>
      <c r="F66" s="754"/>
      <c r="G66" s="754"/>
      <c r="H66" s="754"/>
      <c r="I66" s="754"/>
      <c r="L66" s="840"/>
      <c r="M66" s="840"/>
      <c r="N66" s="840"/>
      <c r="O66" s="840"/>
      <c r="P66" s="840"/>
      <c r="Q66" s="840"/>
      <c r="R66" s="840"/>
      <c r="S66" s="840">
        <v>64</v>
      </c>
      <c r="T66" s="840">
        <v>70</v>
      </c>
      <c r="U66" s="840"/>
      <c r="V66" s="840"/>
      <c r="W66" s="840"/>
      <c r="X66" s="840"/>
      <c r="Y66" s="839"/>
    </row>
    <row r="67" spans="2:25" x14ac:dyDescent="0.2">
      <c r="B67" s="802"/>
      <c r="C67" s="754"/>
      <c r="D67" s="754"/>
      <c r="E67" s="754"/>
      <c r="F67" s="754"/>
      <c r="G67" s="754"/>
      <c r="H67" s="754"/>
      <c r="I67" s="754"/>
      <c r="L67" s="840"/>
      <c r="M67" s="840"/>
      <c r="N67" s="840"/>
      <c r="O67" s="840"/>
      <c r="P67" s="840"/>
      <c r="Q67" s="840"/>
      <c r="R67" s="840"/>
      <c r="S67" s="840">
        <v>65</v>
      </c>
      <c r="T67" s="840">
        <v>70</v>
      </c>
      <c r="U67" s="840"/>
      <c r="V67" s="840"/>
      <c r="W67" s="840"/>
      <c r="X67" s="840"/>
      <c r="Y67" s="839"/>
    </row>
    <row r="68" spans="2:25" x14ac:dyDescent="0.2">
      <c r="B68" s="802"/>
      <c r="C68" s="754"/>
      <c r="D68" s="754"/>
      <c r="E68" s="754"/>
      <c r="F68" s="754"/>
      <c r="G68" s="754"/>
      <c r="H68" s="754"/>
      <c r="I68" s="754"/>
      <c r="L68" s="840"/>
      <c r="M68" s="840"/>
      <c r="N68" s="840"/>
      <c r="O68" s="840"/>
      <c r="P68" s="840"/>
      <c r="Q68" s="840"/>
      <c r="R68" s="840"/>
      <c r="S68" s="840">
        <v>66</v>
      </c>
      <c r="T68" s="840">
        <v>70</v>
      </c>
      <c r="U68" s="840"/>
      <c r="V68" s="840"/>
      <c r="W68" s="840"/>
      <c r="X68" s="840"/>
      <c r="Y68" s="839"/>
    </row>
    <row r="69" spans="2:25" x14ac:dyDescent="0.2">
      <c r="B69" s="802"/>
      <c r="C69" s="754"/>
      <c r="D69" s="754"/>
      <c r="E69" s="754"/>
      <c r="F69" s="754"/>
      <c r="G69" s="754"/>
      <c r="H69" s="754"/>
      <c r="I69" s="754"/>
      <c r="L69" s="840"/>
      <c r="M69" s="840"/>
      <c r="N69" s="840"/>
      <c r="O69" s="840"/>
      <c r="P69" s="840"/>
      <c r="Q69" s="840"/>
      <c r="R69" s="840"/>
      <c r="S69" s="840">
        <v>67</v>
      </c>
      <c r="T69" s="840">
        <v>70</v>
      </c>
      <c r="U69" s="840"/>
      <c r="V69" s="840"/>
      <c r="W69" s="840"/>
      <c r="X69" s="840"/>
      <c r="Y69" s="839"/>
    </row>
    <row r="70" spans="2:25" x14ac:dyDescent="0.2">
      <c r="B70" s="802"/>
      <c r="C70" s="754"/>
      <c r="D70" s="754"/>
      <c r="E70" s="754"/>
      <c r="F70" s="754"/>
      <c r="G70" s="754"/>
      <c r="H70" s="754"/>
      <c r="I70" s="754"/>
      <c r="L70" s="840"/>
      <c r="M70" s="840"/>
      <c r="N70" s="840"/>
      <c r="O70" s="840"/>
      <c r="P70" s="840"/>
      <c r="Q70" s="840"/>
      <c r="R70" s="840"/>
      <c r="S70" s="840">
        <v>68</v>
      </c>
      <c r="T70" s="840">
        <v>70</v>
      </c>
      <c r="U70" s="840"/>
      <c r="V70" s="840"/>
      <c r="W70" s="840"/>
      <c r="X70" s="840"/>
      <c r="Y70" s="839"/>
    </row>
    <row r="71" spans="2:25" x14ac:dyDescent="0.2">
      <c r="B71" s="802"/>
      <c r="C71" s="754"/>
      <c r="D71" s="754"/>
      <c r="E71" s="754"/>
      <c r="F71" s="754"/>
      <c r="G71" s="754"/>
      <c r="H71" s="754"/>
      <c r="I71" s="754"/>
      <c r="L71" s="840"/>
      <c r="M71" s="840"/>
      <c r="N71" s="840"/>
      <c r="O71" s="840"/>
      <c r="P71" s="840"/>
      <c r="Q71" s="840"/>
      <c r="R71" s="840"/>
      <c r="S71" s="840">
        <v>69</v>
      </c>
      <c r="T71" s="840">
        <v>70</v>
      </c>
      <c r="U71" s="840"/>
      <c r="V71" s="840"/>
      <c r="W71" s="840"/>
      <c r="X71" s="840"/>
      <c r="Y71" s="839"/>
    </row>
    <row r="72" spans="2:25" x14ac:dyDescent="0.2">
      <c r="B72" s="802"/>
      <c r="C72" s="754"/>
      <c r="D72" s="754"/>
      <c r="E72" s="754"/>
      <c r="F72" s="754"/>
      <c r="G72" s="754"/>
      <c r="H72" s="754"/>
      <c r="I72" s="754"/>
      <c r="L72" s="840"/>
      <c r="M72" s="840"/>
      <c r="N72" s="840"/>
      <c r="O72" s="840"/>
      <c r="P72" s="840"/>
      <c r="Q72" s="840"/>
      <c r="R72" s="840"/>
      <c r="S72" s="840">
        <v>70</v>
      </c>
      <c r="T72" s="840">
        <v>70</v>
      </c>
      <c r="U72" s="840">
        <v>70</v>
      </c>
      <c r="V72" s="840"/>
      <c r="W72" s="840"/>
      <c r="X72" s="840"/>
      <c r="Y72" s="839"/>
    </row>
    <row r="73" spans="2:25" x14ac:dyDescent="0.2">
      <c r="B73" s="802"/>
      <c r="C73" s="754"/>
      <c r="D73" s="754"/>
      <c r="E73" s="754"/>
      <c r="F73" s="754"/>
      <c r="G73" s="754"/>
      <c r="H73" s="754"/>
      <c r="I73" s="754"/>
      <c r="L73" s="840"/>
      <c r="M73" s="840"/>
      <c r="N73" s="840"/>
      <c r="O73" s="840"/>
      <c r="P73" s="840"/>
      <c r="Q73" s="840"/>
      <c r="R73" s="840"/>
      <c r="S73" s="840">
        <v>71</v>
      </c>
      <c r="T73" s="840">
        <v>100</v>
      </c>
      <c r="U73" s="840"/>
      <c r="V73" s="840"/>
      <c r="W73" s="840"/>
      <c r="X73" s="840"/>
      <c r="Y73" s="839"/>
    </row>
    <row r="74" spans="2:25" x14ac:dyDescent="0.2">
      <c r="B74" s="802"/>
      <c r="C74" s="754"/>
      <c r="D74" s="754"/>
      <c r="E74" s="754"/>
      <c r="F74" s="754"/>
      <c r="G74" s="754"/>
      <c r="H74" s="754"/>
      <c r="I74" s="754"/>
      <c r="L74" s="840"/>
      <c r="M74" s="840"/>
      <c r="N74" s="840"/>
      <c r="O74" s="840"/>
      <c r="P74" s="840"/>
      <c r="Q74" s="840"/>
      <c r="R74" s="840"/>
      <c r="S74" s="840">
        <v>72</v>
      </c>
      <c r="T74" s="840">
        <v>100</v>
      </c>
      <c r="U74" s="840"/>
      <c r="V74" s="840"/>
      <c r="W74" s="840"/>
      <c r="X74" s="840"/>
      <c r="Y74" s="839"/>
    </row>
    <row r="75" spans="2:25" x14ac:dyDescent="0.2">
      <c r="B75" s="802"/>
      <c r="C75" s="754"/>
      <c r="D75" s="754"/>
      <c r="E75" s="754"/>
      <c r="F75" s="754"/>
      <c r="G75" s="754"/>
      <c r="H75" s="754"/>
      <c r="I75" s="754"/>
      <c r="L75" s="840"/>
      <c r="M75" s="840"/>
      <c r="N75" s="840"/>
      <c r="O75" s="840"/>
      <c r="P75" s="840"/>
      <c r="Q75" s="840"/>
      <c r="R75" s="840"/>
      <c r="S75" s="840">
        <v>73</v>
      </c>
      <c r="T75" s="840">
        <v>100</v>
      </c>
      <c r="U75" s="840"/>
      <c r="V75" s="840"/>
      <c r="W75" s="840"/>
      <c r="X75" s="840"/>
      <c r="Y75" s="839"/>
    </row>
    <row r="76" spans="2:25" x14ac:dyDescent="0.2">
      <c r="B76" s="802"/>
      <c r="C76" s="754"/>
      <c r="D76" s="754"/>
      <c r="E76" s="754"/>
      <c r="F76" s="754"/>
      <c r="G76" s="754"/>
      <c r="H76" s="754"/>
      <c r="I76" s="754"/>
      <c r="L76" s="840"/>
      <c r="M76" s="840"/>
      <c r="N76" s="840"/>
      <c r="O76" s="840"/>
      <c r="P76" s="840"/>
      <c r="Q76" s="840"/>
      <c r="R76" s="840"/>
      <c r="S76" s="840">
        <v>74</v>
      </c>
      <c r="T76" s="840">
        <v>100</v>
      </c>
      <c r="U76" s="840"/>
      <c r="V76" s="840"/>
      <c r="W76" s="840"/>
      <c r="X76" s="840"/>
      <c r="Y76" s="839"/>
    </row>
    <row r="77" spans="2:25" x14ac:dyDescent="0.2">
      <c r="H77" s="754"/>
      <c r="I77" s="754"/>
      <c r="L77" s="840"/>
      <c r="M77" s="840"/>
      <c r="N77" s="840"/>
      <c r="O77" s="840"/>
      <c r="P77" s="840"/>
      <c r="Q77" s="840"/>
      <c r="R77" s="840"/>
      <c r="S77" s="840">
        <v>75</v>
      </c>
      <c r="T77" s="840">
        <v>100</v>
      </c>
      <c r="U77" s="840"/>
      <c r="V77" s="840"/>
      <c r="W77" s="840"/>
      <c r="X77" s="840"/>
      <c r="Y77" s="839"/>
    </row>
    <row r="78" spans="2:25" x14ac:dyDescent="0.2">
      <c r="L78" s="840"/>
      <c r="M78" s="840"/>
      <c r="N78" s="840"/>
      <c r="O78" s="840"/>
      <c r="P78" s="840"/>
      <c r="Q78" s="840"/>
      <c r="R78" s="840"/>
      <c r="S78" s="840">
        <v>76</v>
      </c>
      <c r="T78" s="840">
        <v>100</v>
      </c>
      <c r="U78" s="840"/>
      <c r="V78" s="840"/>
      <c r="W78" s="840"/>
      <c r="X78" s="840"/>
      <c r="Y78" s="839"/>
    </row>
    <row r="79" spans="2:25" x14ac:dyDescent="0.2">
      <c r="L79" s="840"/>
      <c r="M79" s="840"/>
      <c r="N79" s="840"/>
      <c r="O79" s="840"/>
      <c r="P79" s="840"/>
      <c r="Q79" s="840"/>
      <c r="R79" s="840"/>
      <c r="S79" s="840">
        <v>77</v>
      </c>
      <c r="T79" s="840">
        <v>100</v>
      </c>
      <c r="U79" s="840"/>
      <c r="V79" s="840"/>
      <c r="W79" s="840"/>
      <c r="X79" s="840"/>
      <c r="Y79" s="839"/>
    </row>
    <row r="80" spans="2:25" x14ac:dyDescent="0.2">
      <c r="L80" s="840"/>
      <c r="M80" s="840"/>
      <c r="N80" s="840"/>
      <c r="O80" s="840"/>
      <c r="P80" s="840"/>
      <c r="Q80" s="840"/>
      <c r="R80" s="840"/>
      <c r="S80" s="840">
        <v>78</v>
      </c>
      <c r="T80" s="840">
        <v>100</v>
      </c>
      <c r="U80" s="840"/>
      <c r="V80" s="840"/>
      <c r="W80" s="840"/>
      <c r="X80" s="840"/>
      <c r="Y80" s="839"/>
    </row>
    <row r="81" spans="12:25" x14ac:dyDescent="0.2">
      <c r="L81" s="840"/>
      <c r="M81" s="840"/>
      <c r="N81" s="840"/>
      <c r="O81" s="840"/>
      <c r="P81" s="840"/>
      <c r="Q81" s="840"/>
      <c r="R81" s="840"/>
      <c r="S81" s="840">
        <v>79</v>
      </c>
      <c r="T81" s="840">
        <v>100</v>
      </c>
      <c r="U81" s="840"/>
      <c r="V81" s="840"/>
      <c r="W81" s="840"/>
      <c r="X81" s="840"/>
      <c r="Y81" s="839"/>
    </row>
    <row r="82" spans="12:25" x14ac:dyDescent="0.2">
      <c r="L82" s="840"/>
      <c r="M82" s="840"/>
      <c r="N82" s="840"/>
      <c r="O82" s="840"/>
      <c r="P82" s="840"/>
      <c r="Q82" s="840"/>
      <c r="R82" s="840"/>
      <c r="S82" s="840">
        <v>80</v>
      </c>
      <c r="T82" s="840">
        <v>100</v>
      </c>
      <c r="U82" s="840"/>
      <c r="V82" s="840"/>
      <c r="W82" s="840"/>
      <c r="X82" s="840"/>
      <c r="Y82" s="839"/>
    </row>
    <row r="83" spans="12:25" x14ac:dyDescent="0.2">
      <c r="L83" s="840"/>
      <c r="M83" s="840"/>
      <c r="N83" s="840"/>
      <c r="O83" s="840"/>
      <c r="P83" s="840"/>
      <c r="Q83" s="840"/>
      <c r="R83" s="840"/>
      <c r="S83" s="840">
        <v>81</v>
      </c>
      <c r="T83" s="840">
        <v>100</v>
      </c>
      <c r="U83" s="840"/>
      <c r="V83" s="840"/>
      <c r="W83" s="840"/>
      <c r="X83" s="840"/>
      <c r="Y83" s="839"/>
    </row>
    <row r="84" spans="12:25" x14ac:dyDescent="0.2">
      <c r="L84" s="840"/>
      <c r="M84" s="840"/>
      <c r="N84" s="840"/>
      <c r="O84" s="840"/>
      <c r="P84" s="840"/>
      <c r="Q84" s="840"/>
      <c r="R84" s="840"/>
      <c r="S84" s="840">
        <v>82</v>
      </c>
      <c r="T84" s="840">
        <v>100</v>
      </c>
      <c r="U84" s="840"/>
      <c r="V84" s="840"/>
      <c r="W84" s="840"/>
      <c r="X84" s="840"/>
      <c r="Y84" s="839"/>
    </row>
    <row r="85" spans="12:25" x14ac:dyDescent="0.2">
      <c r="L85" s="840"/>
      <c r="M85" s="840"/>
      <c r="N85" s="840"/>
      <c r="O85" s="840"/>
      <c r="P85" s="840"/>
      <c r="Q85" s="840"/>
      <c r="R85" s="840"/>
      <c r="S85" s="840">
        <v>83</v>
      </c>
      <c r="T85" s="840">
        <v>100</v>
      </c>
      <c r="U85" s="840"/>
      <c r="V85" s="840"/>
      <c r="W85" s="840"/>
      <c r="X85" s="840"/>
      <c r="Y85" s="839"/>
    </row>
    <row r="86" spans="12:25" x14ac:dyDescent="0.2">
      <c r="L86" s="840"/>
      <c r="M86" s="840"/>
      <c r="N86" s="840"/>
      <c r="O86" s="840"/>
      <c r="P86" s="840"/>
      <c r="Q86" s="840"/>
      <c r="R86" s="840"/>
      <c r="S86" s="840">
        <v>84</v>
      </c>
      <c r="T86" s="840">
        <v>100</v>
      </c>
      <c r="U86" s="840"/>
      <c r="V86" s="840"/>
      <c r="W86" s="840"/>
      <c r="X86" s="840"/>
      <c r="Y86" s="839"/>
    </row>
    <row r="87" spans="12:25" x14ac:dyDescent="0.2">
      <c r="L87" s="840"/>
      <c r="M87" s="840"/>
      <c r="N87" s="840"/>
      <c r="O87" s="840"/>
      <c r="P87" s="840"/>
      <c r="Q87" s="840"/>
      <c r="R87" s="840"/>
      <c r="S87" s="840">
        <v>85</v>
      </c>
      <c r="T87" s="840">
        <v>100</v>
      </c>
      <c r="U87" s="840"/>
      <c r="V87" s="840"/>
      <c r="W87" s="840"/>
      <c r="X87" s="840"/>
      <c r="Y87" s="839"/>
    </row>
    <row r="88" spans="12:25" x14ac:dyDescent="0.2">
      <c r="L88" s="840"/>
      <c r="M88" s="840"/>
      <c r="N88" s="840"/>
      <c r="O88" s="840"/>
      <c r="P88" s="840"/>
      <c r="Q88" s="840"/>
      <c r="R88" s="840"/>
      <c r="S88" s="840">
        <v>86</v>
      </c>
      <c r="T88" s="840">
        <v>100</v>
      </c>
      <c r="U88" s="840"/>
      <c r="V88" s="840"/>
      <c r="W88" s="840"/>
      <c r="X88" s="840"/>
      <c r="Y88" s="839"/>
    </row>
    <row r="89" spans="12:25" x14ac:dyDescent="0.2">
      <c r="L89" s="840"/>
      <c r="M89" s="840"/>
      <c r="N89" s="840"/>
      <c r="O89" s="840"/>
      <c r="P89" s="840"/>
      <c r="Q89" s="840"/>
      <c r="R89" s="840"/>
      <c r="S89" s="840">
        <v>87</v>
      </c>
      <c r="T89" s="840">
        <v>100</v>
      </c>
      <c r="U89" s="840"/>
      <c r="V89" s="840"/>
      <c r="W89" s="840"/>
      <c r="X89" s="840"/>
      <c r="Y89" s="839"/>
    </row>
    <row r="90" spans="12:25" x14ac:dyDescent="0.2">
      <c r="L90" s="840"/>
      <c r="M90" s="840"/>
      <c r="N90" s="840"/>
      <c r="O90" s="840"/>
      <c r="P90" s="840"/>
      <c r="Q90" s="840"/>
      <c r="R90" s="840"/>
      <c r="S90" s="840">
        <v>88</v>
      </c>
      <c r="T90" s="840">
        <v>100</v>
      </c>
      <c r="U90" s="840"/>
      <c r="V90" s="840"/>
      <c r="W90" s="840"/>
      <c r="X90" s="840"/>
      <c r="Y90" s="839"/>
    </row>
    <row r="91" spans="12:25" x14ac:dyDescent="0.2">
      <c r="L91" s="840"/>
      <c r="M91" s="840"/>
      <c r="N91" s="840"/>
      <c r="O91" s="840"/>
      <c r="P91" s="840"/>
      <c r="Q91" s="840"/>
      <c r="R91" s="840"/>
      <c r="S91" s="840">
        <v>89</v>
      </c>
      <c r="T91" s="840">
        <v>100</v>
      </c>
      <c r="U91" s="840"/>
      <c r="V91" s="840"/>
      <c r="W91" s="840"/>
      <c r="X91" s="840"/>
      <c r="Y91" s="839"/>
    </row>
    <row r="92" spans="12:25" x14ac:dyDescent="0.2">
      <c r="L92" s="840"/>
      <c r="M92" s="840"/>
      <c r="N92" s="840"/>
      <c r="O92" s="840"/>
      <c r="P92" s="840"/>
      <c r="Q92" s="840"/>
      <c r="R92" s="840"/>
      <c r="S92" s="840">
        <v>90</v>
      </c>
      <c r="T92" s="840">
        <v>100</v>
      </c>
      <c r="U92" s="840"/>
      <c r="V92" s="840"/>
      <c r="W92" s="840"/>
      <c r="X92" s="840"/>
      <c r="Y92" s="839"/>
    </row>
    <row r="93" spans="12:25" x14ac:dyDescent="0.2">
      <c r="L93" s="840"/>
      <c r="M93" s="840"/>
      <c r="N93" s="840"/>
      <c r="O93" s="840"/>
      <c r="P93" s="840"/>
      <c r="Q93" s="840"/>
      <c r="R93" s="840"/>
      <c r="S93" s="840">
        <v>91</v>
      </c>
      <c r="T93" s="840">
        <v>100</v>
      </c>
      <c r="U93" s="840"/>
      <c r="V93" s="840"/>
      <c r="W93" s="840"/>
      <c r="X93" s="840"/>
      <c r="Y93" s="839"/>
    </row>
    <row r="94" spans="12:25" x14ac:dyDescent="0.2">
      <c r="L94" s="840"/>
      <c r="M94" s="840"/>
      <c r="N94" s="840"/>
      <c r="O94" s="840"/>
      <c r="P94" s="840"/>
      <c r="Q94" s="840"/>
      <c r="R94" s="840"/>
      <c r="S94" s="840">
        <v>92</v>
      </c>
      <c r="T94" s="840">
        <v>100</v>
      </c>
      <c r="U94" s="840"/>
      <c r="V94" s="840"/>
      <c r="W94" s="840"/>
      <c r="X94" s="840"/>
      <c r="Y94" s="839"/>
    </row>
    <row r="95" spans="12:25" x14ac:dyDescent="0.2">
      <c r="L95" s="840"/>
      <c r="M95" s="840"/>
      <c r="N95" s="840"/>
      <c r="O95" s="840"/>
      <c r="P95" s="840"/>
      <c r="Q95" s="840"/>
      <c r="R95" s="840"/>
      <c r="S95" s="840">
        <v>93</v>
      </c>
      <c r="T95" s="840">
        <v>100</v>
      </c>
      <c r="U95" s="840"/>
      <c r="V95" s="840"/>
      <c r="W95" s="840"/>
      <c r="X95" s="840"/>
      <c r="Y95" s="839"/>
    </row>
    <row r="96" spans="12:25" x14ac:dyDescent="0.2">
      <c r="L96" s="840"/>
      <c r="M96" s="840"/>
      <c r="N96" s="840"/>
      <c r="O96" s="840"/>
      <c r="P96" s="840"/>
      <c r="Q96" s="840"/>
      <c r="R96" s="840"/>
      <c r="S96" s="840">
        <v>94</v>
      </c>
      <c r="T96" s="840">
        <v>100</v>
      </c>
      <c r="U96" s="840"/>
      <c r="V96" s="840"/>
      <c r="W96" s="840"/>
      <c r="X96" s="840"/>
      <c r="Y96" s="839"/>
    </row>
    <row r="97" spans="12:25" x14ac:dyDescent="0.2">
      <c r="L97" s="840"/>
      <c r="M97" s="840"/>
      <c r="N97" s="840"/>
      <c r="O97" s="840"/>
      <c r="P97" s="840"/>
      <c r="Q97" s="840"/>
      <c r="R97" s="840"/>
      <c r="S97" s="840">
        <v>95</v>
      </c>
      <c r="T97" s="840">
        <v>100</v>
      </c>
      <c r="U97" s="840"/>
      <c r="V97" s="840"/>
      <c r="W97" s="840"/>
      <c r="X97" s="840"/>
      <c r="Y97" s="839"/>
    </row>
    <row r="98" spans="12:25" x14ac:dyDescent="0.2">
      <c r="L98" s="840"/>
      <c r="M98" s="840"/>
      <c r="N98" s="840"/>
      <c r="O98" s="840"/>
      <c r="P98" s="840"/>
      <c r="Q98" s="840"/>
      <c r="R98" s="840"/>
      <c r="S98" s="840">
        <v>96</v>
      </c>
      <c r="T98" s="840">
        <v>100</v>
      </c>
      <c r="U98" s="840"/>
      <c r="V98" s="840"/>
      <c r="W98" s="840"/>
      <c r="X98" s="840"/>
      <c r="Y98" s="839"/>
    </row>
    <row r="99" spans="12:25" x14ac:dyDescent="0.2">
      <c r="L99" s="840"/>
      <c r="M99" s="840"/>
      <c r="N99" s="840"/>
      <c r="O99" s="840"/>
      <c r="P99" s="840"/>
      <c r="Q99" s="840"/>
      <c r="R99" s="840"/>
      <c r="S99" s="840">
        <v>97</v>
      </c>
      <c r="T99" s="840">
        <v>100</v>
      </c>
      <c r="U99" s="840"/>
      <c r="V99" s="840"/>
      <c r="W99" s="840"/>
      <c r="X99" s="840"/>
      <c r="Y99" s="839"/>
    </row>
    <row r="100" spans="12:25" x14ac:dyDescent="0.2">
      <c r="L100" s="840"/>
      <c r="M100" s="840"/>
      <c r="N100" s="840"/>
      <c r="O100" s="840"/>
      <c r="P100" s="840"/>
      <c r="Q100" s="840"/>
      <c r="R100" s="840"/>
      <c r="S100" s="840">
        <v>98</v>
      </c>
      <c r="T100" s="840">
        <v>100</v>
      </c>
      <c r="U100" s="840"/>
      <c r="V100" s="840"/>
      <c r="W100" s="840"/>
      <c r="X100" s="840"/>
      <c r="Y100" s="839"/>
    </row>
    <row r="101" spans="12:25" x14ac:dyDescent="0.2">
      <c r="L101" s="840"/>
      <c r="M101" s="840"/>
      <c r="N101" s="840"/>
      <c r="O101" s="840"/>
      <c r="P101" s="840"/>
      <c r="Q101" s="840"/>
      <c r="R101" s="840"/>
      <c r="S101" s="840">
        <v>99</v>
      </c>
      <c r="T101" s="840">
        <v>100</v>
      </c>
      <c r="U101" s="840"/>
      <c r="V101" s="840"/>
      <c r="W101" s="840"/>
      <c r="X101" s="840"/>
      <c r="Y101" s="839"/>
    </row>
    <row r="102" spans="12:25" x14ac:dyDescent="0.2">
      <c r="L102" s="840"/>
      <c r="M102" s="840"/>
      <c r="N102" s="840"/>
      <c r="O102" s="840"/>
      <c r="P102" s="840"/>
      <c r="Q102" s="840"/>
      <c r="R102" s="840"/>
      <c r="S102" s="840">
        <v>100</v>
      </c>
      <c r="T102" s="840">
        <v>100</v>
      </c>
      <c r="U102" s="840">
        <v>100</v>
      </c>
      <c r="V102" s="840"/>
      <c r="W102" s="840"/>
      <c r="X102" s="840"/>
      <c r="Y102" s="839"/>
    </row>
    <row r="103" spans="12:25" x14ac:dyDescent="0.2">
      <c r="L103" s="840"/>
      <c r="M103" s="840"/>
      <c r="N103" s="840"/>
      <c r="O103" s="840"/>
      <c r="P103" s="840"/>
      <c r="Q103" s="840"/>
      <c r="R103" s="840"/>
      <c r="S103" s="840">
        <v>101</v>
      </c>
      <c r="T103" s="840">
        <v>150</v>
      </c>
      <c r="U103" s="840"/>
      <c r="V103" s="840"/>
      <c r="W103" s="840"/>
      <c r="X103" s="840"/>
      <c r="Y103" s="839"/>
    </row>
    <row r="104" spans="12:25" x14ac:dyDescent="0.2">
      <c r="L104" s="840"/>
      <c r="M104" s="840"/>
      <c r="N104" s="840"/>
      <c r="O104" s="840"/>
      <c r="P104" s="840"/>
      <c r="Q104" s="840"/>
      <c r="R104" s="840"/>
      <c r="S104" s="840">
        <v>102</v>
      </c>
      <c r="T104" s="840">
        <v>150</v>
      </c>
      <c r="U104" s="840"/>
      <c r="V104" s="840"/>
      <c r="W104" s="840"/>
      <c r="X104" s="840"/>
      <c r="Y104" s="839"/>
    </row>
    <row r="105" spans="12:25" x14ac:dyDescent="0.2">
      <c r="L105" s="840"/>
      <c r="M105" s="840"/>
      <c r="N105" s="840"/>
      <c r="O105" s="840"/>
      <c r="P105" s="840"/>
      <c r="Q105" s="840"/>
      <c r="R105" s="840"/>
      <c r="S105" s="840">
        <v>103</v>
      </c>
      <c r="T105" s="840">
        <v>150</v>
      </c>
      <c r="U105" s="840"/>
      <c r="V105" s="840"/>
      <c r="W105" s="840"/>
      <c r="X105" s="840"/>
      <c r="Y105" s="839"/>
    </row>
    <row r="106" spans="12:25" x14ac:dyDescent="0.2">
      <c r="L106" s="840"/>
      <c r="M106" s="840"/>
      <c r="N106" s="840"/>
      <c r="O106" s="840"/>
      <c r="P106" s="840"/>
      <c r="Q106" s="840"/>
      <c r="R106" s="840"/>
      <c r="S106" s="840">
        <v>104</v>
      </c>
      <c r="T106" s="840">
        <v>150</v>
      </c>
      <c r="U106" s="840"/>
      <c r="V106" s="840"/>
      <c r="W106" s="840"/>
      <c r="X106" s="840"/>
      <c r="Y106" s="839"/>
    </row>
    <row r="107" spans="12:25" x14ac:dyDescent="0.2">
      <c r="L107" s="840"/>
      <c r="M107" s="840"/>
      <c r="N107" s="840"/>
      <c r="O107" s="840"/>
      <c r="P107" s="840"/>
      <c r="Q107" s="840"/>
      <c r="R107" s="840"/>
      <c r="S107" s="840">
        <v>105</v>
      </c>
      <c r="T107" s="840">
        <v>150</v>
      </c>
      <c r="U107" s="840"/>
      <c r="V107" s="840"/>
      <c r="W107" s="840"/>
      <c r="X107" s="840"/>
      <c r="Y107" s="839"/>
    </row>
    <row r="108" spans="12:25" x14ac:dyDescent="0.2">
      <c r="L108" s="840"/>
      <c r="M108" s="840"/>
      <c r="N108" s="840"/>
      <c r="O108" s="840"/>
      <c r="P108" s="840"/>
      <c r="Q108" s="840"/>
      <c r="R108" s="840"/>
      <c r="S108" s="840">
        <v>106</v>
      </c>
      <c r="T108" s="840">
        <v>150</v>
      </c>
      <c r="U108" s="840"/>
      <c r="V108" s="840"/>
      <c r="W108" s="840"/>
      <c r="X108" s="840"/>
      <c r="Y108" s="839"/>
    </row>
    <row r="109" spans="12:25" x14ac:dyDescent="0.2">
      <c r="L109" s="840"/>
      <c r="M109" s="840"/>
      <c r="N109" s="840"/>
      <c r="O109" s="840"/>
      <c r="P109" s="840"/>
      <c r="Q109" s="840"/>
      <c r="R109" s="840"/>
      <c r="S109" s="840">
        <v>107</v>
      </c>
      <c r="T109" s="840">
        <v>150</v>
      </c>
      <c r="U109" s="840"/>
      <c r="V109" s="840"/>
      <c r="W109" s="840"/>
      <c r="X109" s="840"/>
      <c r="Y109" s="839"/>
    </row>
    <row r="110" spans="12:25" x14ac:dyDescent="0.2">
      <c r="L110" s="840"/>
      <c r="M110" s="840"/>
      <c r="N110" s="840"/>
      <c r="O110" s="840"/>
      <c r="P110" s="840"/>
      <c r="Q110" s="840"/>
      <c r="R110" s="840"/>
      <c r="S110" s="840">
        <v>108</v>
      </c>
      <c r="T110" s="840">
        <v>150</v>
      </c>
      <c r="U110" s="840"/>
      <c r="V110" s="840"/>
      <c r="W110" s="840"/>
      <c r="X110" s="840"/>
      <c r="Y110" s="839"/>
    </row>
    <row r="111" spans="12:25" x14ac:dyDescent="0.2">
      <c r="L111" s="840"/>
      <c r="M111" s="840"/>
      <c r="N111" s="840"/>
      <c r="O111" s="840"/>
      <c r="P111" s="840"/>
      <c r="Q111" s="840"/>
      <c r="R111" s="840"/>
      <c r="S111" s="840">
        <v>109</v>
      </c>
      <c r="T111" s="840">
        <v>150</v>
      </c>
      <c r="U111" s="840"/>
      <c r="V111" s="840"/>
      <c r="W111" s="840"/>
      <c r="X111" s="840"/>
      <c r="Y111" s="839"/>
    </row>
    <row r="112" spans="12:25" x14ac:dyDescent="0.2">
      <c r="L112" s="840"/>
      <c r="M112" s="840"/>
      <c r="N112" s="840"/>
      <c r="O112" s="840"/>
      <c r="P112" s="840"/>
      <c r="Q112" s="840"/>
      <c r="R112" s="840"/>
      <c r="S112" s="840">
        <v>110</v>
      </c>
      <c r="T112" s="840">
        <v>150</v>
      </c>
      <c r="U112" s="840"/>
      <c r="V112" s="840"/>
      <c r="W112" s="840"/>
      <c r="X112" s="840"/>
      <c r="Y112" s="839"/>
    </row>
    <row r="113" spans="12:25" x14ac:dyDescent="0.2">
      <c r="L113" s="840"/>
      <c r="M113" s="840"/>
      <c r="N113" s="840"/>
      <c r="O113" s="840"/>
      <c r="P113" s="840"/>
      <c r="Q113" s="840"/>
      <c r="R113" s="840"/>
      <c r="S113" s="840">
        <v>111</v>
      </c>
      <c r="T113" s="840">
        <v>150</v>
      </c>
      <c r="U113" s="840"/>
      <c r="V113" s="840"/>
      <c r="W113" s="840"/>
      <c r="X113" s="840"/>
      <c r="Y113" s="839"/>
    </row>
    <row r="114" spans="12:25" x14ac:dyDescent="0.2">
      <c r="L114" s="840"/>
      <c r="M114" s="840"/>
      <c r="N114" s="840"/>
      <c r="O114" s="840"/>
      <c r="P114" s="840"/>
      <c r="Q114" s="840"/>
      <c r="R114" s="840"/>
      <c r="S114" s="840">
        <v>112</v>
      </c>
      <c r="T114" s="840">
        <v>150</v>
      </c>
      <c r="U114" s="840"/>
      <c r="V114" s="840"/>
      <c r="W114" s="840"/>
      <c r="X114" s="840"/>
      <c r="Y114" s="839"/>
    </row>
    <row r="115" spans="12:25" x14ac:dyDescent="0.2">
      <c r="L115" s="840"/>
      <c r="M115" s="840"/>
      <c r="N115" s="840"/>
      <c r="O115" s="840"/>
      <c r="P115" s="840"/>
      <c r="Q115" s="840"/>
      <c r="R115" s="840"/>
      <c r="S115" s="840">
        <v>113</v>
      </c>
      <c r="T115" s="840">
        <v>150</v>
      </c>
      <c r="U115" s="840"/>
      <c r="V115" s="840"/>
      <c r="W115" s="840"/>
      <c r="X115" s="840"/>
      <c r="Y115" s="839"/>
    </row>
    <row r="116" spans="12:25" x14ac:dyDescent="0.2">
      <c r="L116" s="840"/>
      <c r="M116" s="840"/>
      <c r="N116" s="840"/>
      <c r="O116" s="840"/>
      <c r="P116" s="840"/>
      <c r="Q116" s="840"/>
      <c r="R116" s="840"/>
      <c r="S116" s="840">
        <v>114</v>
      </c>
      <c r="T116" s="840">
        <v>150</v>
      </c>
      <c r="U116" s="840"/>
      <c r="V116" s="840"/>
      <c r="W116" s="840"/>
      <c r="X116" s="840"/>
      <c r="Y116" s="839"/>
    </row>
    <row r="117" spans="12:25" x14ac:dyDescent="0.2">
      <c r="L117" s="840"/>
      <c r="M117" s="840"/>
      <c r="N117" s="840"/>
      <c r="O117" s="840"/>
      <c r="P117" s="840"/>
      <c r="Q117" s="840"/>
      <c r="R117" s="840"/>
      <c r="S117" s="840">
        <v>115</v>
      </c>
      <c r="T117" s="840">
        <v>150</v>
      </c>
      <c r="U117" s="840"/>
      <c r="V117" s="840"/>
      <c r="W117" s="840"/>
      <c r="X117" s="840"/>
      <c r="Y117" s="839"/>
    </row>
    <row r="118" spans="12:25" x14ac:dyDescent="0.2">
      <c r="L118" s="840"/>
      <c r="M118" s="840"/>
      <c r="N118" s="840"/>
      <c r="O118" s="840"/>
      <c r="P118" s="840"/>
      <c r="Q118" s="840"/>
      <c r="R118" s="840"/>
      <c r="S118" s="840">
        <v>116</v>
      </c>
      <c r="T118" s="840">
        <v>150</v>
      </c>
      <c r="U118" s="840"/>
      <c r="V118" s="840"/>
      <c r="W118" s="840"/>
      <c r="X118" s="840"/>
      <c r="Y118" s="839"/>
    </row>
    <row r="119" spans="12:25" x14ac:dyDescent="0.2">
      <c r="L119" s="840"/>
      <c r="M119" s="840"/>
      <c r="N119" s="840"/>
      <c r="O119" s="840"/>
      <c r="P119" s="840"/>
      <c r="Q119" s="840"/>
      <c r="R119" s="840"/>
      <c r="S119" s="840">
        <v>117</v>
      </c>
      <c r="T119" s="840">
        <v>150</v>
      </c>
      <c r="U119" s="840"/>
      <c r="V119" s="840"/>
      <c r="W119" s="840"/>
      <c r="X119" s="840"/>
      <c r="Y119" s="839"/>
    </row>
    <row r="120" spans="12:25" x14ac:dyDescent="0.2">
      <c r="L120" s="840"/>
      <c r="M120" s="840"/>
      <c r="N120" s="840"/>
      <c r="O120" s="840"/>
      <c r="P120" s="840"/>
      <c r="Q120" s="840"/>
      <c r="R120" s="840"/>
      <c r="S120" s="840">
        <v>118</v>
      </c>
      <c r="T120" s="840">
        <v>150</v>
      </c>
      <c r="U120" s="840"/>
      <c r="V120" s="840"/>
      <c r="W120" s="840"/>
      <c r="X120" s="840"/>
      <c r="Y120" s="839"/>
    </row>
    <row r="121" spans="12:25" x14ac:dyDescent="0.2">
      <c r="L121" s="840"/>
      <c r="M121" s="840"/>
      <c r="N121" s="840"/>
      <c r="O121" s="840"/>
      <c r="P121" s="840"/>
      <c r="Q121" s="840"/>
      <c r="R121" s="840"/>
      <c r="S121" s="840">
        <v>119</v>
      </c>
      <c r="T121" s="840">
        <v>150</v>
      </c>
      <c r="U121" s="840"/>
      <c r="V121" s="840"/>
      <c r="W121" s="840"/>
      <c r="X121" s="840"/>
      <c r="Y121" s="839"/>
    </row>
    <row r="122" spans="12:25" x14ac:dyDescent="0.2">
      <c r="L122" s="840"/>
      <c r="M122" s="840"/>
      <c r="N122" s="840"/>
      <c r="O122" s="840"/>
      <c r="P122" s="840"/>
      <c r="Q122" s="840"/>
      <c r="R122" s="840"/>
      <c r="S122" s="840">
        <v>120</v>
      </c>
      <c r="T122" s="840">
        <v>150</v>
      </c>
      <c r="U122" s="840"/>
      <c r="V122" s="840"/>
      <c r="W122" s="840"/>
      <c r="X122" s="840"/>
      <c r="Y122" s="839"/>
    </row>
    <row r="123" spans="12:25" x14ac:dyDescent="0.2">
      <c r="L123" s="840"/>
      <c r="M123" s="840"/>
      <c r="N123" s="840"/>
      <c r="O123" s="840"/>
      <c r="P123" s="840"/>
      <c r="Q123" s="840"/>
      <c r="R123" s="840"/>
      <c r="S123" s="840">
        <v>121</v>
      </c>
      <c r="T123" s="840">
        <v>150</v>
      </c>
      <c r="U123" s="840"/>
      <c r="V123" s="840"/>
      <c r="W123" s="840"/>
      <c r="X123" s="840"/>
      <c r="Y123" s="839"/>
    </row>
    <row r="124" spans="12:25" x14ac:dyDescent="0.2">
      <c r="L124" s="840"/>
      <c r="M124" s="840"/>
      <c r="N124" s="840"/>
      <c r="O124" s="840"/>
      <c r="P124" s="840"/>
      <c r="Q124" s="840"/>
      <c r="R124" s="840"/>
      <c r="S124" s="840">
        <v>122</v>
      </c>
      <c r="T124" s="840">
        <v>150</v>
      </c>
      <c r="U124" s="840"/>
      <c r="V124" s="840"/>
      <c r="W124" s="840"/>
      <c r="X124" s="840"/>
      <c r="Y124" s="839"/>
    </row>
    <row r="125" spans="12:25" x14ac:dyDescent="0.2">
      <c r="L125" s="840"/>
      <c r="M125" s="840"/>
      <c r="N125" s="840"/>
      <c r="O125" s="840"/>
      <c r="P125" s="840"/>
      <c r="Q125" s="840"/>
      <c r="R125" s="840"/>
      <c r="S125" s="840">
        <v>123</v>
      </c>
      <c r="T125" s="840">
        <v>150</v>
      </c>
      <c r="U125" s="840"/>
      <c r="V125" s="840"/>
      <c r="W125" s="840"/>
      <c r="X125" s="840"/>
      <c r="Y125" s="839"/>
    </row>
    <row r="126" spans="12:25" x14ac:dyDescent="0.2">
      <c r="L126" s="840"/>
      <c r="M126" s="840"/>
      <c r="N126" s="840"/>
      <c r="O126" s="840"/>
      <c r="P126" s="840"/>
      <c r="Q126" s="840"/>
      <c r="R126" s="840"/>
      <c r="S126" s="840">
        <v>124</v>
      </c>
      <c r="T126" s="840">
        <v>150</v>
      </c>
      <c r="U126" s="840"/>
      <c r="V126" s="840"/>
      <c r="W126" s="840"/>
      <c r="X126" s="840"/>
      <c r="Y126" s="839"/>
    </row>
    <row r="127" spans="12:25" x14ac:dyDescent="0.2">
      <c r="L127" s="840"/>
      <c r="M127" s="840"/>
      <c r="N127" s="840"/>
      <c r="O127" s="840"/>
      <c r="P127" s="840"/>
      <c r="Q127" s="840"/>
      <c r="R127" s="840"/>
      <c r="S127" s="840">
        <v>125</v>
      </c>
      <c r="T127" s="840">
        <v>150</v>
      </c>
      <c r="U127" s="840"/>
      <c r="V127" s="840"/>
      <c r="W127" s="840"/>
      <c r="X127" s="840"/>
      <c r="Y127" s="839"/>
    </row>
    <row r="128" spans="12:25" x14ac:dyDescent="0.2">
      <c r="L128" s="840"/>
      <c r="M128" s="840"/>
      <c r="N128" s="840"/>
      <c r="O128" s="840"/>
      <c r="P128" s="840"/>
      <c r="Q128" s="840"/>
      <c r="R128" s="840"/>
      <c r="S128" s="840">
        <v>126</v>
      </c>
      <c r="T128" s="840">
        <v>150</v>
      </c>
      <c r="U128" s="840"/>
      <c r="V128" s="840"/>
      <c r="W128" s="840"/>
      <c r="X128" s="840"/>
      <c r="Y128" s="839"/>
    </row>
    <row r="129" spans="12:25" x14ac:dyDescent="0.2">
      <c r="L129" s="840"/>
      <c r="M129" s="840"/>
      <c r="N129" s="840"/>
      <c r="O129" s="840"/>
      <c r="P129" s="840"/>
      <c r="Q129" s="840"/>
      <c r="R129" s="840"/>
      <c r="S129" s="840">
        <v>127</v>
      </c>
      <c r="T129" s="840">
        <v>150</v>
      </c>
      <c r="U129" s="840"/>
      <c r="V129" s="840"/>
      <c r="W129" s="840"/>
      <c r="X129" s="840"/>
      <c r="Y129" s="839"/>
    </row>
    <row r="130" spans="12:25" x14ac:dyDescent="0.2">
      <c r="L130" s="840"/>
      <c r="M130" s="840"/>
      <c r="N130" s="840"/>
      <c r="O130" s="840"/>
      <c r="P130" s="840"/>
      <c r="Q130" s="840"/>
      <c r="R130" s="840"/>
      <c r="S130" s="840">
        <v>128</v>
      </c>
      <c r="T130" s="840">
        <v>150</v>
      </c>
      <c r="U130" s="840"/>
      <c r="V130" s="840"/>
      <c r="W130" s="840"/>
      <c r="X130" s="840"/>
      <c r="Y130" s="839"/>
    </row>
    <row r="131" spans="12:25" x14ac:dyDescent="0.2">
      <c r="L131" s="840"/>
      <c r="M131" s="840"/>
      <c r="N131" s="840"/>
      <c r="O131" s="840"/>
      <c r="P131" s="840"/>
      <c r="Q131" s="840"/>
      <c r="R131" s="840"/>
      <c r="S131" s="840">
        <v>129</v>
      </c>
      <c r="T131" s="840">
        <v>150</v>
      </c>
      <c r="U131" s="840"/>
      <c r="V131" s="840"/>
      <c r="W131" s="840"/>
      <c r="X131" s="840"/>
      <c r="Y131" s="839"/>
    </row>
    <row r="132" spans="12:25" x14ac:dyDescent="0.2">
      <c r="L132" s="840"/>
      <c r="M132" s="840"/>
      <c r="N132" s="840"/>
      <c r="O132" s="840"/>
      <c r="P132" s="840"/>
      <c r="Q132" s="840"/>
      <c r="R132" s="840"/>
      <c r="S132" s="840">
        <v>130</v>
      </c>
      <c r="T132" s="840">
        <v>150</v>
      </c>
      <c r="U132" s="840"/>
      <c r="V132" s="840"/>
      <c r="W132" s="840"/>
      <c r="X132" s="840"/>
      <c r="Y132" s="839"/>
    </row>
    <row r="133" spans="12:25" x14ac:dyDescent="0.2">
      <c r="L133" s="840"/>
      <c r="M133" s="840"/>
      <c r="N133" s="840"/>
      <c r="O133" s="840"/>
      <c r="P133" s="840"/>
      <c r="Q133" s="840"/>
      <c r="R133" s="840"/>
      <c r="S133" s="840">
        <v>131</v>
      </c>
      <c r="T133" s="840">
        <v>150</v>
      </c>
      <c r="U133" s="840"/>
      <c r="V133" s="840"/>
      <c r="W133" s="840"/>
      <c r="X133" s="840"/>
      <c r="Y133" s="839"/>
    </row>
    <row r="134" spans="12:25" x14ac:dyDescent="0.2">
      <c r="L134" s="840"/>
      <c r="M134" s="840"/>
      <c r="N134" s="840"/>
      <c r="O134" s="840"/>
      <c r="P134" s="840"/>
      <c r="Q134" s="840"/>
      <c r="R134" s="840"/>
      <c r="S134" s="840">
        <v>132</v>
      </c>
      <c r="T134" s="840">
        <v>150</v>
      </c>
      <c r="U134" s="840"/>
      <c r="V134" s="840"/>
      <c r="W134" s="840"/>
      <c r="X134" s="840"/>
      <c r="Y134" s="839"/>
    </row>
    <row r="135" spans="12:25" x14ac:dyDescent="0.2">
      <c r="L135" s="840"/>
      <c r="M135" s="840"/>
      <c r="N135" s="840"/>
      <c r="O135" s="840"/>
      <c r="P135" s="840"/>
      <c r="Q135" s="840"/>
      <c r="R135" s="840"/>
      <c r="S135" s="840">
        <v>133</v>
      </c>
      <c r="T135" s="840">
        <v>150</v>
      </c>
      <c r="U135" s="840"/>
      <c r="V135" s="840"/>
      <c r="W135" s="840"/>
      <c r="X135" s="840"/>
      <c r="Y135" s="839"/>
    </row>
    <row r="136" spans="12:25" x14ac:dyDescent="0.2">
      <c r="L136" s="840"/>
      <c r="M136" s="840"/>
      <c r="N136" s="840"/>
      <c r="O136" s="840"/>
      <c r="P136" s="840"/>
      <c r="Q136" s="840"/>
      <c r="R136" s="840"/>
      <c r="S136" s="840">
        <v>134</v>
      </c>
      <c r="T136" s="840">
        <v>150</v>
      </c>
      <c r="U136" s="840"/>
      <c r="V136" s="840"/>
      <c r="W136" s="840"/>
      <c r="X136" s="840"/>
      <c r="Y136" s="839"/>
    </row>
    <row r="137" spans="12:25" x14ac:dyDescent="0.2">
      <c r="L137" s="840"/>
      <c r="M137" s="840"/>
      <c r="N137" s="840"/>
      <c r="O137" s="840"/>
      <c r="P137" s="840"/>
      <c r="Q137" s="840"/>
      <c r="R137" s="840"/>
      <c r="S137" s="840">
        <v>135</v>
      </c>
      <c r="T137" s="840">
        <v>150</v>
      </c>
      <c r="U137" s="840"/>
      <c r="V137" s="840"/>
      <c r="W137" s="840"/>
      <c r="X137" s="840"/>
      <c r="Y137" s="839"/>
    </row>
    <row r="138" spans="12:25" x14ac:dyDescent="0.2">
      <c r="L138" s="840"/>
      <c r="M138" s="840"/>
      <c r="N138" s="840"/>
      <c r="O138" s="840"/>
      <c r="P138" s="840"/>
      <c r="Q138" s="840"/>
      <c r="R138" s="840"/>
      <c r="S138" s="840">
        <v>136</v>
      </c>
      <c r="T138" s="840">
        <v>150</v>
      </c>
      <c r="U138" s="840"/>
      <c r="V138" s="840"/>
      <c r="W138" s="840"/>
      <c r="X138" s="840"/>
      <c r="Y138" s="839"/>
    </row>
    <row r="139" spans="12:25" x14ac:dyDescent="0.2">
      <c r="L139" s="840"/>
      <c r="M139" s="840"/>
      <c r="N139" s="840"/>
      <c r="O139" s="840"/>
      <c r="P139" s="840"/>
      <c r="Q139" s="840"/>
      <c r="R139" s="840"/>
      <c r="S139" s="840">
        <v>137</v>
      </c>
      <c r="T139" s="840">
        <v>150</v>
      </c>
      <c r="U139" s="840"/>
      <c r="V139" s="840"/>
      <c r="W139" s="840"/>
      <c r="X139" s="840"/>
      <c r="Y139" s="839"/>
    </row>
    <row r="140" spans="12:25" x14ac:dyDescent="0.2">
      <c r="L140" s="840"/>
      <c r="M140" s="840"/>
      <c r="N140" s="840"/>
      <c r="O140" s="840"/>
      <c r="P140" s="840"/>
      <c r="Q140" s="840"/>
      <c r="R140" s="840"/>
      <c r="S140" s="840">
        <v>138</v>
      </c>
      <c r="T140" s="840">
        <v>150</v>
      </c>
      <c r="U140" s="840"/>
      <c r="V140" s="840"/>
      <c r="W140" s="840"/>
      <c r="X140" s="840"/>
      <c r="Y140" s="839"/>
    </row>
    <row r="141" spans="12:25" x14ac:dyDescent="0.2">
      <c r="L141" s="840"/>
      <c r="M141" s="840"/>
      <c r="N141" s="840"/>
      <c r="O141" s="840"/>
      <c r="P141" s="840"/>
      <c r="Q141" s="840"/>
      <c r="R141" s="840"/>
      <c r="S141" s="840">
        <v>139</v>
      </c>
      <c r="T141" s="840">
        <v>150</v>
      </c>
      <c r="U141" s="840"/>
      <c r="V141" s="840"/>
      <c r="W141" s="840"/>
      <c r="X141" s="840"/>
      <c r="Y141" s="839"/>
    </row>
    <row r="142" spans="12:25" x14ac:dyDescent="0.2">
      <c r="L142" s="840"/>
      <c r="M142" s="840"/>
      <c r="N142" s="840"/>
      <c r="O142" s="840"/>
      <c r="P142" s="840"/>
      <c r="Q142" s="840"/>
      <c r="R142" s="840"/>
      <c r="S142" s="840">
        <v>140</v>
      </c>
      <c r="T142" s="840">
        <v>150</v>
      </c>
      <c r="U142" s="840"/>
      <c r="V142" s="840"/>
      <c r="W142" s="840"/>
      <c r="X142" s="840"/>
      <c r="Y142" s="839"/>
    </row>
    <row r="143" spans="12:25" x14ac:dyDescent="0.2">
      <c r="L143" s="840"/>
      <c r="M143" s="840"/>
      <c r="N143" s="840"/>
      <c r="O143" s="840"/>
      <c r="P143" s="840"/>
      <c r="Q143" s="840"/>
      <c r="R143" s="840"/>
      <c r="S143" s="840">
        <v>141</v>
      </c>
      <c r="T143" s="840">
        <v>150</v>
      </c>
      <c r="U143" s="840"/>
      <c r="V143" s="840"/>
      <c r="W143" s="840"/>
      <c r="X143" s="840"/>
      <c r="Y143" s="839"/>
    </row>
    <row r="144" spans="12:25" x14ac:dyDescent="0.2">
      <c r="L144" s="840"/>
      <c r="M144" s="840"/>
      <c r="N144" s="840"/>
      <c r="O144" s="840"/>
      <c r="P144" s="840"/>
      <c r="Q144" s="840"/>
      <c r="R144" s="840"/>
      <c r="S144" s="840">
        <v>142</v>
      </c>
      <c r="T144" s="840">
        <v>150</v>
      </c>
      <c r="U144" s="840"/>
      <c r="V144" s="840"/>
      <c r="W144" s="840"/>
      <c r="X144" s="840"/>
      <c r="Y144" s="839"/>
    </row>
    <row r="145" spans="12:25" x14ac:dyDescent="0.2">
      <c r="L145" s="840"/>
      <c r="M145" s="840"/>
      <c r="N145" s="840"/>
      <c r="O145" s="840"/>
      <c r="P145" s="840"/>
      <c r="Q145" s="840"/>
      <c r="R145" s="840"/>
      <c r="S145" s="840">
        <v>143</v>
      </c>
      <c r="T145" s="840">
        <v>150</v>
      </c>
      <c r="U145" s="840"/>
      <c r="V145" s="840"/>
      <c r="W145" s="840"/>
      <c r="X145" s="840"/>
      <c r="Y145" s="839"/>
    </row>
    <row r="146" spans="12:25" x14ac:dyDescent="0.2">
      <c r="L146" s="840"/>
      <c r="M146" s="840"/>
      <c r="N146" s="840"/>
      <c r="O146" s="840"/>
      <c r="P146" s="840"/>
      <c r="Q146" s="840"/>
      <c r="R146" s="840"/>
      <c r="S146" s="840">
        <v>144</v>
      </c>
      <c r="T146" s="840">
        <v>150</v>
      </c>
      <c r="U146" s="840"/>
      <c r="V146" s="840"/>
      <c r="W146" s="840"/>
      <c r="X146" s="840"/>
      <c r="Y146" s="839"/>
    </row>
    <row r="147" spans="12:25" x14ac:dyDescent="0.2">
      <c r="L147" s="840"/>
      <c r="M147" s="840"/>
      <c r="N147" s="840"/>
      <c r="O147" s="840"/>
      <c r="P147" s="840"/>
      <c r="Q147" s="840"/>
      <c r="R147" s="840"/>
      <c r="S147" s="840">
        <v>145</v>
      </c>
      <c r="T147" s="840">
        <v>150</v>
      </c>
      <c r="U147" s="840"/>
      <c r="V147" s="840"/>
      <c r="W147" s="840"/>
      <c r="X147" s="840"/>
      <c r="Y147" s="839"/>
    </row>
    <row r="148" spans="12:25" x14ac:dyDescent="0.2">
      <c r="L148" s="840"/>
      <c r="M148" s="840"/>
      <c r="N148" s="840"/>
      <c r="O148" s="840"/>
      <c r="P148" s="840"/>
      <c r="Q148" s="840"/>
      <c r="R148" s="840"/>
      <c r="S148" s="840">
        <v>146</v>
      </c>
      <c r="T148" s="840">
        <v>150</v>
      </c>
      <c r="U148" s="840"/>
      <c r="V148" s="840"/>
      <c r="W148" s="840"/>
      <c r="X148" s="840"/>
      <c r="Y148" s="839"/>
    </row>
    <row r="149" spans="12:25" x14ac:dyDescent="0.2">
      <c r="L149" s="840"/>
      <c r="M149" s="840"/>
      <c r="N149" s="840"/>
      <c r="O149" s="840"/>
      <c r="P149" s="840"/>
      <c r="Q149" s="840"/>
      <c r="R149" s="840"/>
      <c r="S149" s="840">
        <v>147</v>
      </c>
      <c r="T149" s="840">
        <v>150</v>
      </c>
      <c r="U149" s="840"/>
      <c r="V149" s="840"/>
      <c r="W149" s="840"/>
      <c r="X149" s="840"/>
      <c r="Y149" s="839"/>
    </row>
    <row r="150" spans="12:25" x14ac:dyDescent="0.2">
      <c r="L150" s="840"/>
      <c r="M150" s="840"/>
      <c r="N150" s="840"/>
      <c r="O150" s="840"/>
      <c r="P150" s="840"/>
      <c r="Q150" s="840"/>
      <c r="R150" s="840"/>
      <c r="S150" s="840">
        <v>148</v>
      </c>
      <c r="T150" s="840">
        <v>150</v>
      </c>
      <c r="U150" s="840"/>
      <c r="V150" s="840"/>
      <c r="W150" s="840"/>
      <c r="X150" s="840"/>
      <c r="Y150" s="839"/>
    </row>
    <row r="151" spans="12:25" x14ac:dyDescent="0.2">
      <c r="L151" s="840"/>
      <c r="M151" s="840"/>
      <c r="N151" s="840"/>
      <c r="O151" s="840"/>
      <c r="P151" s="840"/>
      <c r="Q151" s="840"/>
      <c r="R151" s="840"/>
      <c r="S151" s="840">
        <v>149</v>
      </c>
      <c r="T151" s="840">
        <v>150</v>
      </c>
      <c r="U151" s="840"/>
      <c r="V151" s="840"/>
      <c r="W151" s="840"/>
      <c r="X151" s="840"/>
      <c r="Y151" s="839"/>
    </row>
    <row r="152" spans="12:25" x14ac:dyDescent="0.2">
      <c r="L152" s="840"/>
      <c r="M152" s="840"/>
      <c r="N152" s="840"/>
      <c r="O152" s="840"/>
      <c r="P152" s="840"/>
      <c r="Q152" s="840"/>
      <c r="R152" s="840"/>
      <c r="S152" s="840">
        <v>150</v>
      </c>
      <c r="T152" s="840">
        <v>150</v>
      </c>
      <c r="U152" s="840">
        <v>150</v>
      </c>
      <c r="V152" s="840"/>
      <c r="W152" s="840"/>
      <c r="X152" s="840"/>
      <c r="Y152" s="839"/>
    </row>
    <row r="153" spans="12:25" x14ac:dyDescent="0.2">
      <c r="L153" s="840"/>
      <c r="M153" s="840"/>
      <c r="N153" s="840"/>
      <c r="O153" s="840"/>
      <c r="P153" s="840"/>
      <c r="Q153" s="840"/>
      <c r="R153" s="840"/>
      <c r="S153" s="840">
        <v>151</v>
      </c>
      <c r="T153" s="840">
        <v>150</v>
      </c>
      <c r="U153" s="840"/>
      <c r="V153" s="840"/>
      <c r="W153" s="840"/>
      <c r="X153" s="840"/>
      <c r="Y153" s="839"/>
    </row>
    <row r="154" spans="12:25" x14ac:dyDescent="0.2">
      <c r="L154" s="840"/>
      <c r="M154" s="840"/>
      <c r="N154" s="840"/>
      <c r="O154" s="840"/>
      <c r="P154" s="840"/>
      <c r="Q154" s="840"/>
      <c r="R154" s="840"/>
      <c r="S154" s="840">
        <v>152</v>
      </c>
      <c r="T154" s="840">
        <v>150</v>
      </c>
      <c r="U154" s="840"/>
      <c r="V154" s="840"/>
      <c r="W154" s="840"/>
      <c r="X154" s="840"/>
      <c r="Y154" s="839"/>
    </row>
    <row r="155" spans="12:25" x14ac:dyDescent="0.2">
      <c r="L155" s="840"/>
      <c r="M155" s="840"/>
      <c r="N155" s="840"/>
      <c r="O155" s="840"/>
      <c r="P155" s="840"/>
      <c r="Q155" s="840"/>
      <c r="R155" s="840"/>
      <c r="S155" s="840">
        <v>153</v>
      </c>
      <c r="T155" s="840">
        <v>150</v>
      </c>
      <c r="U155" s="840"/>
      <c r="V155" s="840"/>
      <c r="W155" s="840"/>
      <c r="X155" s="840"/>
      <c r="Y155" s="839"/>
    </row>
    <row r="156" spans="12:25" x14ac:dyDescent="0.2">
      <c r="L156" s="840"/>
      <c r="M156" s="840"/>
      <c r="N156" s="840"/>
      <c r="O156" s="840"/>
      <c r="P156" s="840"/>
      <c r="Q156" s="840"/>
      <c r="R156" s="840"/>
      <c r="S156" s="840">
        <v>154</v>
      </c>
      <c r="T156" s="840">
        <v>150</v>
      </c>
      <c r="U156" s="840"/>
      <c r="V156" s="840"/>
      <c r="W156" s="840"/>
      <c r="X156" s="840"/>
      <c r="Y156" s="839"/>
    </row>
    <row r="157" spans="12:25" x14ac:dyDescent="0.2">
      <c r="L157" s="840"/>
      <c r="M157" s="840"/>
      <c r="N157" s="840"/>
      <c r="O157" s="840"/>
      <c r="P157" s="840"/>
      <c r="Q157" s="840"/>
      <c r="R157" s="840"/>
      <c r="S157" s="840">
        <v>155</v>
      </c>
      <c r="T157" s="840">
        <v>150</v>
      </c>
      <c r="U157" s="840"/>
      <c r="V157" s="840"/>
      <c r="W157" s="840"/>
      <c r="X157" s="840"/>
      <c r="Y157" s="839"/>
    </row>
    <row r="158" spans="12:25" x14ac:dyDescent="0.2">
      <c r="L158" s="840"/>
      <c r="M158" s="840"/>
      <c r="N158" s="840"/>
      <c r="O158" s="840"/>
      <c r="P158" s="840"/>
      <c r="Q158" s="840"/>
      <c r="R158" s="840"/>
      <c r="S158" s="840">
        <v>156</v>
      </c>
      <c r="T158" s="840">
        <v>150</v>
      </c>
      <c r="U158" s="840"/>
      <c r="V158" s="840"/>
      <c r="W158" s="840"/>
      <c r="X158" s="840"/>
      <c r="Y158" s="839"/>
    </row>
    <row r="159" spans="12:25" x14ac:dyDescent="0.2">
      <c r="L159" s="840"/>
      <c r="M159" s="840"/>
      <c r="N159" s="840"/>
      <c r="O159" s="840"/>
      <c r="P159" s="840"/>
      <c r="Q159" s="840"/>
      <c r="R159" s="840"/>
      <c r="S159" s="840">
        <v>157</v>
      </c>
      <c r="T159" s="840">
        <v>150</v>
      </c>
      <c r="U159" s="840"/>
      <c r="V159" s="840"/>
      <c r="W159" s="840"/>
      <c r="X159" s="840"/>
      <c r="Y159" s="839"/>
    </row>
    <row r="160" spans="12:25" x14ac:dyDescent="0.2">
      <c r="L160" s="840"/>
      <c r="M160" s="840"/>
      <c r="N160" s="840"/>
      <c r="O160" s="840"/>
      <c r="P160" s="840"/>
      <c r="Q160" s="840"/>
      <c r="R160" s="840"/>
      <c r="S160" s="840">
        <v>158</v>
      </c>
      <c r="T160" s="840">
        <v>150</v>
      </c>
      <c r="U160" s="840"/>
      <c r="V160" s="840"/>
      <c r="W160" s="840"/>
      <c r="X160" s="840"/>
      <c r="Y160" s="839"/>
    </row>
    <row r="161" spans="12:25" x14ac:dyDescent="0.2">
      <c r="L161" s="840"/>
      <c r="M161" s="840"/>
      <c r="N161" s="840"/>
      <c r="O161" s="840"/>
      <c r="P161" s="840"/>
      <c r="Q161" s="840"/>
      <c r="R161" s="840"/>
      <c r="S161" s="840">
        <v>159</v>
      </c>
      <c r="T161" s="840">
        <v>150</v>
      </c>
      <c r="U161" s="840"/>
      <c r="V161" s="840"/>
      <c r="W161" s="840"/>
      <c r="X161" s="840"/>
      <c r="Y161" s="839"/>
    </row>
    <row r="162" spans="12:25" x14ac:dyDescent="0.2">
      <c r="L162" s="840"/>
      <c r="M162" s="840"/>
      <c r="N162" s="840"/>
      <c r="O162" s="840"/>
      <c r="P162" s="840"/>
      <c r="Q162" s="840"/>
      <c r="R162" s="840"/>
      <c r="S162" s="840">
        <v>160</v>
      </c>
      <c r="T162" s="840">
        <v>150</v>
      </c>
      <c r="U162" s="840"/>
      <c r="V162" s="840"/>
      <c r="W162" s="840"/>
      <c r="X162" s="840"/>
      <c r="Y162" s="839"/>
    </row>
    <row r="163" spans="12:25" x14ac:dyDescent="0.2">
      <c r="L163" s="840"/>
      <c r="M163" s="840"/>
      <c r="N163" s="840"/>
      <c r="O163" s="840"/>
      <c r="P163" s="840"/>
      <c r="Q163" s="840"/>
      <c r="R163" s="840"/>
      <c r="S163" s="840">
        <v>161</v>
      </c>
      <c r="T163" s="840">
        <v>150</v>
      </c>
      <c r="U163" s="840"/>
      <c r="V163" s="840"/>
      <c r="W163" s="840"/>
      <c r="X163" s="840"/>
      <c r="Y163" s="839"/>
    </row>
    <row r="164" spans="12:25" x14ac:dyDescent="0.2">
      <c r="L164" s="840"/>
      <c r="M164" s="840"/>
      <c r="N164" s="840"/>
      <c r="O164" s="840"/>
      <c r="P164" s="840"/>
      <c r="Q164" s="840"/>
      <c r="R164" s="840"/>
      <c r="S164" s="840">
        <v>162</v>
      </c>
      <c r="T164" s="840">
        <v>150</v>
      </c>
      <c r="U164" s="840"/>
      <c r="V164" s="840"/>
      <c r="W164" s="840"/>
      <c r="X164" s="840"/>
      <c r="Y164" s="839"/>
    </row>
    <row r="165" spans="12:25" x14ac:dyDescent="0.2">
      <c r="L165" s="840"/>
      <c r="M165" s="840"/>
      <c r="N165" s="840"/>
      <c r="O165" s="840"/>
      <c r="P165" s="840"/>
      <c r="Q165" s="840"/>
      <c r="R165" s="840"/>
      <c r="S165" s="840">
        <v>163</v>
      </c>
      <c r="T165" s="840">
        <v>150</v>
      </c>
      <c r="U165" s="840"/>
      <c r="V165" s="840"/>
      <c r="W165" s="840"/>
      <c r="X165" s="840"/>
      <c r="Y165" s="839"/>
    </row>
    <row r="166" spans="12:25" x14ac:dyDescent="0.2">
      <c r="L166" s="840"/>
      <c r="M166" s="840"/>
      <c r="N166" s="840"/>
      <c r="O166" s="840"/>
      <c r="P166" s="840"/>
      <c r="Q166" s="840"/>
      <c r="R166" s="840"/>
      <c r="S166" s="840">
        <v>164</v>
      </c>
      <c r="T166" s="840">
        <v>150</v>
      </c>
      <c r="U166" s="840"/>
      <c r="V166" s="840"/>
      <c r="W166" s="840"/>
      <c r="X166" s="840"/>
      <c r="Y166" s="839"/>
    </row>
    <row r="167" spans="12:25" x14ac:dyDescent="0.2">
      <c r="L167" s="840"/>
      <c r="M167" s="840"/>
      <c r="N167" s="840"/>
      <c r="O167" s="840"/>
      <c r="P167" s="840"/>
      <c r="Q167" s="840"/>
      <c r="R167" s="840"/>
      <c r="S167" s="840">
        <v>165</v>
      </c>
      <c r="T167" s="840">
        <v>150</v>
      </c>
      <c r="U167" s="840"/>
      <c r="V167" s="840"/>
      <c r="W167" s="840"/>
      <c r="X167" s="840"/>
      <c r="Y167" s="839"/>
    </row>
    <row r="168" spans="12:25" x14ac:dyDescent="0.2">
      <c r="L168" s="840"/>
      <c r="M168" s="840"/>
      <c r="N168" s="840"/>
      <c r="O168" s="840"/>
      <c r="P168" s="840"/>
      <c r="Q168" s="840"/>
      <c r="R168" s="840"/>
      <c r="S168" s="840">
        <v>166</v>
      </c>
      <c r="T168" s="840">
        <v>150</v>
      </c>
      <c r="U168" s="840"/>
      <c r="V168" s="840"/>
      <c r="W168" s="840"/>
      <c r="X168" s="840"/>
      <c r="Y168" s="839"/>
    </row>
    <row r="169" spans="12:25" x14ac:dyDescent="0.2">
      <c r="L169" s="840"/>
      <c r="M169" s="840"/>
      <c r="N169" s="840"/>
      <c r="O169" s="840"/>
      <c r="P169" s="840"/>
      <c r="Q169" s="840"/>
      <c r="R169" s="840"/>
      <c r="S169" s="840">
        <v>167</v>
      </c>
      <c r="T169" s="840">
        <v>150</v>
      </c>
      <c r="U169" s="840"/>
      <c r="V169" s="840"/>
      <c r="W169" s="840"/>
      <c r="X169" s="840"/>
      <c r="Y169" s="839"/>
    </row>
    <row r="170" spans="12:25" x14ac:dyDescent="0.2">
      <c r="L170" s="840"/>
      <c r="M170" s="840"/>
      <c r="N170" s="840"/>
      <c r="O170" s="840"/>
      <c r="P170" s="840"/>
      <c r="Q170" s="840"/>
      <c r="R170" s="840"/>
      <c r="S170" s="840">
        <v>168</v>
      </c>
      <c r="T170" s="840">
        <v>150</v>
      </c>
      <c r="U170" s="840"/>
      <c r="V170" s="840"/>
      <c r="W170" s="840"/>
      <c r="X170" s="840"/>
      <c r="Y170" s="839"/>
    </row>
    <row r="171" spans="12:25" x14ac:dyDescent="0.2">
      <c r="L171" s="840"/>
      <c r="M171" s="840"/>
      <c r="N171" s="840"/>
      <c r="O171" s="840"/>
      <c r="P171" s="840"/>
      <c r="Q171" s="840"/>
      <c r="R171" s="840"/>
      <c r="S171" s="840">
        <v>169</v>
      </c>
      <c r="T171" s="840">
        <v>150</v>
      </c>
      <c r="U171" s="840"/>
      <c r="V171" s="840"/>
      <c r="W171" s="840"/>
      <c r="X171" s="840"/>
      <c r="Y171" s="839"/>
    </row>
    <row r="172" spans="12:25" x14ac:dyDescent="0.2">
      <c r="L172" s="840"/>
      <c r="M172" s="840"/>
      <c r="N172" s="840"/>
      <c r="O172" s="840"/>
      <c r="P172" s="840"/>
      <c r="Q172" s="840"/>
      <c r="R172" s="840"/>
      <c r="S172" s="840">
        <v>170</v>
      </c>
      <c r="T172" s="840">
        <v>150</v>
      </c>
      <c r="U172" s="840"/>
      <c r="V172" s="840"/>
      <c r="W172" s="840"/>
      <c r="X172" s="840"/>
      <c r="Y172" s="839"/>
    </row>
    <row r="173" spans="12:25" x14ac:dyDescent="0.2">
      <c r="L173" s="840"/>
      <c r="M173" s="840"/>
      <c r="N173" s="840"/>
      <c r="O173" s="840"/>
      <c r="P173" s="840"/>
      <c r="Q173" s="840"/>
      <c r="R173" s="840"/>
      <c r="S173" s="840">
        <v>171</v>
      </c>
      <c r="T173" s="840">
        <v>150</v>
      </c>
      <c r="U173" s="840"/>
      <c r="V173" s="840"/>
      <c r="W173" s="840"/>
      <c r="X173" s="840"/>
      <c r="Y173" s="839"/>
    </row>
    <row r="174" spans="12:25" x14ac:dyDescent="0.2">
      <c r="L174" s="840"/>
      <c r="M174" s="840"/>
      <c r="N174" s="840"/>
      <c r="O174" s="840"/>
      <c r="P174" s="840"/>
      <c r="Q174" s="840"/>
      <c r="R174" s="840"/>
      <c r="S174" s="840">
        <v>172</v>
      </c>
      <c r="T174" s="840">
        <v>150</v>
      </c>
      <c r="U174" s="840"/>
      <c r="V174" s="840"/>
      <c r="W174" s="840"/>
      <c r="X174" s="840"/>
      <c r="Y174" s="839"/>
    </row>
    <row r="175" spans="12:25" x14ac:dyDescent="0.2">
      <c r="L175" s="840"/>
      <c r="M175" s="840"/>
      <c r="N175" s="840"/>
      <c r="O175" s="840"/>
      <c r="P175" s="840"/>
      <c r="Q175" s="840"/>
      <c r="R175" s="840"/>
      <c r="S175" s="840">
        <v>173</v>
      </c>
      <c r="T175" s="840">
        <v>150</v>
      </c>
      <c r="U175" s="840"/>
      <c r="V175" s="840"/>
      <c r="W175" s="840"/>
      <c r="X175" s="840"/>
      <c r="Y175" s="839"/>
    </row>
    <row r="176" spans="12:25" x14ac:dyDescent="0.2">
      <c r="L176" s="840"/>
      <c r="M176" s="840"/>
      <c r="N176" s="840"/>
      <c r="O176" s="840"/>
      <c r="P176" s="840"/>
      <c r="Q176" s="840"/>
      <c r="R176" s="840"/>
      <c r="S176" s="840">
        <v>174</v>
      </c>
      <c r="T176" s="840">
        <v>150</v>
      </c>
      <c r="U176" s="840"/>
      <c r="V176" s="840"/>
      <c r="W176" s="840"/>
      <c r="X176" s="840"/>
      <c r="Y176" s="839"/>
    </row>
    <row r="177" spans="12:25" x14ac:dyDescent="0.2">
      <c r="L177" s="840"/>
      <c r="M177" s="840"/>
      <c r="N177" s="840"/>
      <c r="O177" s="840"/>
      <c r="P177" s="840"/>
      <c r="Q177" s="840"/>
      <c r="R177" s="840"/>
      <c r="S177" s="840">
        <v>175</v>
      </c>
      <c r="T177" s="840">
        <v>150</v>
      </c>
      <c r="U177" s="840"/>
      <c r="V177" s="840"/>
      <c r="W177" s="840"/>
      <c r="X177" s="840"/>
      <c r="Y177" s="839"/>
    </row>
    <row r="178" spans="12:25" x14ac:dyDescent="0.2">
      <c r="L178" s="840"/>
      <c r="M178" s="840"/>
      <c r="N178" s="840"/>
      <c r="O178" s="840"/>
      <c r="P178" s="840"/>
      <c r="Q178" s="840"/>
      <c r="R178" s="840"/>
      <c r="S178" s="840">
        <v>176</v>
      </c>
      <c r="T178" s="840">
        <v>150</v>
      </c>
      <c r="U178" s="840"/>
      <c r="V178" s="840"/>
      <c r="W178" s="840"/>
      <c r="X178" s="840"/>
      <c r="Y178" s="839"/>
    </row>
    <row r="179" spans="12:25" x14ac:dyDescent="0.2">
      <c r="L179" s="840"/>
      <c r="M179" s="840"/>
      <c r="N179" s="840"/>
      <c r="O179" s="840"/>
      <c r="P179" s="840"/>
      <c r="Q179" s="840"/>
      <c r="R179" s="840"/>
      <c r="S179" s="840">
        <v>177</v>
      </c>
      <c r="T179" s="840">
        <v>150</v>
      </c>
      <c r="U179" s="840"/>
      <c r="V179" s="840"/>
      <c r="W179" s="840"/>
      <c r="X179" s="840"/>
      <c r="Y179" s="839"/>
    </row>
    <row r="180" spans="12:25" x14ac:dyDescent="0.2">
      <c r="L180" s="840"/>
      <c r="M180" s="840"/>
      <c r="N180" s="840"/>
      <c r="O180" s="840"/>
      <c r="P180" s="840"/>
      <c r="Q180" s="840"/>
      <c r="R180" s="840"/>
      <c r="S180" s="840">
        <v>178</v>
      </c>
      <c r="T180" s="840">
        <v>150</v>
      </c>
      <c r="U180" s="840"/>
      <c r="V180" s="840"/>
      <c r="W180" s="840"/>
      <c r="X180" s="840"/>
      <c r="Y180" s="839"/>
    </row>
    <row r="181" spans="12:25" x14ac:dyDescent="0.2">
      <c r="L181" s="840"/>
      <c r="M181" s="840"/>
      <c r="N181" s="840"/>
      <c r="O181" s="840"/>
      <c r="P181" s="840"/>
      <c r="Q181" s="840"/>
      <c r="R181" s="840"/>
      <c r="S181" s="840">
        <v>179</v>
      </c>
      <c r="T181" s="840">
        <v>150</v>
      </c>
      <c r="U181" s="840"/>
      <c r="V181" s="840"/>
      <c r="W181" s="840"/>
      <c r="X181" s="840"/>
      <c r="Y181" s="839"/>
    </row>
    <row r="182" spans="12:25" x14ac:dyDescent="0.2">
      <c r="L182" s="840"/>
      <c r="M182" s="840"/>
      <c r="N182" s="840"/>
      <c r="O182" s="840"/>
      <c r="P182" s="840"/>
      <c r="Q182" s="840"/>
      <c r="R182" s="840"/>
      <c r="S182" s="840">
        <v>180</v>
      </c>
      <c r="T182" s="840">
        <v>150</v>
      </c>
      <c r="U182" s="840"/>
      <c r="V182" s="840"/>
      <c r="W182" s="840"/>
      <c r="X182" s="840"/>
      <c r="Y182" s="839"/>
    </row>
    <row r="183" spans="12:25" x14ac:dyDescent="0.2">
      <c r="L183" s="840"/>
      <c r="M183" s="840"/>
      <c r="N183" s="840"/>
      <c r="O183" s="840"/>
      <c r="P183" s="840"/>
      <c r="Q183" s="840"/>
      <c r="R183" s="840"/>
      <c r="S183" s="840">
        <v>181</v>
      </c>
      <c r="T183" s="840">
        <v>150</v>
      </c>
      <c r="U183" s="840"/>
      <c r="V183" s="840"/>
      <c r="W183" s="840"/>
      <c r="X183" s="840"/>
      <c r="Y183" s="839"/>
    </row>
    <row r="184" spans="12:25" x14ac:dyDescent="0.2">
      <c r="L184" s="840"/>
      <c r="M184" s="840"/>
      <c r="N184" s="840"/>
      <c r="O184" s="840"/>
      <c r="P184" s="840"/>
      <c r="Q184" s="840"/>
      <c r="R184" s="840"/>
      <c r="S184" s="840">
        <v>182</v>
      </c>
      <c r="T184" s="840">
        <v>150</v>
      </c>
      <c r="U184" s="840"/>
      <c r="V184" s="840"/>
      <c r="W184" s="840"/>
      <c r="X184" s="840"/>
      <c r="Y184" s="839"/>
    </row>
    <row r="185" spans="12:25" x14ac:dyDescent="0.2">
      <c r="L185" s="840"/>
      <c r="M185" s="840"/>
      <c r="N185" s="840"/>
      <c r="O185" s="840"/>
      <c r="P185" s="840"/>
      <c r="Q185" s="840"/>
      <c r="R185" s="840"/>
      <c r="S185" s="840">
        <v>183</v>
      </c>
      <c r="T185" s="840">
        <v>150</v>
      </c>
      <c r="U185" s="840"/>
      <c r="V185" s="840"/>
      <c r="W185" s="840"/>
      <c r="X185" s="840"/>
      <c r="Y185" s="839"/>
    </row>
    <row r="186" spans="12:25" x14ac:dyDescent="0.2">
      <c r="L186" s="840"/>
      <c r="M186" s="840"/>
      <c r="N186" s="840"/>
      <c r="O186" s="840"/>
      <c r="P186" s="840"/>
      <c r="Q186" s="840"/>
      <c r="R186" s="840"/>
      <c r="S186" s="840">
        <v>184</v>
      </c>
      <c r="T186" s="840">
        <v>150</v>
      </c>
      <c r="U186" s="840"/>
      <c r="V186" s="840"/>
      <c r="W186" s="840"/>
      <c r="X186" s="840"/>
      <c r="Y186" s="839"/>
    </row>
    <row r="187" spans="12:25" x14ac:dyDescent="0.2">
      <c r="L187" s="840"/>
      <c r="M187" s="840"/>
      <c r="N187" s="840"/>
      <c r="O187" s="840"/>
      <c r="P187" s="840"/>
      <c r="Q187" s="840"/>
      <c r="R187" s="840"/>
      <c r="S187" s="840">
        <v>185</v>
      </c>
      <c r="T187" s="840">
        <v>150</v>
      </c>
      <c r="U187" s="840"/>
      <c r="V187" s="840"/>
      <c r="W187" s="840"/>
      <c r="X187" s="840"/>
      <c r="Y187" s="839"/>
    </row>
    <row r="188" spans="12:25" x14ac:dyDescent="0.2">
      <c r="L188" s="840"/>
      <c r="M188" s="840"/>
      <c r="N188" s="840"/>
      <c r="O188" s="840"/>
      <c r="P188" s="840"/>
      <c r="Q188" s="840"/>
      <c r="R188" s="840"/>
      <c r="S188" s="840">
        <v>186</v>
      </c>
      <c r="T188" s="840">
        <v>150</v>
      </c>
      <c r="U188" s="840"/>
      <c r="V188" s="840"/>
      <c r="W188" s="840"/>
      <c r="X188" s="840"/>
      <c r="Y188" s="839"/>
    </row>
    <row r="189" spans="12:25" x14ac:dyDescent="0.2">
      <c r="L189" s="840"/>
      <c r="M189" s="840"/>
      <c r="N189" s="840"/>
      <c r="O189" s="840"/>
      <c r="P189" s="840"/>
      <c r="Q189" s="840"/>
      <c r="R189" s="840"/>
      <c r="S189" s="840">
        <v>187</v>
      </c>
      <c r="T189" s="840">
        <v>150</v>
      </c>
      <c r="U189" s="840"/>
      <c r="V189" s="840"/>
      <c r="W189" s="840"/>
      <c r="X189" s="840"/>
      <c r="Y189" s="839"/>
    </row>
    <row r="190" spans="12:25" x14ac:dyDescent="0.2">
      <c r="L190" s="840"/>
      <c r="M190" s="840"/>
      <c r="N190" s="840"/>
      <c r="O190" s="840"/>
      <c r="P190" s="840"/>
      <c r="Q190" s="840"/>
      <c r="R190" s="840"/>
      <c r="S190" s="840">
        <v>188</v>
      </c>
      <c r="T190" s="840">
        <v>150</v>
      </c>
      <c r="U190" s="840"/>
      <c r="V190" s="840"/>
      <c r="W190" s="840"/>
      <c r="X190" s="840"/>
      <c r="Y190" s="839"/>
    </row>
    <row r="191" spans="12:25" x14ac:dyDescent="0.2">
      <c r="L191" s="840"/>
      <c r="M191" s="840"/>
      <c r="N191" s="840"/>
      <c r="O191" s="840"/>
      <c r="P191" s="840"/>
      <c r="Q191" s="840"/>
      <c r="R191" s="840"/>
      <c r="S191" s="840">
        <v>189</v>
      </c>
      <c r="T191" s="840">
        <v>150</v>
      </c>
      <c r="U191" s="840"/>
      <c r="V191" s="840"/>
      <c r="W191" s="840"/>
      <c r="X191" s="840"/>
      <c r="Y191" s="839"/>
    </row>
    <row r="192" spans="12:25" x14ac:dyDescent="0.2">
      <c r="L192" s="840"/>
      <c r="M192" s="840"/>
      <c r="N192" s="840"/>
      <c r="O192" s="840"/>
      <c r="P192" s="840"/>
      <c r="Q192" s="840"/>
      <c r="R192" s="840"/>
      <c r="S192" s="840">
        <v>190</v>
      </c>
      <c r="T192" s="840">
        <v>150</v>
      </c>
      <c r="U192" s="840"/>
      <c r="V192" s="840"/>
      <c r="W192" s="840"/>
      <c r="X192" s="840"/>
      <c r="Y192" s="839"/>
    </row>
    <row r="193" spans="12:25" x14ac:dyDescent="0.2">
      <c r="L193" s="840"/>
      <c r="M193" s="840"/>
      <c r="N193" s="840"/>
      <c r="O193" s="840"/>
      <c r="P193" s="840"/>
      <c r="Q193" s="840"/>
      <c r="R193" s="840"/>
      <c r="S193" s="840">
        <v>191</v>
      </c>
      <c r="T193" s="840">
        <v>150</v>
      </c>
      <c r="U193" s="840"/>
      <c r="V193" s="840"/>
      <c r="W193" s="840"/>
      <c r="X193" s="840"/>
      <c r="Y193" s="839"/>
    </row>
    <row r="194" spans="12:25" x14ac:dyDescent="0.2">
      <c r="L194" s="840"/>
      <c r="M194" s="840"/>
      <c r="N194" s="840"/>
      <c r="O194" s="840"/>
      <c r="P194" s="840"/>
      <c r="Q194" s="840"/>
      <c r="R194" s="840"/>
      <c r="S194" s="840">
        <v>192</v>
      </c>
      <c r="T194" s="840">
        <v>150</v>
      </c>
      <c r="U194" s="840"/>
      <c r="V194" s="840"/>
      <c r="W194" s="840"/>
      <c r="X194" s="840"/>
      <c r="Y194" s="839"/>
    </row>
    <row r="195" spans="12:25" x14ac:dyDescent="0.2">
      <c r="L195" s="840"/>
      <c r="M195" s="840"/>
      <c r="N195" s="840"/>
      <c r="O195" s="840"/>
      <c r="P195" s="840"/>
      <c r="Q195" s="840"/>
      <c r="R195" s="840"/>
      <c r="S195" s="840">
        <v>193</v>
      </c>
      <c r="T195" s="840">
        <v>150</v>
      </c>
      <c r="U195" s="840"/>
      <c r="V195" s="840"/>
      <c r="W195" s="840"/>
      <c r="X195" s="840"/>
      <c r="Y195" s="839"/>
    </row>
    <row r="196" spans="12:25" x14ac:dyDescent="0.2">
      <c r="L196" s="840"/>
      <c r="M196" s="840"/>
      <c r="N196" s="840"/>
      <c r="O196" s="840"/>
      <c r="P196" s="840"/>
      <c r="Q196" s="840"/>
      <c r="R196" s="840"/>
      <c r="S196" s="840">
        <v>194</v>
      </c>
      <c r="T196" s="840">
        <v>150</v>
      </c>
      <c r="U196" s="840"/>
      <c r="V196" s="840"/>
      <c r="W196" s="840"/>
      <c r="X196" s="840"/>
      <c r="Y196" s="839"/>
    </row>
    <row r="197" spans="12:25" x14ac:dyDescent="0.2">
      <c r="L197" s="840"/>
      <c r="M197" s="840"/>
      <c r="N197" s="840"/>
      <c r="O197" s="840"/>
      <c r="P197" s="840"/>
      <c r="Q197" s="840"/>
      <c r="R197" s="840"/>
      <c r="S197" s="840">
        <v>195</v>
      </c>
      <c r="T197" s="840">
        <v>150</v>
      </c>
      <c r="U197" s="840"/>
      <c r="V197" s="840"/>
      <c r="W197" s="840"/>
      <c r="X197" s="840"/>
      <c r="Y197" s="839"/>
    </row>
    <row r="198" spans="12:25" x14ac:dyDescent="0.2">
      <c r="L198" s="840"/>
      <c r="M198" s="840"/>
      <c r="N198" s="840"/>
      <c r="O198" s="840"/>
      <c r="P198" s="840"/>
      <c r="Q198" s="840"/>
      <c r="R198" s="840"/>
      <c r="S198" s="840">
        <v>196</v>
      </c>
      <c r="T198" s="840">
        <v>150</v>
      </c>
      <c r="U198" s="840"/>
      <c r="V198" s="840"/>
      <c r="W198" s="840"/>
      <c r="X198" s="840"/>
      <c r="Y198" s="839"/>
    </row>
    <row r="199" spans="12:25" x14ac:dyDescent="0.2">
      <c r="L199" s="840"/>
      <c r="M199" s="840"/>
      <c r="N199" s="840"/>
      <c r="O199" s="840"/>
      <c r="P199" s="840"/>
      <c r="Q199" s="840"/>
      <c r="R199" s="840"/>
      <c r="S199" s="840">
        <v>197</v>
      </c>
      <c r="T199" s="840">
        <v>150</v>
      </c>
      <c r="U199" s="840"/>
      <c r="V199" s="840"/>
      <c r="W199" s="840"/>
      <c r="X199" s="840"/>
      <c r="Y199" s="839"/>
    </row>
    <row r="200" spans="12:25" x14ac:dyDescent="0.2">
      <c r="L200" s="840"/>
      <c r="M200" s="840"/>
      <c r="N200" s="840"/>
      <c r="O200" s="840"/>
      <c r="P200" s="840"/>
      <c r="Q200" s="840"/>
      <c r="R200" s="840"/>
      <c r="S200" s="840">
        <v>198</v>
      </c>
      <c r="T200" s="840">
        <v>150</v>
      </c>
      <c r="U200" s="840"/>
      <c r="V200" s="840"/>
      <c r="W200" s="840"/>
      <c r="X200" s="840"/>
      <c r="Y200" s="839"/>
    </row>
    <row r="201" spans="12:25" x14ac:dyDescent="0.2">
      <c r="L201" s="840"/>
      <c r="M201" s="840"/>
      <c r="N201" s="840"/>
      <c r="O201" s="840"/>
      <c r="P201" s="840"/>
      <c r="Q201" s="840"/>
      <c r="R201" s="840"/>
      <c r="S201" s="840">
        <v>199</v>
      </c>
      <c r="T201" s="840">
        <v>150</v>
      </c>
      <c r="U201" s="840"/>
      <c r="V201" s="840"/>
      <c r="W201" s="840"/>
      <c r="X201" s="840"/>
      <c r="Y201" s="839"/>
    </row>
    <row r="202" spans="12:25" x14ac:dyDescent="0.2">
      <c r="L202" s="840"/>
      <c r="M202" s="840"/>
      <c r="N202" s="840"/>
      <c r="O202" s="840"/>
      <c r="P202" s="840"/>
      <c r="Q202" s="840"/>
      <c r="R202" s="840"/>
      <c r="S202" s="840">
        <v>200</v>
      </c>
      <c r="T202" s="840">
        <v>150</v>
      </c>
      <c r="U202" s="840">
        <v>200</v>
      </c>
      <c r="V202" s="840"/>
      <c r="W202" s="840"/>
      <c r="X202" s="840"/>
      <c r="Y202" s="839"/>
    </row>
    <row r="203" spans="12:25" x14ac:dyDescent="0.2">
      <c r="L203" s="840"/>
      <c r="M203" s="840"/>
      <c r="N203" s="840"/>
      <c r="O203" s="840"/>
      <c r="P203" s="840"/>
      <c r="Q203" s="840"/>
      <c r="R203" s="840"/>
      <c r="S203" s="840">
        <v>201</v>
      </c>
      <c r="T203" s="840">
        <v>150</v>
      </c>
      <c r="U203" s="840"/>
      <c r="V203" s="840"/>
      <c r="W203" s="840"/>
      <c r="X203" s="840"/>
      <c r="Y203" s="839"/>
    </row>
    <row r="204" spans="12:25" x14ac:dyDescent="0.2">
      <c r="L204" s="840"/>
      <c r="M204" s="840"/>
      <c r="N204" s="840"/>
      <c r="O204" s="840"/>
      <c r="P204" s="840"/>
      <c r="Q204" s="840"/>
      <c r="R204" s="840"/>
      <c r="S204" s="840">
        <v>202</v>
      </c>
      <c r="T204" s="840">
        <v>150</v>
      </c>
      <c r="U204" s="840"/>
      <c r="V204" s="840"/>
      <c r="W204" s="840"/>
      <c r="X204" s="840"/>
      <c r="Y204" s="839"/>
    </row>
    <row r="205" spans="12:25" x14ac:dyDescent="0.2">
      <c r="L205" s="840"/>
      <c r="M205" s="840"/>
      <c r="N205" s="840"/>
      <c r="O205" s="840"/>
      <c r="P205" s="840"/>
      <c r="Q205" s="840"/>
      <c r="R205" s="840"/>
      <c r="S205" s="840">
        <v>203</v>
      </c>
      <c r="T205" s="840">
        <v>150</v>
      </c>
      <c r="U205" s="840"/>
      <c r="V205" s="840"/>
      <c r="W205" s="840"/>
      <c r="X205" s="840"/>
      <c r="Y205" s="839"/>
    </row>
    <row r="206" spans="12:25" x14ac:dyDescent="0.2">
      <c r="L206" s="840"/>
      <c r="M206" s="840"/>
      <c r="N206" s="840"/>
      <c r="O206" s="840"/>
      <c r="P206" s="840"/>
      <c r="Q206" s="840"/>
      <c r="R206" s="840"/>
      <c r="S206" s="840">
        <v>204</v>
      </c>
      <c r="T206" s="840">
        <v>150</v>
      </c>
      <c r="U206" s="840"/>
      <c r="V206" s="840"/>
      <c r="W206" s="840"/>
      <c r="X206" s="840"/>
      <c r="Y206" s="839"/>
    </row>
    <row r="207" spans="12:25" x14ac:dyDescent="0.2">
      <c r="L207" s="840"/>
      <c r="M207" s="840"/>
      <c r="N207" s="840"/>
      <c r="O207" s="840"/>
      <c r="P207" s="840"/>
      <c r="Q207" s="840"/>
      <c r="R207" s="840"/>
      <c r="S207" s="840">
        <v>205</v>
      </c>
      <c r="T207" s="840">
        <v>150</v>
      </c>
      <c r="U207" s="840"/>
      <c r="V207" s="840"/>
      <c r="W207" s="840"/>
      <c r="X207" s="840"/>
      <c r="Y207" s="839"/>
    </row>
    <row r="208" spans="12:25" x14ac:dyDescent="0.2">
      <c r="L208" s="840"/>
      <c r="M208" s="840"/>
      <c r="N208" s="840"/>
      <c r="O208" s="840"/>
      <c r="P208" s="840"/>
      <c r="Q208" s="840"/>
      <c r="R208" s="840"/>
      <c r="S208" s="840">
        <v>206</v>
      </c>
      <c r="T208" s="840">
        <v>150</v>
      </c>
      <c r="U208" s="840"/>
      <c r="V208" s="840"/>
      <c r="W208" s="840"/>
      <c r="X208" s="840"/>
      <c r="Y208" s="839"/>
    </row>
    <row r="209" spans="12:25" x14ac:dyDescent="0.2">
      <c r="L209" s="840"/>
      <c r="M209" s="840"/>
      <c r="N209" s="840"/>
      <c r="O209" s="840"/>
      <c r="P209" s="840"/>
      <c r="Q209" s="840"/>
      <c r="R209" s="840"/>
      <c r="S209" s="840">
        <v>207</v>
      </c>
      <c r="T209" s="840">
        <v>150</v>
      </c>
      <c r="U209" s="840"/>
      <c r="V209" s="840"/>
      <c r="W209" s="840"/>
      <c r="X209" s="840"/>
      <c r="Y209" s="839"/>
    </row>
    <row r="210" spans="12:25" x14ac:dyDescent="0.2">
      <c r="L210" s="840"/>
      <c r="M210" s="840"/>
      <c r="N210" s="840"/>
      <c r="O210" s="840"/>
      <c r="P210" s="840"/>
      <c r="Q210" s="840"/>
      <c r="R210" s="840"/>
      <c r="S210" s="840">
        <v>208</v>
      </c>
      <c r="T210" s="840">
        <v>150</v>
      </c>
      <c r="U210" s="840"/>
      <c r="V210" s="840"/>
      <c r="W210" s="840"/>
      <c r="X210" s="840"/>
      <c r="Y210" s="839"/>
    </row>
    <row r="211" spans="12:25" x14ac:dyDescent="0.2">
      <c r="L211" s="840"/>
      <c r="M211" s="840"/>
      <c r="N211" s="840"/>
      <c r="O211" s="840"/>
      <c r="P211" s="840"/>
      <c r="Q211" s="840"/>
      <c r="R211" s="840"/>
      <c r="S211" s="840">
        <v>209</v>
      </c>
      <c r="T211" s="840">
        <v>150</v>
      </c>
      <c r="U211" s="840"/>
      <c r="V211" s="840"/>
      <c r="W211" s="840"/>
      <c r="X211" s="840"/>
      <c r="Y211" s="839"/>
    </row>
    <row r="212" spans="12:25" x14ac:dyDescent="0.2">
      <c r="L212" s="840"/>
      <c r="M212" s="840"/>
      <c r="N212" s="840"/>
      <c r="O212" s="840"/>
      <c r="P212" s="840"/>
      <c r="Q212" s="840"/>
      <c r="R212" s="840"/>
      <c r="S212" s="840">
        <v>210</v>
      </c>
      <c r="T212" s="840">
        <v>150</v>
      </c>
      <c r="U212" s="840"/>
      <c r="V212" s="840"/>
      <c r="W212" s="840"/>
      <c r="X212" s="840"/>
      <c r="Y212" s="839"/>
    </row>
    <row r="213" spans="12:25" x14ac:dyDescent="0.2">
      <c r="L213" s="840"/>
      <c r="M213" s="840"/>
      <c r="N213" s="840"/>
      <c r="O213" s="840"/>
      <c r="P213" s="840"/>
      <c r="Q213" s="840"/>
      <c r="R213" s="840"/>
      <c r="S213" s="840">
        <v>211</v>
      </c>
      <c r="T213" s="840">
        <v>150</v>
      </c>
      <c r="U213" s="840"/>
      <c r="V213" s="840"/>
      <c r="W213" s="840"/>
      <c r="X213" s="840"/>
      <c r="Y213" s="839"/>
    </row>
    <row r="214" spans="12:25" x14ac:dyDescent="0.2">
      <c r="L214" s="840"/>
      <c r="M214" s="840"/>
      <c r="N214" s="840"/>
      <c r="O214" s="840"/>
      <c r="P214" s="840"/>
      <c r="Q214" s="840"/>
      <c r="R214" s="840"/>
      <c r="S214" s="840">
        <v>212</v>
      </c>
      <c r="T214" s="840">
        <v>150</v>
      </c>
      <c r="U214" s="840"/>
      <c r="V214" s="840"/>
      <c r="W214" s="840"/>
      <c r="X214" s="840"/>
      <c r="Y214" s="839"/>
    </row>
    <row r="215" spans="12:25" x14ac:dyDescent="0.2">
      <c r="L215" s="840"/>
      <c r="M215" s="840"/>
      <c r="N215" s="840"/>
      <c r="O215" s="840"/>
      <c r="P215" s="840"/>
      <c r="Q215" s="840"/>
      <c r="R215" s="840"/>
      <c r="S215" s="840">
        <v>213</v>
      </c>
      <c r="T215" s="840">
        <v>150</v>
      </c>
      <c r="U215" s="840"/>
      <c r="V215" s="840"/>
      <c r="W215" s="840"/>
      <c r="X215" s="840"/>
      <c r="Y215" s="839"/>
    </row>
    <row r="216" spans="12:25" x14ac:dyDescent="0.2">
      <c r="L216" s="840"/>
      <c r="M216" s="840"/>
      <c r="N216" s="840"/>
      <c r="O216" s="840"/>
      <c r="P216" s="840"/>
      <c r="Q216" s="840"/>
      <c r="R216" s="840"/>
      <c r="S216" s="840">
        <v>214</v>
      </c>
      <c r="T216" s="840">
        <v>150</v>
      </c>
      <c r="U216" s="840"/>
      <c r="V216" s="840"/>
      <c r="W216" s="840"/>
      <c r="X216" s="840"/>
      <c r="Y216" s="839"/>
    </row>
    <row r="217" spans="12:25" x14ac:dyDescent="0.2">
      <c r="L217" s="840"/>
      <c r="M217" s="840"/>
      <c r="N217" s="840"/>
      <c r="O217" s="840"/>
      <c r="P217" s="840"/>
      <c r="Q217" s="840"/>
      <c r="R217" s="840"/>
      <c r="S217" s="840">
        <v>215</v>
      </c>
      <c r="T217" s="840">
        <v>150</v>
      </c>
      <c r="U217" s="840"/>
      <c r="V217" s="840"/>
      <c r="W217" s="840"/>
      <c r="X217" s="840"/>
      <c r="Y217" s="839"/>
    </row>
    <row r="218" spans="12:25" x14ac:dyDescent="0.2">
      <c r="L218" s="840"/>
      <c r="M218" s="840"/>
      <c r="N218" s="840"/>
      <c r="O218" s="840"/>
      <c r="P218" s="840"/>
      <c r="Q218" s="840"/>
      <c r="R218" s="840"/>
      <c r="S218" s="840">
        <v>216</v>
      </c>
      <c r="T218" s="840">
        <v>150</v>
      </c>
      <c r="U218" s="840"/>
      <c r="V218" s="840"/>
      <c r="W218" s="840"/>
      <c r="X218" s="840"/>
      <c r="Y218" s="839"/>
    </row>
    <row r="219" spans="12:25" x14ac:dyDescent="0.2">
      <c r="L219" s="840"/>
      <c r="M219" s="840"/>
      <c r="N219" s="840"/>
      <c r="O219" s="840"/>
      <c r="P219" s="840"/>
      <c r="Q219" s="840"/>
      <c r="R219" s="840"/>
      <c r="S219" s="840">
        <v>217</v>
      </c>
      <c r="T219" s="840">
        <v>150</v>
      </c>
      <c r="U219" s="840"/>
      <c r="V219" s="840"/>
      <c r="W219" s="840"/>
      <c r="X219" s="840"/>
      <c r="Y219" s="839"/>
    </row>
    <row r="220" spans="12:25" x14ac:dyDescent="0.2">
      <c r="L220" s="840"/>
      <c r="M220" s="840"/>
      <c r="N220" s="840"/>
      <c r="O220" s="840"/>
      <c r="P220" s="840"/>
      <c r="Q220" s="840"/>
      <c r="R220" s="840"/>
      <c r="S220" s="840">
        <v>218</v>
      </c>
      <c r="T220" s="840">
        <v>150</v>
      </c>
      <c r="U220" s="840"/>
      <c r="V220" s="840"/>
      <c r="W220" s="840"/>
      <c r="X220" s="840"/>
      <c r="Y220" s="839"/>
    </row>
    <row r="221" spans="12:25" x14ac:dyDescent="0.2">
      <c r="L221" s="840"/>
      <c r="M221" s="840"/>
      <c r="N221" s="840"/>
      <c r="O221" s="840"/>
      <c r="P221" s="840"/>
      <c r="Q221" s="840"/>
      <c r="R221" s="840"/>
      <c r="S221" s="840">
        <v>219</v>
      </c>
      <c r="T221" s="840">
        <v>150</v>
      </c>
      <c r="U221" s="840"/>
      <c r="V221" s="840"/>
      <c r="W221" s="840"/>
      <c r="X221" s="840"/>
      <c r="Y221" s="839"/>
    </row>
    <row r="222" spans="12:25" x14ac:dyDescent="0.2">
      <c r="L222" s="840"/>
      <c r="M222" s="840"/>
      <c r="N222" s="840"/>
      <c r="O222" s="840"/>
      <c r="P222" s="840"/>
      <c r="Q222" s="840"/>
      <c r="R222" s="840"/>
      <c r="S222" s="840">
        <v>220</v>
      </c>
      <c r="T222" s="840">
        <v>150</v>
      </c>
      <c r="U222" s="840"/>
      <c r="V222" s="840"/>
      <c r="W222" s="840"/>
      <c r="X222" s="840"/>
      <c r="Y222" s="839"/>
    </row>
    <row r="223" spans="12:25" x14ac:dyDescent="0.2">
      <c r="L223" s="840"/>
      <c r="M223" s="840"/>
      <c r="N223" s="840"/>
      <c r="O223" s="840"/>
      <c r="P223" s="840"/>
      <c r="Q223" s="840"/>
      <c r="R223" s="840"/>
      <c r="S223" s="840">
        <v>221</v>
      </c>
      <c r="T223" s="840">
        <v>150</v>
      </c>
      <c r="U223" s="840"/>
      <c r="V223" s="840"/>
      <c r="W223" s="840"/>
      <c r="X223" s="840"/>
      <c r="Y223" s="839"/>
    </row>
    <row r="224" spans="12:25" x14ac:dyDescent="0.2">
      <c r="L224" s="840"/>
      <c r="M224" s="840"/>
      <c r="N224" s="840"/>
      <c r="O224" s="840"/>
      <c r="P224" s="840"/>
      <c r="Q224" s="840"/>
      <c r="R224" s="840"/>
      <c r="S224" s="840">
        <v>222</v>
      </c>
      <c r="T224" s="840">
        <v>150</v>
      </c>
      <c r="U224" s="840"/>
      <c r="V224" s="840"/>
      <c r="W224" s="840"/>
      <c r="X224" s="840"/>
      <c r="Y224" s="839"/>
    </row>
    <row r="225" spans="12:25" x14ac:dyDescent="0.2">
      <c r="L225" s="840"/>
      <c r="M225" s="840"/>
      <c r="N225" s="840"/>
      <c r="O225" s="840"/>
      <c r="P225" s="840"/>
      <c r="Q225" s="840"/>
      <c r="R225" s="840"/>
      <c r="S225" s="840">
        <v>223</v>
      </c>
      <c r="T225" s="840">
        <v>150</v>
      </c>
      <c r="U225" s="840"/>
      <c r="V225" s="840"/>
      <c r="W225" s="840"/>
      <c r="X225" s="840"/>
      <c r="Y225" s="839"/>
    </row>
    <row r="226" spans="12:25" x14ac:dyDescent="0.2">
      <c r="L226" s="840"/>
      <c r="M226" s="840"/>
      <c r="N226" s="840"/>
      <c r="O226" s="840"/>
      <c r="P226" s="840"/>
      <c r="Q226" s="840"/>
      <c r="R226" s="840"/>
      <c r="S226" s="840">
        <v>224</v>
      </c>
      <c r="T226" s="840">
        <v>150</v>
      </c>
      <c r="U226" s="840"/>
      <c r="V226" s="840"/>
      <c r="W226" s="840"/>
      <c r="X226" s="840"/>
      <c r="Y226" s="839"/>
    </row>
    <row r="227" spans="12:25" x14ac:dyDescent="0.2">
      <c r="L227" s="840"/>
      <c r="M227" s="840"/>
      <c r="N227" s="840"/>
      <c r="O227" s="840"/>
      <c r="P227" s="840"/>
      <c r="Q227" s="840"/>
      <c r="R227" s="840"/>
      <c r="S227" s="840">
        <v>225</v>
      </c>
      <c r="T227" s="840">
        <v>150</v>
      </c>
      <c r="U227" s="840"/>
      <c r="V227" s="840"/>
      <c r="W227" s="840"/>
      <c r="X227" s="840"/>
      <c r="Y227" s="839"/>
    </row>
    <row r="228" spans="12:25" x14ac:dyDescent="0.2">
      <c r="L228" s="840"/>
      <c r="M228" s="840"/>
      <c r="N228" s="840"/>
      <c r="O228" s="840"/>
      <c r="P228" s="840"/>
      <c r="Q228" s="840"/>
      <c r="R228" s="840"/>
      <c r="S228" s="840">
        <v>226</v>
      </c>
      <c r="T228" s="840">
        <v>150</v>
      </c>
      <c r="U228" s="840"/>
      <c r="V228" s="840"/>
      <c r="W228" s="840"/>
      <c r="X228" s="840"/>
      <c r="Y228" s="839"/>
    </row>
    <row r="229" spans="12:25" x14ac:dyDescent="0.2">
      <c r="L229" s="840"/>
      <c r="M229" s="840"/>
      <c r="N229" s="840"/>
      <c r="O229" s="840"/>
      <c r="P229" s="840"/>
      <c r="Q229" s="840"/>
      <c r="R229" s="840"/>
      <c r="S229" s="840">
        <v>227</v>
      </c>
      <c r="T229" s="840">
        <v>150</v>
      </c>
      <c r="U229" s="840"/>
      <c r="V229" s="840"/>
      <c r="W229" s="840"/>
      <c r="X229" s="840"/>
      <c r="Y229" s="839"/>
    </row>
    <row r="230" spans="12:25" x14ac:dyDescent="0.2">
      <c r="L230" s="840"/>
      <c r="M230" s="840"/>
      <c r="N230" s="840"/>
      <c r="O230" s="840"/>
      <c r="P230" s="840"/>
      <c r="Q230" s="840"/>
      <c r="R230" s="840"/>
      <c r="S230" s="840">
        <v>228</v>
      </c>
      <c r="T230" s="840">
        <v>150</v>
      </c>
      <c r="U230" s="840"/>
      <c r="V230" s="840"/>
      <c r="W230" s="840"/>
      <c r="X230" s="840"/>
      <c r="Y230" s="839"/>
    </row>
    <row r="231" spans="12:25" x14ac:dyDescent="0.2">
      <c r="L231" s="840"/>
      <c r="M231" s="840"/>
      <c r="N231" s="840"/>
      <c r="O231" s="840"/>
      <c r="P231" s="840"/>
      <c r="Q231" s="840"/>
      <c r="R231" s="840"/>
      <c r="S231" s="840">
        <v>229</v>
      </c>
      <c r="T231" s="840">
        <v>150</v>
      </c>
      <c r="U231" s="840"/>
      <c r="V231" s="840"/>
      <c r="W231" s="840"/>
      <c r="X231" s="840"/>
      <c r="Y231" s="839"/>
    </row>
    <row r="232" spans="12:25" x14ac:dyDescent="0.2">
      <c r="L232" s="840"/>
      <c r="M232" s="840"/>
      <c r="N232" s="840"/>
      <c r="O232" s="840"/>
      <c r="P232" s="840"/>
      <c r="Q232" s="840"/>
      <c r="R232" s="840"/>
      <c r="S232" s="840">
        <v>230</v>
      </c>
      <c r="T232" s="840">
        <v>150</v>
      </c>
      <c r="U232" s="840"/>
      <c r="V232" s="840"/>
      <c r="W232" s="840"/>
      <c r="X232" s="840"/>
      <c r="Y232" s="839"/>
    </row>
    <row r="233" spans="12:25" x14ac:dyDescent="0.2">
      <c r="L233" s="840"/>
      <c r="M233" s="840"/>
      <c r="N233" s="840"/>
      <c r="O233" s="840"/>
      <c r="P233" s="840"/>
      <c r="Q233" s="840"/>
      <c r="R233" s="840"/>
      <c r="S233" s="840">
        <v>231</v>
      </c>
      <c r="T233" s="840">
        <v>150</v>
      </c>
      <c r="U233" s="840"/>
      <c r="V233" s="840"/>
      <c r="W233" s="840"/>
      <c r="X233" s="840"/>
      <c r="Y233" s="839"/>
    </row>
    <row r="234" spans="12:25" x14ac:dyDescent="0.2">
      <c r="L234" s="840"/>
      <c r="M234" s="840"/>
      <c r="N234" s="840"/>
      <c r="O234" s="840"/>
      <c r="P234" s="840"/>
      <c r="Q234" s="840"/>
      <c r="R234" s="840"/>
      <c r="S234" s="840">
        <v>232</v>
      </c>
      <c r="T234" s="840">
        <v>150</v>
      </c>
      <c r="U234" s="840"/>
      <c r="V234" s="840"/>
      <c r="W234" s="840"/>
      <c r="X234" s="840"/>
      <c r="Y234" s="839"/>
    </row>
    <row r="235" spans="12:25" x14ac:dyDescent="0.2">
      <c r="L235" s="840"/>
      <c r="M235" s="840"/>
      <c r="N235" s="840"/>
      <c r="O235" s="840"/>
      <c r="P235" s="840"/>
      <c r="Q235" s="840"/>
      <c r="R235" s="840"/>
      <c r="S235" s="840">
        <v>233</v>
      </c>
      <c r="T235" s="840">
        <v>150</v>
      </c>
      <c r="U235" s="840"/>
      <c r="V235" s="840"/>
      <c r="W235" s="840"/>
      <c r="X235" s="840"/>
      <c r="Y235" s="839"/>
    </row>
    <row r="236" spans="12:25" x14ac:dyDescent="0.2">
      <c r="L236" s="840"/>
      <c r="M236" s="840"/>
      <c r="N236" s="840"/>
      <c r="O236" s="840"/>
      <c r="P236" s="840"/>
      <c r="Q236" s="840"/>
      <c r="R236" s="840"/>
      <c r="S236" s="840">
        <v>234</v>
      </c>
      <c r="T236" s="840">
        <v>150</v>
      </c>
      <c r="U236" s="840"/>
      <c r="V236" s="840"/>
      <c r="W236" s="840"/>
      <c r="X236" s="840"/>
      <c r="Y236" s="839"/>
    </row>
    <row r="237" spans="12:25" x14ac:dyDescent="0.2">
      <c r="L237" s="840"/>
      <c r="M237" s="840"/>
      <c r="N237" s="840"/>
      <c r="O237" s="840"/>
      <c r="P237" s="840"/>
      <c r="Q237" s="840"/>
      <c r="R237" s="840"/>
      <c r="S237" s="840">
        <v>235</v>
      </c>
      <c r="T237" s="840">
        <v>150</v>
      </c>
      <c r="U237" s="840"/>
      <c r="V237" s="840"/>
      <c r="W237" s="840"/>
      <c r="X237" s="840"/>
      <c r="Y237" s="839"/>
    </row>
    <row r="238" spans="12:25" x14ac:dyDescent="0.2">
      <c r="L238" s="840"/>
      <c r="M238" s="840"/>
      <c r="N238" s="840"/>
      <c r="O238" s="840"/>
      <c r="P238" s="840"/>
      <c r="Q238" s="840"/>
      <c r="R238" s="840"/>
      <c r="S238" s="840">
        <v>236</v>
      </c>
      <c r="T238" s="840">
        <v>150</v>
      </c>
      <c r="U238" s="840"/>
      <c r="V238" s="840"/>
      <c r="W238" s="840"/>
      <c r="X238" s="840"/>
      <c r="Y238" s="839"/>
    </row>
    <row r="239" spans="12:25" x14ac:dyDescent="0.2">
      <c r="L239" s="840"/>
      <c r="M239" s="840"/>
      <c r="N239" s="840"/>
      <c r="O239" s="840"/>
      <c r="P239" s="840"/>
      <c r="Q239" s="840"/>
      <c r="R239" s="840"/>
      <c r="S239" s="840">
        <v>237</v>
      </c>
      <c r="T239" s="840">
        <v>150</v>
      </c>
      <c r="U239" s="840"/>
      <c r="V239" s="840"/>
      <c r="W239" s="840"/>
      <c r="X239" s="840"/>
      <c r="Y239" s="839"/>
    </row>
    <row r="240" spans="12:25" x14ac:dyDescent="0.2">
      <c r="L240" s="840"/>
      <c r="M240" s="840"/>
      <c r="N240" s="840"/>
      <c r="O240" s="840"/>
      <c r="P240" s="840"/>
      <c r="Q240" s="840"/>
      <c r="R240" s="840"/>
      <c r="S240" s="840">
        <v>238</v>
      </c>
      <c r="T240" s="840">
        <v>150</v>
      </c>
      <c r="U240" s="840"/>
      <c r="V240" s="840"/>
      <c r="W240" s="840"/>
      <c r="X240" s="840"/>
      <c r="Y240" s="839"/>
    </row>
    <row r="241" spans="12:25" x14ac:dyDescent="0.2">
      <c r="L241" s="840"/>
      <c r="M241" s="840"/>
      <c r="N241" s="840"/>
      <c r="O241" s="840"/>
      <c r="P241" s="840"/>
      <c r="Q241" s="840"/>
      <c r="R241" s="840"/>
      <c r="S241" s="840">
        <v>239</v>
      </c>
      <c r="T241" s="840">
        <v>150</v>
      </c>
      <c r="U241" s="840"/>
      <c r="V241" s="840"/>
      <c r="W241" s="840"/>
      <c r="X241" s="840"/>
      <c r="Y241" s="839"/>
    </row>
    <row r="242" spans="12:25" x14ac:dyDescent="0.2">
      <c r="L242" s="840"/>
      <c r="M242" s="840"/>
      <c r="N242" s="840"/>
      <c r="O242" s="840"/>
      <c r="P242" s="840"/>
      <c r="Q242" s="840"/>
      <c r="R242" s="840"/>
      <c r="S242" s="840">
        <v>240</v>
      </c>
      <c r="T242" s="840">
        <v>150</v>
      </c>
      <c r="U242" s="840"/>
      <c r="V242" s="840"/>
      <c r="W242" s="840"/>
      <c r="X242" s="840"/>
      <c r="Y242" s="839"/>
    </row>
    <row r="243" spans="12:25" x14ac:dyDescent="0.2">
      <c r="L243" s="840"/>
      <c r="M243" s="840"/>
      <c r="N243" s="840"/>
      <c r="O243" s="840"/>
      <c r="P243" s="840"/>
      <c r="Q243" s="840"/>
      <c r="R243" s="840"/>
      <c r="S243" s="840">
        <v>241</v>
      </c>
      <c r="T243" s="840">
        <v>150</v>
      </c>
      <c r="U243" s="840"/>
      <c r="V243" s="840"/>
      <c r="W243" s="840"/>
      <c r="X243" s="840"/>
      <c r="Y243" s="839"/>
    </row>
    <row r="244" spans="12:25" x14ac:dyDescent="0.2">
      <c r="L244" s="840"/>
      <c r="M244" s="840"/>
      <c r="N244" s="840"/>
      <c r="O244" s="840"/>
      <c r="P244" s="840"/>
      <c r="Q244" s="840"/>
      <c r="R244" s="840"/>
      <c r="S244" s="840">
        <v>242</v>
      </c>
      <c r="T244" s="840">
        <v>150</v>
      </c>
      <c r="U244" s="840"/>
      <c r="V244" s="840"/>
      <c r="W244" s="840"/>
      <c r="X244" s="840"/>
      <c r="Y244" s="839"/>
    </row>
    <row r="245" spans="12:25" x14ac:dyDescent="0.2">
      <c r="L245" s="840"/>
      <c r="M245" s="840"/>
      <c r="N245" s="840"/>
      <c r="O245" s="840"/>
      <c r="P245" s="840"/>
      <c r="Q245" s="840"/>
      <c r="R245" s="840"/>
      <c r="S245" s="840">
        <v>243</v>
      </c>
      <c r="T245" s="840">
        <v>150</v>
      </c>
      <c r="U245" s="840"/>
      <c r="V245" s="840"/>
      <c r="W245" s="840"/>
      <c r="X245" s="840"/>
      <c r="Y245" s="839"/>
    </row>
    <row r="246" spans="12:25" x14ac:dyDescent="0.2">
      <c r="L246" s="840"/>
      <c r="M246" s="840"/>
      <c r="N246" s="840"/>
      <c r="O246" s="840"/>
      <c r="P246" s="840"/>
      <c r="Q246" s="840"/>
      <c r="R246" s="840"/>
      <c r="S246" s="840">
        <v>244</v>
      </c>
      <c r="T246" s="840">
        <v>150</v>
      </c>
      <c r="U246" s="840"/>
      <c r="V246" s="840"/>
      <c r="W246" s="840"/>
      <c r="X246" s="840"/>
      <c r="Y246" s="839"/>
    </row>
    <row r="247" spans="12:25" x14ac:dyDescent="0.2">
      <c r="L247" s="840"/>
      <c r="M247" s="840"/>
      <c r="N247" s="840"/>
      <c r="O247" s="840"/>
      <c r="P247" s="840"/>
      <c r="Q247" s="840"/>
      <c r="R247" s="840"/>
      <c r="S247" s="840">
        <v>245</v>
      </c>
      <c r="T247" s="840">
        <v>150</v>
      </c>
      <c r="U247" s="840"/>
      <c r="V247" s="840"/>
      <c r="W247" s="840"/>
      <c r="X247" s="840"/>
      <c r="Y247" s="839"/>
    </row>
    <row r="248" spans="12:25" x14ac:dyDescent="0.2">
      <c r="L248" s="840"/>
      <c r="M248" s="840"/>
      <c r="N248" s="840"/>
      <c r="O248" s="840"/>
      <c r="P248" s="840"/>
      <c r="Q248" s="840"/>
      <c r="R248" s="840"/>
      <c r="S248" s="840">
        <v>246</v>
      </c>
      <c r="T248" s="840">
        <v>150</v>
      </c>
      <c r="U248" s="840"/>
      <c r="V248" s="840"/>
      <c r="W248" s="840"/>
      <c r="X248" s="840"/>
      <c r="Y248" s="839"/>
    </row>
    <row r="249" spans="12:25" x14ac:dyDescent="0.2">
      <c r="L249" s="840"/>
      <c r="M249" s="840"/>
      <c r="N249" s="840"/>
      <c r="O249" s="840"/>
      <c r="P249" s="840"/>
      <c r="Q249" s="840"/>
      <c r="R249" s="840"/>
      <c r="S249" s="840">
        <v>247</v>
      </c>
      <c r="T249" s="840">
        <v>150</v>
      </c>
      <c r="U249" s="840"/>
      <c r="V249" s="840"/>
      <c r="W249" s="840"/>
      <c r="X249" s="840"/>
      <c r="Y249" s="839"/>
    </row>
    <row r="250" spans="12:25" x14ac:dyDescent="0.2">
      <c r="L250" s="840"/>
      <c r="M250" s="840"/>
      <c r="N250" s="840"/>
      <c r="O250" s="840"/>
      <c r="P250" s="840"/>
      <c r="Q250" s="840"/>
      <c r="R250" s="840"/>
      <c r="S250" s="840">
        <v>248</v>
      </c>
      <c r="T250" s="840">
        <v>150</v>
      </c>
      <c r="U250" s="840"/>
      <c r="V250" s="840"/>
      <c r="W250" s="840"/>
      <c r="X250" s="840"/>
      <c r="Y250" s="839"/>
    </row>
    <row r="251" spans="12:25" x14ac:dyDescent="0.2">
      <c r="L251" s="840"/>
      <c r="M251" s="840"/>
      <c r="N251" s="840"/>
      <c r="O251" s="840"/>
      <c r="P251" s="840"/>
      <c r="Q251" s="840"/>
      <c r="R251" s="840"/>
      <c r="S251" s="840">
        <v>249</v>
      </c>
      <c r="T251" s="840">
        <v>150</v>
      </c>
      <c r="U251" s="840"/>
      <c r="V251" s="840"/>
      <c r="W251" s="840"/>
      <c r="X251" s="840"/>
      <c r="Y251" s="839"/>
    </row>
    <row r="252" spans="12:25" x14ac:dyDescent="0.2">
      <c r="L252" s="840"/>
      <c r="M252" s="840"/>
      <c r="N252" s="840"/>
      <c r="O252" s="840"/>
      <c r="P252" s="840"/>
      <c r="Q252" s="840"/>
      <c r="R252" s="840"/>
      <c r="S252" s="840">
        <v>250</v>
      </c>
      <c r="T252" s="840">
        <v>150</v>
      </c>
      <c r="U252" s="840"/>
      <c r="V252" s="840"/>
      <c r="W252" s="840"/>
      <c r="X252" s="840"/>
      <c r="Y252" s="839"/>
    </row>
    <row r="253" spans="12:25" x14ac:dyDescent="0.2">
      <c r="L253" s="840"/>
      <c r="M253" s="840"/>
      <c r="N253" s="840"/>
      <c r="O253" s="840"/>
      <c r="P253" s="840"/>
      <c r="Q253" s="840"/>
      <c r="R253" s="840"/>
      <c r="S253" s="840">
        <v>251</v>
      </c>
      <c r="T253" s="840">
        <v>150</v>
      </c>
      <c r="U253" s="840"/>
      <c r="V253" s="840"/>
      <c r="W253" s="840"/>
      <c r="X253" s="840"/>
      <c r="Y253" s="839"/>
    </row>
    <row r="254" spans="12:25" x14ac:dyDescent="0.2">
      <c r="L254" s="840"/>
      <c r="M254" s="840"/>
      <c r="N254" s="840"/>
      <c r="O254" s="840"/>
      <c r="P254" s="840"/>
      <c r="Q254" s="840"/>
      <c r="R254" s="840"/>
      <c r="S254" s="840">
        <v>252</v>
      </c>
      <c r="T254" s="840">
        <v>150</v>
      </c>
      <c r="U254" s="840"/>
      <c r="V254" s="840"/>
      <c r="W254" s="840"/>
      <c r="X254" s="840"/>
      <c r="Y254" s="839"/>
    </row>
    <row r="255" spans="12:25" x14ac:dyDescent="0.2">
      <c r="L255" s="840"/>
      <c r="M255" s="840"/>
      <c r="N255" s="840"/>
      <c r="O255" s="840"/>
      <c r="P255" s="840"/>
      <c r="Q255" s="840"/>
      <c r="R255" s="840"/>
      <c r="S255" s="840">
        <v>253</v>
      </c>
      <c r="T255" s="840">
        <v>150</v>
      </c>
      <c r="U255" s="840"/>
      <c r="V255" s="840"/>
      <c r="W255" s="840"/>
      <c r="X255" s="840"/>
      <c r="Y255" s="839"/>
    </row>
    <row r="256" spans="12:25" x14ac:dyDescent="0.2">
      <c r="L256" s="840"/>
      <c r="M256" s="840"/>
      <c r="N256" s="840"/>
      <c r="O256" s="840"/>
      <c r="P256" s="840"/>
      <c r="Q256" s="840"/>
      <c r="R256" s="840"/>
      <c r="S256" s="840">
        <v>254</v>
      </c>
      <c r="T256" s="840">
        <v>150</v>
      </c>
      <c r="U256" s="840"/>
      <c r="V256" s="840"/>
      <c r="W256" s="840"/>
      <c r="X256" s="840"/>
      <c r="Y256" s="839"/>
    </row>
    <row r="257" spans="12:25" x14ac:dyDescent="0.2">
      <c r="L257" s="840"/>
      <c r="M257" s="840"/>
      <c r="N257" s="840"/>
      <c r="O257" s="840"/>
      <c r="P257" s="840"/>
      <c r="Q257" s="840"/>
      <c r="R257" s="840"/>
      <c r="S257" s="840">
        <v>255</v>
      </c>
      <c r="T257" s="840">
        <v>150</v>
      </c>
      <c r="U257" s="840"/>
      <c r="V257" s="840"/>
      <c r="W257" s="840"/>
      <c r="X257" s="840"/>
      <c r="Y257" s="839"/>
    </row>
    <row r="258" spans="12:25" x14ac:dyDescent="0.2">
      <c r="L258" s="840"/>
      <c r="M258" s="840"/>
      <c r="N258" s="840"/>
      <c r="O258" s="840"/>
      <c r="P258" s="840"/>
      <c r="Q258" s="840"/>
      <c r="R258" s="840"/>
      <c r="S258" s="840">
        <v>256</v>
      </c>
      <c r="T258" s="840">
        <v>150</v>
      </c>
      <c r="U258" s="840"/>
      <c r="V258" s="840"/>
      <c r="W258" s="840"/>
      <c r="X258" s="840"/>
      <c r="Y258" s="839"/>
    </row>
    <row r="259" spans="12:25" x14ac:dyDescent="0.2">
      <c r="L259" s="840"/>
      <c r="M259" s="840"/>
      <c r="N259" s="840"/>
      <c r="O259" s="840"/>
      <c r="P259" s="840"/>
      <c r="Q259" s="840"/>
      <c r="R259" s="840"/>
      <c r="S259" s="840">
        <v>257</v>
      </c>
      <c r="T259" s="840">
        <v>150</v>
      </c>
      <c r="U259" s="840"/>
      <c r="V259" s="840"/>
      <c r="W259" s="840"/>
      <c r="X259" s="840"/>
      <c r="Y259" s="839"/>
    </row>
    <row r="260" spans="12:25" x14ac:dyDescent="0.2">
      <c r="L260" s="840"/>
      <c r="M260" s="840"/>
      <c r="N260" s="840"/>
      <c r="O260" s="840"/>
      <c r="P260" s="840"/>
      <c r="Q260" s="840"/>
      <c r="R260" s="840"/>
      <c r="S260" s="840">
        <v>258</v>
      </c>
      <c r="T260" s="840">
        <v>150</v>
      </c>
      <c r="U260" s="840"/>
      <c r="V260" s="840"/>
      <c r="W260" s="840"/>
      <c r="X260" s="840"/>
      <c r="Y260" s="839"/>
    </row>
    <row r="261" spans="12:25" x14ac:dyDescent="0.2">
      <c r="L261" s="840"/>
      <c r="M261" s="840"/>
      <c r="N261" s="840"/>
      <c r="O261" s="840"/>
      <c r="P261" s="840"/>
      <c r="Q261" s="840"/>
      <c r="R261" s="840"/>
      <c r="S261" s="840">
        <v>259</v>
      </c>
      <c r="T261" s="840">
        <v>150</v>
      </c>
      <c r="U261" s="840"/>
      <c r="V261" s="840"/>
      <c r="W261" s="840"/>
      <c r="X261" s="840"/>
      <c r="Y261" s="839"/>
    </row>
    <row r="262" spans="12:25" x14ac:dyDescent="0.2">
      <c r="L262" s="840"/>
      <c r="M262" s="840"/>
      <c r="N262" s="840"/>
      <c r="O262" s="840"/>
      <c r="P262" s="840"/>
      <c r="Q262" s="840"/>
      <c r="R262" s="840"/>
      <c r="S262" s="840">
        <v>260</v>
      </c>
      <c r="T262" s="840">
        <v>150</v>
      </c>
      <c r="U262" s="840"/>
      <c r="V262" s="840"/>
      <c r="W262" s="840"/>
      <c r="X262" s="840"/>
      <c r="Y262" s="839"/>
    </row>
    <row r="263" spans="12:25" x14ac:dyDescent="0.2">
      <c r="L263" s="840"/>
      <c r="M263" s="840"/>
      <c r="N263" s="840"/>
      <c r="O263" s="840"/>
      <c r="P263" s="840"/>
      <c r="Q263" s="840"/>
      <c r="R263" s="840"/>
      <c r="S263" s="840">
        <v>261</v>
      </c>
      <c r="T263" s="840">
        <v>150</v>
      </c>
      <c r="U263" s="840"/>
      <c r="V263" s="840"/>
      <c r="W263" s="840"/>
      <c r="X263" s="840"/>
      <c r="Y263" s="839"/>
    </row>
    <row r="264" spans="12:25" x14ac:dyDescent="0.2">
      <c r="L264" s="840"/>
      <c r="M264" s="840"/>
      <c r="N264" s="840"/>
      <c r="O264" s="840"/>
      <c r="P264" s="840"/>
      <c r="Q264" s="840"/>
      <c r="R264" s="840"/>
      <c r="S264" s="840">
        <v>262</v>
      </c>
      <c r="T264" s="840">
        <v>150</v>
      </c>
      <c r="U264" s="840"/>
      <c r="V264" s="840"/>
      <c r="W264" s="840"/>
      <c r="X264" s="840"/>
      <c r="Y264" s="839"/>
    </row>
    <row r="265" spans="12:25" x14ac:dyDescent="0.2">
      <c r="L265" s="840"/>
      <c r="M265" s="840"/>
      <c r="N265" s="840"/>
      <c r="O265" s="840"/>
      <c r="P265" s="840"/>
      <c r="Q265" s="840"/>
      <c r="R265" s="840"/>
      <c r="S265" s="840">
        <v>263</v>
      </c>
      <c r="T265" s="840">
        <v>150</v>
      </c>
      <c r="U265" s="840"/>
      <c r="V265" s="840"/>
      <c r="W265" s="840"/>
      <c r="X265" s="840"/>
      <c r="Y265" s="839"/>
    </row>
    <row r="266" spans="12:25" x14ac:dyDescent="0.2">
      <c r="L266" s="840"/>
      <c r="M266" s="840"/>
      <c r="N266" s="840"/>
      <c r="O266" s="840"/>
      <c r="P266" s="840"/>
      <c r="Q266" s="840"/>
      <c r="R266" s="840"/>
      <c r="S266" s="840">
        <v>264</v>
      </c>
      <c r="T266" s="840">
        <v>150</v>
      </c>
      <c r="U266" s="840"/>
      <c r="V266" s="840"/>
      <c r="W266" s="840"/>
      <c r="X266" s="840"/>
      <c r="Y266" s="839"/>
    </row>
    <row r="267" spans="12:25" x14ac:dyDescent="0.2">
      <c r="L267" s="840"/>
      <c r="M267" s="840"/>
      <c r="N267" s="840"/>
      <c r="O267" s="840"/>
      <c r="P267" s="840"/>
      <c r="Q267" s="840"/>
      <c r="R267" s="840"/>
      <c r="S267" s="840">
        <v>265</v>
      </c>
      <c r="T267" s="840">
        <v>150</v>
      </c>
      <c r="U267" s="840"/>
      <c r="V267" s="840"/>
      <c r="W267" s="840"/>
      <c r="X267" s="840"/>
      <c r="Y267" s="839"/>
    </row>
    <row r="268" spans="12:25" x14ac:dyDescent="0.2">
      <c r="L268" s="840"/>
      <c r="M268" s="840"/>
      <c r="N268" s="840"/>
      <c r="O268" s="840"/>
      <c r="P268" s="840"/>
      <c r="Q268" s="840"/>
      <c r="R268" s="840"/>
      <c r="S268" s="840">
        <v>266</v>
      </c>
      <c r="T268" s="840">
        <v>150</v>
      </c>
      <c r="U268" s="840"/>
      <c r="V268" s="840"/>
      <c r="W268" s="840"/>
      <c r="X268" s="840"/>
      <c r="Y268" s="839"/>
    </row>
    <row r="269" spans="12:25" x14ac:dyDescent="0.2">
      <c r="L269" s="840"/>
      <c r="M269" s="840"/>
      <c r="N269" s="840"/>
      <c r="O269" s="840"/>
      <c r="P269" s="840"/>
      <c r="Q269" s="840"/>
      <c r="R269" s="840"/>
      <c r="S269" s="840">
        <v>267</v>
      </c>
      <c r="T269" s="840">
        <v>150</v>
      </c>
      <c r="U269" s="840"/>
      <c r="V269" s="840"/>
      <c r="W269" s="840"/>
      <c r="X269" s="840"/>
      <c r="Y269" s="839"/>
    </row>
    <row r="270" spans="12:25" x14ac:dyDescent="0.2">
      <c r="L270" s="840"/>
      <c r="M270" s="840"/>
      <c r="N270" s="840"/>
      <c r="O270" s="840"/>
      <c r="P270" s="840"/>
      <c r="Q270" s="840"/>
      <c r="R270" s="840"/>
      <c r="S270" s="840">
        <v>268</v>
      </c>
      <c r="T270" s="840">
        <v>150</v>
      </c>
      <c r="U270" s="840"/>
      <c r="V270" s="840"/>
      <c r="W270" s="840"/>
      <c r="X270" s="840"/>
      <c r="Y270" s="839"/>
    </row>
    <row r="271" spans="12:25" x14ac:dyDescent="0.2">
      <c r="L271" s="840"/>
      <c r="M271" s="840"/>
      <c r="N271" s="840"/>
      <c r="O271" s="840"/>
      <c r="P271" s="840"/>
      <c r="Q271" s="840"/>
      <c r="R271" s="840"/>
      <c r="S271" s="840">
        <v>269</v>
      </c>
      <c r="T271" s="840">
        <v>150</v>
      </c>
      <c r="U271" s="840"/>
      <c r="V271" s="840"/>
      <c r="W271" s="840"/>
      <c r="X271" s="840"/>
      <c r="Y271" s="839"/>
    </row>
    <row r="272" spans="12:25" x14ac:dyDescent="0.2">
      <c r="L272" s="840"/>
      <c r="M272" s="840"/>
      <c r="N272" s="840"/>
      <c r="O272" s="840"/>
      <c r="P272" s="840"/>
      <c r="Q272" s="840"/>
      <c r="R272" s="840"/>
      <c r="S272" s="840">
        <v>270</v>
      </c>
      <c r="T272" s="840">
        <v>150</v>
      </c>
      <c r="U272" s="840"/>
      <c r="V272" s="840"/>
      <c r="W272" s="840"/>
      <c r="X272" s="840"/>
      <c r="Y272" s="839"/>
    </row>
    <row r="273" spans="12:25" x14ac:dyDescent="0.2">
      <c r="L273" s="840"/>
      <c r="M273" s="840"/>
      <c r="N273" s="840"/>
      <c r="O273" s="840"/>
      <c r="P273" s="840"/>
      <c r="Q273" s="840"/>
      <c r="R273" s="840"/>
      <c r="S273" s="840">
        <v>271</v>
      </c>
      <c r="T273" s="840">
        <v>150</v>
      </c>
      <c r="U273" s="840"/>
      <c r="V273" s="840"/>
      <c r="W273" s="840"/>
      <c r="X273" s="840"/>
      <c r="Y273" s="839"/>
    </row>
    <row r="274" spans="12:25" x14ac:dyDescent="0.2">
      <c r="L274" s="840"/>
      <c r="M274" s="840"/>
      <c r="N274" s="840"/>
      <c r="O274" s="840"/>
      <c r="P274" s="840"/>
      <c r="Q274" s="840"/>
      <c r="R274" s="840"/>
      <c r="S274" s="840">
        <v>272</v>
      </c>
      <c r="T274" s="840">
        <v>150</v>
      </c>
      <c r="U274" s="840"/>
      <c r="V274" s="840"/>
      <c r="W274" s="840"/>
      <c r="X274" s="840"/>
      <c r="Y274" s="839"/>
    </row>
    <row r="275" spans="12:25" x14ac:dyDescent="0.2">
      <c r="L275" s="840"/>
      <c r="M275" s="840"/>
      <c r="N275" s="840"/>
      <c r="O275" s="840"/>
      <c r="P275" s="840"/>
      <c r="Q275" s="840"/>
      <c r="R275" s="840"/>
      <c r="S275" s="840">
        <v>273</v>
      </c>
      <c r="T275" s="840">
        <v>150</v>
      </c>
      <c r="U275" s="840"/>
      <c r="V275" s="840"/>
      <c r="W275" s="840"/>
      <c r="X275" s="840"/>
      <c r="Y275" s="839"/>
    </row>
    <row r="276" spans="12:25" x14ac:dyDescent="0.2">
      <c r="L276" s="840"/>
      <c r="M276" s="840"/>
      <c r="N276" s="840"/>
      <c r="O276" s="840"/>
      <c r="P276" s="840"/>
      <c r="Q276" s="840"/>
      <c r="R276" s="840"/>
      <c r="S276" s="840">
        <v>274</v>
      </c>
      <c r="T276" s="840">
        <v>150</v>
      </c>
      <c r="U276" s="840"/>
      <c r="V276" s="840"/>
      <c r="W276" s="840"/>
      <c r="X276" s="840"/>
      <c r="Y276" s="839"/>
    </row>
    <row r="277" spans="12:25" x14ac:dyDescent="0.2">
      <c r="L277" s="840"/>
      <c r="M277" s="840"/>
      <c r="N277" s="840"/>
      <c r="O277" s="840"/>
      <c r="P277" s="840"/>
      <c r="Q277" s="840"/>
      <c r="R277" s="840"/>
      <c r="S277" s="840">
        <v>275</v>
      </c>
      <c r="T277" s="840">
        <v>150</v>
      </c>
      <c r="U277" s="840"/>
      <c r="V277" s="840"/>
      <c r="W277" s="840"/>
      <c r="X277" s="840"/>
      <c r="Y277" s="839"/>
    </row>
    <row r="278" spans="12:25" x14ac:dyDescent="0.2">
      <c r="L278" s="840"/>
      <c r="M278" s="840"/>
      <c r="N278" s="840"/>
      <c r="O278" s="840"/>
      <c r="P278" s="840"/>
      <c r="Q278" s="840"/>
      <c r="R278" s="840"/>
      <c r="S278" s="840">
        <v>276</v>
      </c>
      <c r="T278" s="840">
        <v>150</v>
      </c>
      <c r="U278" s="840"/>
      <c r="V278" s="840"/>
      <c r="W278" s="840"/>
      <c r="X278" s="840"/>
      <c r="Y278" s="839"/>
    </row>
    <row r="279" spans="12:25" x14ac:dyDescent="0.2">
      <c r="L279" s="840"/>
      <c r="M279" s="840"/>
      <c r="N279" s="840"/>
      <c r="O279" s="840"/>
      <c r="P279" s="840"/>
      <c r="Q279" s="840"/>
      <c r="R279" s="840"/>
      <c r="S279" s="840">
        <v>277</v>
      </c>
      <c r="T279" s="840">
        <v>150</v>
      </c>
      <c r="U279" s="840"/>
      <c r="V279" s="840"/>
      <c r="W279" s="840"/>
      <c r="X279" s="840"/>
      <c r="Y279" s="839"/>
    </row>
    <row r="280" spans="12:25" x14ac:dyDescent="0.2">
      <c r="L280" s="840"/>
      <c r="M280" s="840"/>
      <c r="N280" s="840"/>
      <c r="O280" s="840"/>
      <c r="P280" s="840"/>
      <c r="Q280" s="840"/>
      <c r="R280" s="840"/>
      <c r="S280" s="840">
        <v>278</v>
      </c>
      <c r="T280" s="840">
        <v>150</v>
      </c>
      <c r="U280" s="840"/>
      <c r="V280" s="840"/>
      <c r="W280" s="840"/>
      <c r="X280" s="840"/>
      <c r="Y280" s="839"/>
    </row>
    <row r="281" spans="12:25" x14ac:dyDescent="0.2">
      <c r="L281" s="840"/>
      <c r="M281" s="840"/>
      <c r="N281" s="840"/>
      <c r="O281" s="840"/>
      <c r="P281" s="840"/>
      <c r="Q281" s="840"/>
      <c r="R281" s="840"/>
      <c r="S281" s="840">
        <v>279</v>
      </c>
      <c r="T281" s="840">
        <v>150</v>
      </c>
      <c r="U281" s="840"/>
      <c r="V281" s="840"/>
      <c r="W281" s="840"/>
      <c r="X281" s="840"/>
      <c r="Y281" s="839"/>
    </row>
    <row r="282" spans="12:25" x14ac:dyDescent="0.2">
      <c r="L282" s="840"/>
      <c r="M282" s="840"/>
      <c r="N282" s="840"/>
      <c r="O282" s="840"/>
      <c r="P282" s="840"/>
      <c r="Q282" s="840"/>
      <c r="R282" s="840"/>
      <c r="S282" s="840">
        <v>280</v>
      </c>
      <c r="T282" s="840">
        <v>150</v>
      </c>
      <c r="U282" s="840"/>
      <c r="V282" s="840"/>
      <c r="W282" s="840"/>
      <c r="X282" s="840"/>
      <c r="Y282" s="839"/>
    </row>
    <row r="283" spans="12:25" x14ac:dyDescent="0.2">
      <c r="L283" s="840"/>
      <c r="M283" s="840"/>
      <c r="N283" s="840"/>
      <c r="O283" s="840"/>
      <c r="P283" s="840"/>
      <c r="Q283" s="840"/>
      <c r="R283" s="840"/>
      <c r="S283" s="840">
        <v>281</v>
      </c>
      <c r="T283" s="840">
        <v>150</v>
      </c>
      <c r="U283" s="840"/>
      <c r="V283" s="840"/>
      <c r="W283" s="840"/>
      <c r="X283" s="840"/>
      <c r="Y283" s="839"/>
    </row>
    <row r="284" spans="12:25" x14ac:dyDescent="0.2">
      <c r="L284" s="840"/>
      <c r="M284" s="840"/>
      <c r="N284" s="840"/>
      <c r="O284" s="840"/>
      <c r="P284" s="840"/>
      <c r="Q284" s="840"/>
      <c r="R284" s="840"/>
      <c r="S284" s="840">
        <v>282</v>
      </c>
      <c r="T284" s="840">
        <v>150</v>
      </c>
      <c r="U284" s="840"/>
      <c r="V284" s="840"/>
      <c r="W284" s="840"/>
      <c r="X284" s="840"/>
      <c r="Y284" s="839"/>
    </row>
    <row r="285" spans="12:25" x14ac:dyDescent="0.2">
      <c r="L285" s="840"/>
      <c r="M285" s="840"/>
      <c r="N285" s="840"/>
      <c r="O285" s="840"/>
      <c r="P285" s="840"/>
      <c r="Q285" s="840"/>
      <c r="R285" s="840"/>
      <c r="S285" s="840">
        <v>283</v>
      </c>
      <c r="T285" s="840">
        <v>150</v>
      </c>
      <c r="U285" s="840"/>
      <c r="V285" s="840"/>
      <c r="W285" s="840"/>
      <c r="X285" s="840"/>
      <c r="Y285" s="839"/>
    </row>
    <row r="286" spans="12:25" x14ac:dyDescent="0.2">
      <c r="L286" s="840"/>
      <c r="M286" s="840"/>
      <c r="N286" s="840"/>
      <c r="O286" s="840"/>
      <c r="P286" s="840"/>
      <c r="Q286" s="840"/>
      <c r="R286" s="840"/>
      <c r="S286" s="840">
        <v>284</v>
      </c>
      <c r="T286" s="840">
        <v>150</v>
      </c>
      <c r="U286" s="840"/>
      <c r="V286" s="840"/>
      <c r="W286" s="840"/>
      <c r="X286" s="840"/>
      <c r="Y286" s="839"/>
    </row>
    <row r="287" spans="12:25" x14ac:dyDescent="0.2">
      <c r="L287" s="840"/>
      <c r="M287" s="840"/>
      <c r="N287" s="840"/>
      <c r="O287" s="840"/>
      <c r="P287" s="840"/>
      <c r="Q287" s="840"/>
      <c r="R287" s="840"/>
      <c r="S287" s="840">
        <v>285</v>
      </c>
      <c r="T287" s="840">
        <v>150</v>
      </c>
      <c r="U287" s="840"/>
      <c r="V287" s="840"/>
      <c r="W287" s="840"/>
      <c r="X287" s="840"/>
      <c r="Y287" s="839"/>
    </row>
    <row r="288" spans="12:25" x14ac:dyDescent="0.2">
      <c r="L288" s="840"/>
      <c r="M288" s="840"/>
      <c r="N288" s="840"/>
      <c r="O288" s="840"/>
      <c r="P288" s="840"/>
      <c r="Q288" s="840"/>
      <c r="R288" s="840"/>
      <c r="S288" s="840">
        <v>286</v>
      </c>
      <c r="T288" s="840">
        <v>150</v>
      </c>
      <c r="U288" s="840"/>
      <c r="V288" s="840"/>
      <c r="W288" s="840"/>
      <c r="X288" s="840"/>
      <c r="Y288" s="839"/>
    </row>
    <row r="289" spans="12:25" x14ac:dyDescent="0.2">
      <c r="L289" s="840"/>
      <c r="M289" s="840"/>
      <c r="N289" s="840"/>
      <c r="O289" s="840"/>
      <c r="P289" s="840"/>
      <c r="Q289" s="840"/>
      <c r="R289" s="840"/>
      <c r="S289" s="840">
        <v>287</v>
      </c>
      <c r="T289" s="840">
        <v>150</v>
      </c>
      <c r="U289" s="840"/>
      <c r="V289" s="840"/>
      <c r="W289" s="840"/>
      <c r="X289" s="840"/>
      <c r="Y289" s="839"/>
    </row>
    <row r="290" spans="12:25" x14ac:dyDescent="0.2">
      <c r="L290" s="840"/>
      <c r="M290" s="840"/>
      <c r="N290" s="840"/>
      <c r="O290" s="840"/>
      <c r="P290" s="840"/>
      <c r="Q290" s="840"/>
      <c r="R290" s="840"/>
      <c r="S290" s="840">
        <v>288</v>
      </c>
      <c r="T290" s="840">
        <v>150</v>
      </c>
      <c r="U290" s="840"/>
      <c r="V290" s="840"/>
      <c r="W290" s="840"/>
      <c r="X290" s="840"/>
      <c r="Y290" s="839"/>
    </row>
    <row r="291" spans="12:25" x14ac:dyDescent="0.2">
      <c r="L291" s="840"/>
      <c r="M291" s="840"/>
      <c r="N291" s="840"/>
      <c r="O291" s="840"/>
      <c r="P291" s="840"/>
      <c r="Q291" s="840"/>
      <c r="R291" s="840"/>
      <c r="S291" s="840">
        <v>289</v>
      </c>
      <c r="T291" s="840">
        <v>150</v>
      </c>
      <c r="U291" s="840"/>
      <c r="V291" s="840"/>
      <c r="W291" s="840"/>
      <c r="X291" s="840"/>
      <c r="Y291" s="839"/>
    </row>
    <row r="292" spans="12:25" x14ac:dyDescent="0.2">
      <c r="L292" s="840"/>
      <c r="M292" s="840"/>
      <c r="N292" s="840"/>
      <c r="O292" s="840"/>
      <c r="P292" s="840"/>
      <c r="Q292" s="840"/>
      <c r="R292" s="840"/>
      <c r="S292" s="840">
        <v>290</v>
      </c>
      <c r="T292" s="840">
        <v>150</v>
      </c>
      <c r="U292" s="840"/>
      <c r="V292" s="840"/>
      <c r="W292" s="840"/>
      <c r="X292" s="840"/>
      <c r="Y292" s="839"/>
    </row>
    <row r="293" spans="12:25" x14ac:dyDescent="0.2">
      <c r="L293" s="840"/>
      <c r="M293" s="840"/>
      <c r="N293" s="840"/>
      <c r="O293" s="840"/>
      <c r="P293" s="840"/>
      <c r="Q293" s="840"/>
      <c r="R293" s="840"/>
      <c r="S293" s="840">
        <v>291</v>
      </c>
      <c r="T293" s="840">
        <v>150</v>
      </c>
      <c r="U293" s="840"/>
      <c r="V293" s="840"/>
      <c r="W293" s="840"/>
      <c r="X293" s="840"/>
      <c r="Y293" s="839"/>
    </row>
    <row r="294" spans="12:25" x14ac:dyDescent="0.2">
      <c r="L294" s="840"/>
      <c r="M294" s="840"/>
      <c r="N294" s="840"/>
      <c r="O294" s="840"/>
      <c r="P294" s="840"/>
      <c r="Q294" s="840"/>
      <c r="R294" s="840"/>
      <c r="S294" s="840">
        <v>292</v>
      </c>
      <c r="T294" s="840">
        <v>150</v>
      </c>
      <c r="U294" s="840"/>
      <c r="V294" s="840"/>
      <c r="W294" s="840"/>
      <c r="X294" s="840"/>
      <c r="Y294" s="839"/>
    </row>
    <row r="295" spans="12:25" x14ac:dyDescent="0.2">
      <c r="L295" s="840"/>
      <c r="M295" s="840"/>
      <c r="N295" s="840"/>
      <c r="O295" s="840"/>
      <c r="P295" s="840"/>
      <c r="Q295" s="840"/>
      <c r="R295" s="840"/>
      <c r="S295" s="840">
        <v>293</v>
      </c>
      <c r="T295" s="840">
        <v>150</v>
      </c>
      <c r="U295" s="840"/>
      <c r="V295" s="840"/>
      <c r="W295" s="840"/>
      <c r="X295" s="840"/>
      <c r="Y295" s="839"/>
    </row>
    <row r="296" spans="12:25" x14ac:dyDescent="0.2">
      <c r="L296" s="840"/>
      <c r="M296" s="840"/>
      <c r="N296" s="840"/>
      <c r="O296" s="840"/>
      <c r="P296" s="840"/>
      <c r="Q296" s="840"/>
      <c r="R296" s="840"/>
      <c r="S296" s="840">
        <v>294</v>
      </c>
      <c r="T296" s="840">
        <v>150</v>
      </c>
      <c r="U296" s="840"/>
      <c r="V296" s="840"/>
      <c r="W296" s="840"/>
      <c r="X296" s="840"/>
      <c r="Y296" s="839"/>
    </row>
    <row r="297" spans="12:25" x14ac:dyDescent="0.2">
      <c r="L297" s="840"/>
      <c r="M297" s="840"/>
      <c r="N297" s="840"/>
      <c r="O297" s="840"/>
      <c r="P297" s="840"/>
      <c r="Q297" s="840"/>
      <c r="R297" s="840"/>
      <c r="S297" s="840">
        <v>295</v>
      </c>
      <c r="T297" s="840">
        <v>150</v>
      </c>
      <c r="U297" s="840"/>
      <c r="V297" s="840"/>
      <c r="W297" s="840"/>
      <c r="X297" s="840"/>
      <c r="Y297" s="839"/>
    </row>
    <row r="298" spans="12:25" x14ac:dyDescent="0.2">
      <c r="L298" s="840"/>
      <c r="M298" s="840"/>
      <c r="N298" s="840"/>
      <c r="O298" s="840"/>
      <c r="P298" s="840"/>
      <c r="Q298" s="840"/>
      <c r="R298" s="840"/>
      <c r="S298" s="840">
        <v>296</v>
      </c>
      <c r="T298" s="840">
        <v>150</v>
      </c>
      <c r="U298" s="840"/>
      <c r="V298" s="840"/>
      <c r="W298" s="840"/>
      <c r="X298" s="840"/>
      <c r="Y298" s="839"/>
    </row>
    <row r="299" spans="12:25" x14ac:dyDescent="0.2">
      <c r="L299" s="840"/>
      <c r="M299" s="840"/>
      <c r="N299" s="840"/>
      <c r="O299" s="840"/>
      <c r="P299" s="840"/>
      <c r="Q299" s="840"/>
      <c r="R299" s="840"/>
      <c r="S299" s="840">
        <v>297</v>
      </c>
      <c r="T299" s="840">
        <v>150</v>
      </c>
      <c r="U299" s="840"/>
      <c r="V299" s="840"/>
      <c r="W299" s="840"/>
      <c r="X299" s="840"/>
      <c r="Y299" s="839"/>
    </row>
    <row r="300" spans="12:25" x14ac:dyDescent="0.2">
      <c r="L300" s="840"/>
      <c r="M300" s="840"/>
      <c r="N300" s="840"/>
      <c r="O300" s="840"/>
      <c r="P300" s="840"/>
      <c r="Q300" s="840"/>
      <c r="R300" s="840"/>
      <c r="S300" s="840">
        <v>298</v>
      </c>
      <c r="T300" s="840">
        <v>150</v>
      </c>
      <c r="U300" s="840"/>
      <c r="V300" s="840"/>
      <c r="W300" s="840"/>
      <c r="X300" s="840"/>
      <c r="Y300" s="839"/>
    </row>
    <row r="301" spans="12:25" x14ac:dyDescent="0.2">
      <c r="L301" s="840"/>
      <c r="M301" s="840"/>
      <c r="N301" s="840"/>
      <c r="O301" s="840"/>
      <c r="P301" s="840"/>
      <c r="Q301" s="840"/>
      <c r="R301" s="840"/>
      <c r="S301" s="840">
        <v>299</v>
      </c>
      <c r="T301" s="840">
        <v>150</v>
      </c>
      <c r="U301" s="840"/>
      <c r="V301" s="840"/>
      <c r="W301" s="840"/>
      <c r="X301" s="840"/>
      <c r="Y301" s="839"/>
    </row>
    <row r="302" spans="12:25" x14ac:dyDescent="0.2">
      <c r="L302" s="840"/>
      <c r="M302" s="840"/>
      <c r="N302" s="840"/>
      <c r="O302" s="840"/>
      <c r="P302" s="840"/>
      <c r="Q302" s="840"/>
      <c r="R302" s="840"/>
      <c r="S302" s="840">
        <v>300</v>
      </c>
      <c r="T302" s="840">
        <v>150</v>
      </c>
      <c r="U302" s="840">
        <v>300</v>
      </c>
      <c r="V302" s="840"/>
      <c r="W302" s="840"/>
      <c r="X302" s="840"/>
      <c r="Y302" s="839"/>
    </row>
    <row r="303" spans="12:25" x14ac:dyDescent="0.2">
      <c r="L303" s="840"/>
      <c r="M303" s="840"/>
      <c r="N303" s="840"/>
      <c r="O303" s="840"/>
      <c r="P303" s="840"/>
      <c r="Q303" s="840"/>
      <c r="R303" s="840"/>
      <c r="S303" s="840">
        <v>301</v>
      </c>
      <c r="T303" s="840">
        <v>150</v>
      </c>
      <c r="U303" s="840"/>
      <c r="V303" s="840"/>
      <c r="W303" s="840"/>
      <c r="X303" s="840"/>
      <c r="Y303" s="839"/>
    </row>
    <row r="304" spans="12:25" x14ac:dyDescent="0.2">
      <c r="L304" s="840"/>
      <c r="M304" s="840"/>
      <c r="N304" s="840"/>
      <c r="O304" s="840"/>
      <c r="P304" s="840"/>
      <c r="Q304" s="840"/>
      <c r="R304" s="840"/>
      <c r="S304" s="840">
        <v>302</v>
      </c>
      <c r="T304" s="840">
        <v>150</v>
      </c>
      <c r="U304" s="840"/>
      <c r="V304" s="840"/>
      <c r="W304" s="840"/>
      <c r="X304" s="840"/>
      <c r="Y304" s="839"/>
    </row>
    <row r="305" spans="12:25" x14ac:dyDescent="0.2">
      <c r="L305" s="840"/>
      <c r="M305" s="840"/>
      <c r="N305" s="840"/>
      <c r="O305" s="840"/>
      <c r="P305" s="840"/>
      <c r="Q305" s="840"/>
      <c r="R305" s="840"/>
      <c r="S305" s="840">
        <v>303</v>
      </c>
      <c r="T305" s="840">
        <v>150</v>
      </c>
      <c r="U305" s="840"/>
      <c r="V305" s="840"/>
      <c r="W305" s="840"/>
      <c r="X305" s="840"/>
      <c r="Y305" s="839"/>
    </row>
    <row r="306" spans="12:25" x14ac:dyDescent="0.2">
      <c r="L306" s="840"/>
      <c r="M306" s="840"/>
      <c r="N306" s="840"/>
      <c r="O306" s="840"/>
      <c r="P306" s="840"/>
      <c r="Q306" s="840"/>
      <c r="R306" s="840"/>
      <c r="S306" s="840">
        <v>304</v>
      </c>
      <c r="T306" s="840">
        <v>150</v>
      </c>
      <c r="U306" s="840"/>
      <c r="V306" s="840"/>
      <c r="W306" s="840"/>
      <c r="X306" s="840"/>
      <c r="Y306" s="839"/>
    </row>
    <row r="307" spans="12:25" x14ac:dyDescent="0.2">
      <c r="L307" s="840"/>
      <c r="M307" s="840"/>
      <c r="N307" s="840"/>
      <c r="O307" s="840"/>
      <c r="P307" s="840"/>
      <c r="Q307" s="840"/>
      <c r="R307" s="840"/>
      <c r="S307" s="840">
        <v>305</v>
      </c>
      <c r="T307" s="840">
        <v>150</v>
      </c>
      <c r="U307" s="840"/>
      <c r="V307" s="840"/>
      <c r="W307" s="840"/>
      <c r="X307" s="840"/>
      <c r="Y307" s="839"/>
    </row>
    <row r="308" spans="12:25" x14ac:dyDescent="0.2">
      <c r="L308" s="840"/>
      <c r="M308" s="840"/>
      <c r="N308" s="840"/>
      <c r="O308" s="840"/>
      <c r="P308" s="840"/>
      <c r="Q308" s="840"/>
      <c r="R308" s="840"/>
      <c r="S308" s="840">
        <v>306</v>
      </c>
      <c r="T308" s="840">
        <v>150</v>
      </c>
      <c r="U308" s="840"/>
      <c r="V308" s="840"/>
      <c r="W308" s="840"/>
      <c r="X308" s="840"/>
      <c r="Y308" s="839"/>
    </row>
    <row r="309" spans="12:25" x14ac:dyDescent="0.2">
      <c r="L309" s="840"/>
      <c r="M309" s="840"/>
      <c r="N309" s="840"/>
      <c r="O309" s="840"/>
      <c r="P309" s="840"/>
      <c r="Q309" s="840"/>
      <c r="R309" s="840"/>
      <c r="S309" s="840">
        <v>307</v>
      </c>
      <c r="T309" s="840">
        <v>150</v>
      </c>
      <c r="U309" s="840"/>
      <c r="V309" s="840"/>
      <c r="W309" s="840"/>
      <c r="X309" s="840"/>
      <c r="Y309" s="839"/>
    </row>
    <row r="310" spans="12:25" x14ac:dyDescent="0.2">
      <c r="L310" s="840"/>
      <c r="M310" s="840"/>
      <c r="N310" s="840"/>
      <c r="O310" s="840"/>
      <c r="P310" s="840"/>
      <c r="Q310" s="840"/>
      <c r="R310" s="840"/>
      <c r="S310" s="840">
        <v>308</v>
      </c>
      <c r="T310" s="840">
        <v>150</v>
      </c>
      <c r="U310" s="840"/>
      <c r="V310" s="840"/>
      <c r="W310" s="840"/>
      <c r="X310" s="840"/>
      <c r="Y310" s="839"/>
    </row>
    <row r="311" spans="12:25" x14ac:dyDescent="0.2">
      <c r="L311" s="840"/>
      <c r="M311" s="840"/>
      <c r="N311" s="840"/>
      <c r="O311" s="840"/>
      <c r="P311" s="840"/>
      <c r="Q311" s="840"/>
      <c r="R311" s="840"/>
      <c r="S311" s="840">
        <v>309</v>
      </c>
      <c r="T311" s="840">
        <v>150</v>
      </c>
      <c r="U311" s="840"/>
      <c r="V311" s="840"/>
      <c r="W311" s="840"/>
      <c r="X311" s="840"/>
      <c r="Y311" s="839"/>
    </row>
    <row r="312" spans="12:25" x14ac:dyDescent="0.2">
      <c r="L312" s="840"/>
      <c r="M312" s="840"/>
      <c r="N312" s="840"/>
      <c r="O312" s="840"/>
      <c r="P312" s="840"/>
      <c r="Q312" s="840"/>
      <c r="R312" s="840"/>
      <c r="S312" s="840">
        <v>310</v>
      </c>
      <c r="T312" s="840">
        <v>150</v>
      </c>
      <c r="U312" s="840"/>
      <c r="V312" s="840"/>
      <c r="W312" s="840"/>
      <c r="X312" s="840"/>
      <c r="Y312" s="839"/>
    </row>
    <row r="313" spans="12:25" x14ac:dyDescent="0.2">
      <c r="L313" s="840"/>
      <c r="M313" s="840"/>
      <c r="N313" s="840"/>
      <c r="O313" s="840"/>
      <c r="P313" s="840"/>
      <c r="Q313" s="840"/>
      <c r="R313" s="840"/>
      <c r="S313" s="840">
        <v>311</v>
      </c>
      <c r="T313" s="840">
        <v>150</v>
      </c>
      <c r="U313" s="840"/>
      <c r="V313" s="840"/>
      <c r="W313" s="840"/>
      <c r="X313" s="840"/>
      <c r="Y313" s="839"/>
    </row>
    <row r="314" spans="12:25" x14ac:dyDescent="0.2">
      <c r="L314" s="840"/>
      <c r="M314" s="840"/>
      <c r="N314" s="840"/>
      <c r="O314" s="840"/>
      <c r="P314" s="840"/>
      <c r="Q314" s="840"/>
      <c r="R314" s="840"/>
      <c r="S314" s="840">
        <v>312</v>
      </c>
      <c r="T314" s="840">
        <v>150</v>
      </c>
      <c r="U314" s="840"/>
      <c r="V314" s="840"/>
      <c r="W314" s="840"/>
      <c r="X314" s="840"/>
      <c r="Y314" s="839"/>
    </row>
    <row r="315" spans="12:25" x14ac:dyDescent="0.2">
      <c r="L315" s="840"/>
      <c r="M315" s="840"/>
      <c r="N315" s="840"/>
      <c r="O315" s="840"/>
      <c r="P315" s="840"/>
      <c r="Q315" s="840"/>
      <c r="R315" s="840"/>
      <c r="S315" s="840">
        <v>313</v>
      </c>
      <c r="T315" s="840">
        <v>150</v>
      </c>
      <c r="U315" s="840"/>
      <c r="V315" s="840"/>
      <c r="W315" s="840"/>
      <c r="X315" s="840"/>
      <c r="Y315" s="839"/>
    </row>
    <row r="316" spans="12:25" x14ac:dyDescent="0.2">
      <c r="L316" s="840"/>
      <c r="M316" s="840"/>
      <c r="N316" s="840"/>
      <c r="O316" s="840"/>
      <c r="P316" s="840"/>
      <c r="Q316" s="840"/>
      <c r="R316" s="840"/>
      <c r="S316" s="840">
        <v>314</v>
      </c>
      <c r="T316" s="840">
        <v>150</v>
      </c>
      <c r="U316" s="840"/>
      <c r="V316" s="840"/>
      <c r="W316" s="840"/>
      <c r="X316" s="840"/>
      <c r="Y316" s="839"/>
    </row>
    <row r="317" spans="12:25" x14ac:dyDescent="0.2">
      <c r="L317" s="840"/>
      <c r="M317" s="840"/>
      <c r="N317" s="840"/>
      <c r="O317" s="840"/>
      <c r="P317" s="840"/>
      <c r="Q317" s="840"/>
      <c r="R317" s="840"/>
      <c r="S317" s="840">
        <v>315</v>
      </c>
      <c r="T317" s="840">
        <v>150</v>
      </c>
      <c r="U317" s="840"/>
      <c r="V317" s="840"/>
      <c r="W317" s="840"/>
      <c r="X317" s="840"/>
      <c r="Y317" s="839"/>
    </row>
    <row r="318" spans="12:25" x14ac:dyDescent="0.2">
      <c r="L318" s="840"/>
      <c r="M318" s="840"/>
      <c r="N318" s="840"/>
      <c r="O318" s="840"/>
      <c r="P318" s="840"/>
      <c r="Q318" s="840"/>
      <c r="R318" s="840"/>
      <c r="S318" s="840">
        <v>316</v>
      </c>
      <c r="T318" s="840">
        <v>150</v>
      </c>
      <c r="U318" s="840"/>
      <c r="V318" s="840"/>
      <c r="W318" s="840"/>
      <c r="X318" s="840"/>
      <c r="Y318" s="839"/>
    </row>
    <row r="319" spans="12:25" x14ac:dyDescent="0.2">
      <c r="L319" s="840"/>
      <c r="M319" s="840"/>
      <c r="N319" s="840"/>
      <c r="O319" s="840"/>
      <c r="P319" s="840"/>
      <c r="Q319" s="840"/>
      <c r="R319" s="840"/>
      <c r="S319" s="840">
        <v>317</v>
      </c>
      <c r="T319" s="840">
        <v>150</v>
      </c>
      <c r="U319" s="840"/>
      <c r="V319" s="840"/>
      <c r="W319" s="840"/>
      <c r="X319" s="840"/>
      <c r="Y319" s="839"/>
    </row>
    <row r="320" spans="12:25" x14ac:dyDescent="0.2">
      <c r="L320" s="840"/>
      <c r="M320" s="840"/>
      <c r="N320" s="840"/>
      <c r="O320" s="840"/>
      <c r="P320" s="840"/>
      <c r="Q320" s="840"/>
      <c r="R320" s="840"/>
      <c r="S320" s="840">
        <v>318</v>
      </c>
      <c r="T320" s="840">
        <v>150</v>
      </c>
      <c r="U320" s="840"/>
      <c r="V320" s="840"/>
      <c r="W320" s="840"/>
      <c r="X320" s="840"/>
      <c r="Y320" s="839"/>
    </row>
    <row r="321" spans="12:25" x14ac:dyDescent="0.2">
      <c r="L321" s="840"/>
      <c r="M321" s="840"/>
      <c r="N321" s="840"/>
      <c r="O321" s="840"/>
      <c r="P321" s="840"/>
      <c r="Q321" s="840"/>
      <c r="R321" s="840"/>
      <c r="S321" s="840">
        <v>319</v>
      </c>
      <c r="T321" s="840">
        <v>150</v>
      </c>
      <c r="U321" s="840"/>
      <c r="V321" s="840"/>
      <c r="W321" s="840"/>
      <c r="X321" s="840"/>
      <c r="Y321" s="839"/>
    </row>
    <row r="322" spans="12:25" x14ac:dyDescent="0.2">
      <c r="L322" s="840"/>
      <c r="M322" s="840"/>
      <c r="N322" s="840"/>
      <c r="O322" s="840"/>
      <c r="P322" s="840"/>
      <c r="Q322" s="840"/>
      <c r="R322" s="840"/>
      <c r="S322" s="840">
        <v>320</v>
      </c>
      <c r="T322" s="840">
        <v>150</v>
      </c>
      <c r="U322" s="840"/>
      <c r="V322" s="840"/>
      <c r="W322" s="840"/>
      <c r="X322" s="840"/>
      <c r="Y322" s="839"/>
    </row>
    <row r="323" spans="12:25" x14ac:dyDescent="0.2">
      <c r="L323" s="840"/>
      <c r="M323" s="840"/>
      <c r="N323" s="840"/>
      <c r="O323" s="840"/>
      <c r="P323" s="840"/>
      <c r="Q323" s="840"/>
      <c r="R323" s="840"/>
      <c r="S323" s="840">
        <v>321</v>
      </c>
      <c r="T323" s="840">
        <v>150</v>
      </c>
      <c r="U323" s="840"/>
      <c r="V323" s="840"/>
      <c r="W323" s="840"/>
      <c r="X323" s="840"/>
      <c r="Y323" s="839"/>
    </row>
    <row r="324" spans="12:25" x14ac:dyDescent="0.2">
      <c r="L324" s="840"/>
      <c r="M324" s="840"/>
      <c r="N324" s="840"/>
      <c r="O324" s="840"/>
      <c r="P324" s="840"/>
      <c r="Q324" s="840"/>
      <c r="R324" s="840"/>
      <c r="S324" s="840">
        <v>322</v>
      </c>
      <c r="T324" s="840">
        <v>150</v>
      </c>
      <c r="U324" s="840"/>
      <c r="V324" s="840"/>
      <c r="W324" s="840"/>
      <c r="X324" s="840"/>
      <c r="Y324" s="839"/>
    </row>
    <row r="325" spans="12:25" x14ac:dyDescent="0.2">
      <c r="L325" s="840"/>
      <c r="M325" s="840"/>
      <c r="N325" s="840"/>
      <c r="O325" s="840"/>
      <c r="P325" s="840"/>
      <c r="Q325" s="840"/>
      <c r="R325" s="840"/>
      <c r="S325" s="840">
        <v>323</v>
      </c>
      <c r="T325" s="840">
        <v>150</v>
      </c>
      <c r="U325" s="840"/>
      <c r="V325" s="840"/>
      <c r="W325" s="840"/>
      <c r="X325" s="840"/>
      <c r="Y325" s="839"/>
    </row>
    <row r="326" spans="12:25" x14ac:dyDescent="0.2">
      <c r="L326" s="840"/>
      <c r="M326" s="840"/>
      <c r="N326" s="840"/>
      <c r="O326" s="840"/>
      <c r="P326" s="840"/>
      <c r="Q326" s="840"/>
      <c r="R326" s="840"/>
      <c r="S326" s="840">
        <v>324</v>
      </c>
      <c r="T326" s="840">
        <v>150</v>
      </c>
      <c r="U326" s="840"/>
      <c r="V326" s="840"/>
      <c r="W326" s="840"/>
      <c r="X326" s="840"/>
      <c r="Y326" s="839"/>
    </row>
    <row r="327" spans="12:25" x14ac:dyDescent="0.2">
      <c r="L327" s="840"/>
      <c r="M327" s="840"/>
      <c r="N327" s="840"/>
      <c r="O327" s="840"/>
      <c r="P327" s="840"/>
      <c r="Q327" s="840"/>
      <c r="R327" s="840"/>
      <c r="S327" s="840">
        <v>325</v>
      </c>
      <c r="T327" s="840">
        <v>150</v>
      </c>
      <c r="U327" s="840"/>
      <c r="V327" s="840"/>
      <c r="W327" s="840"/>
      <c r="X327" s="840"/>
      <c r="Y327" s="839"/>
    </row>
    <row r="328" spans="12:25" x14ac:dyDescent="0.2">
      <c r="L328" s="840"/>
      <c r="M328" s="840"/>
      <c r="N328" s="840"/>
      <c r="O328" s="840"/>
      <c r="P328" s="840"/>
      <c r="Q328" s="840"/>
      <c r="R328" s="840"/>
      <c r="S328" s="840">
        <v>326</v>
      </c>
      <c r="T328" s="840">
        <v>150</v>
      </c>
      <c r="U328" s="840"/>
      <c r="V328" s="840"/>
      <c r="W328" s="840"/>
      <c r="X328" s="840"/>
      <c r="Y328" s="839"/>
    </row>
    <row r="329" spans="12:25" x14ac:dyDescent="0.2">
      <c r="L329" s="840"/>
      <c r="M329" s="840"/>
      <c r="N329" s="840"/>
      <c r="O329" s="840"/>
      <c r="P329" s="840"/>
      <c r="Q329" s="840"/>
      <c r="R329" s="840"/>
      <c r="S329" s="840">
        <v>327</v>
      </c>
      <c r="T329" s="840">
        <v>150</v>
      </c>
      <c r="U329" s="840"/>
      <c r="V329" s="840"/>
      <c r="W329" s="840"/>
      <c r="X329" s="840"/>
      <c r="Y329" s="839"/>
    </row>
    <row r="330" spans="12:25" x14ac:dyDescent="0.2">
      <c r="L330" s="840"/>
      <c r="M330" s="840"/>
      <c r="N330" s="840"/>
      <c r="O330" s="840"/>
      <c r="P330" s="840"/>
      <c r="Q330" s="840"/>
      <c r="R330" s="840"/>
      <c r="S330" s="840">
        <v>328</v>
      </c>
      <c r="T330" s="840">
        <v>150</v>
      </c>
      <c r="U330" s="840"/>
      <c r="V330" s="840"/>
      <c r="W330" s="840"/>
      <c r="X330" s="840"/>
      <c r="Y330" s="839"/>
    </row>
    <row r="331" spans="12:25" x14ac:dyDescent="0.2">
      <c r="L331" s="840"/>
      <c r="M331" s="840"/>
      <c r="N331" s="840"/>
      <c r="O331" s="840"/>
      <c r="P331" s="840"/>
      <c r="Q331" s="840"/>
      <c r="R331" s="840"/>
      <c r="S331" s="840">
        <v>329</v>
      </c>
      <c r="T331" s="840">
        <v>150</v>
      </c>
      <c r="U331" s="840"/>
      <c r="V331" s="840"/>
      <c r="W331" s="840"/>
      <c r="X331" s="840"/>
      <c r="Y331" s="839"/>
    </row>
    <row r="332" spans="12:25" x14ac:dyDescent="0.2">
      <c r="L332" s="840"/>
      <c r="M332" s="840"/>
      <c r="N332" s="840"/>
      <c r="O332" s="840"/>
      <c r="P332" s="840"/>
      <c r="Q332" s="840"/>
      <c r="R332" s="840"/>
      <c r="S332" s="840">
        <v>330</v>
      </c>
      <c r="T332" s="840">
        <v>150</v>
      </c>
      <c r="U332" s="840"/>
      <c r="V332" s="840"/>
      <c r="W332" s="840"/>
      <c r="X332" s="840"/>
      <c r="Y332" s="839"/>
    </row>
    <row r="333" spans="12:25" x14ac:dyDescent="0.2">
      <c r="L333" s="840"/>
      <c r="M333" s="840"/>
      <c r="N333" s="840"/>
      <c r="O333" s="840"/>
      <c r="P333" s="840"/>
      <c r="Q333" s="840"/>
      <c r="R333" s="840"/>
      <c r="S333" s="840">
        <v>331</v>
      </c>
      <c r="T333" s="840">
        <v>150</v>
      </c>
      <c r="U333" s="840"/>
      <c r="V333" s="840"/>
      <c r="W333" s="840"/>
      <c r="X333" s="840"/>
      <c r="Y333" s="839"/>
    </row>
    <row r="334" spans="12:25" x14ac:dyDescent="0.2">
      <c r="L334" s="840"/>
      <c r="M334" s="840"/>
      <c r="N334" s="840"/>
      <c r="O334" s="840"/>
      <c r="P334" s="840"/>
      <c r="Q334" s="840"/>
      <c r="R334" s="840"/>
      <c r="S334" s="840">
        <v>332</v>
      </c>
      <c r="T334" s="840">
        <v>150</v>
      </c>
      <c r="U334" s="840"/>
      <c r="V334" s="840"/>
      <c r="W334" s="840"/>
      <c r="X334" s="840"/>
      <c r="Y334" s="839"/>
    </row>
    <row r="335" spans="12:25" x14ac:dyDescent="0.2">
      <c r="L335" s="840"/>
      <c r="M335" s="840"/>
      <c r="N335" s="840"/>
      <c r="O335" s="840"/>
      <c r="P335" s="840"/>
      <c r="Q335" s="840"/>
      <c r="R335" s="840"/>
      <c r="S335" s="840">
        <v>333</v>
      </c>
      <c r="T335" s="840">
        <v>150</v>
      </c>
      <c r="U335" s="840"/>
      <c r="V335" s="840"/>
      <c r="W335" s="840"/>
      <c r="X335" s="840"/>
      <c r="Y335" s="839"/>
    </row>
    <row r="336" spans="12:25" x14ac:dyDescent="0.2">
      <c r="L336" s="840"/>
      <c r="M336" s="840"/>
      <c r="N336" s="840"/>
      <c r="O336" s="840"/>
      <c r="P336" s="840"/>
      <c r="Q336" s="840"/>
      <c r="R336" s="840"/>
      <c r="S336" s="840">
        <v>334</v>
      </c>
      <c r="T336" s="840">
        <v>150</v>
      </c>
      <c r="U336" s="840"/>
      <c r="V336" s="840"/>
      <c r="W336" s="840"/>
      <c r="X336" s="840"/>
      <c r="Y336" s="839"/>
    </row>
    <row r="337" spans="12:25" x14ac:dyDescent="0.2">
      <c r="L337" s="840"/>
      <c r="M337" s="840"/>
      <c r="N337" s="840"/>
      <c r="O337" s="840"/>
      <c r="P337" s="840"/>
      <c r="Q337" s="840"/>
      <c r="R337" s="840"/>
      <c r="S337" s="840">
        <v>335</v>
      </c>
      <c r="T337" s="840">
        <v>150</v>
      </c>
      <c r="U337" s="840"/>
      <c r="V337" s="840"/>
      <c r="W337" s="840"/>
      <c r="X337" s="840"/>
      <c r="Y337" s="839"/>
    </row>
    <row r="338" spans="12:25" x14ac:dyDescent="0.2">
      <c r="L338" s="840"/>
      <c r="M338" s="840"/>
      <c r="N338" s="840"/>
      <c r="O338" s="840"/>
      <c r="P338" s="840"/>
      <c r="Q338" s="840"/>
      <c r="R338" s="840"/>
      <c r="S338" s="840">
        <v>336</v>
      </c>
      <c r="T338" s="840">
        <v>150</v>
      </c>
      <c r="U338" s="840"/>
      <c r="V338" s="840"/>
      <c r="W338" s="840"/>
      <c r="X338" s="840"/>
      <c r="Y338" s="839"/>
    </row>
    <row r="339" spans="12:25" x14ac:dyDescent="0.2">
      <c r="L339" s="840"/>
      <c r="M339" s="840"/>
      <c r="N339" s="840"/>
      <c r="O339" s="840"/>
      <c r="P339" s="840"/>
      <c r="Q339" s="840"/>
      <c r="R339" s="840"/>
      <c r="S339" s="840">
        <v>337</v>
      </c>
      <c r="T339" s="840">
        <v>150</v>
      </c>
      <c r="U339" s="840"/>
      <c r="V339" s="840"/>
      <c r="W339" s="840"/>
      <c r="X339" s="840"/>
      <c r="Y339" s="839"/>
    </row>
    <row r="340" spans="12:25" x14ac:dyDescent="0.2">
      <c r="L340" s="840"/>
      <c r="M340" s="840"/>
      <c r="N340" s="840"/>
      <c r="O340" s="840"/>
      <c r="P340" s="840"/>
      <c r="Q340" s="840"/>
      <c r="R340" s="840"/>
      <c r="S340" s="840">
        <v>338</v>
      </c>
      <c r="T340" s="840">
        <v>150</v>
      </c>
      <c r="U340" s="840"/>
      <c r="V340" s="840"/>
      <c r="W340" s="840"/>
      <c r="X340" s="840"/>
      <c r="Y340" s="839"/>
    </row>
    <row r="341" spans="12:25" x14ac:dyDescent="0.2">
      <c r="L341" s="840"/>
      <c r="M341" s="840"/>
      <c r="N341" s="840"/>
      <c r="O341" s="840"/>
      <c r="P341" s="840"/>
      <c r="Q341" s="840"/>
      <c r="R341" s="840"/>
      <c r="S341" s="840">
        <v>339</v>
      </c>
      <c r="T341" s="840">
        <v>150</v>
      </c>
      <c r="U341" s="840"/>
      <c r="V341" s="840"/>
      <c r="W341" s="840"/>
      <c r="X341" s="840"/>
      <c r="Y341" s="839"/>
    </row>
    <row r="342" spans="12:25" x14ac:dyDescent="0.2">
      <c r="L342" s="840"/>
      <c r="M342" s="840"/>
      <c r="N342" s="840"/>
      <c r="O342" s="840"/>
      <c r="P342" s="840"/>
      <c r="Q342" s="840"/>
      <c r="R342" s="840"/>
      <c r="S342" s="840">
        <v>340</v>
      </c>
      <c r="T342" s="840">
        <v>150</v>
      </c>
      <c r="U342" s="840"/>
      <c r="V342" s="840"/>
      <c r="W342" s="840"/>
      <c r="X342" s="840"/>
      <c r="Y342" s="839"/>
    </row>
    <row r="343" spans="12:25" x14ac:dyDescent="0.2">
      <c r="L343" s="840"/>
      <c r="M343" s="840"/>
      <c r="N343" s="840"/>
      <c r="O343" s="840"/>
      <c r="P343" s="840"/>
      <c r="Q343" s="840"/>
      <c r="R343" s="840"/>
      <c r="S343" s="840">
        <v>341</v>
      </c>
      <c r="T343" s="840">
        <v>150</v>
      </c>
      <c r="U343" s="840"/>
      <c r="V343" s="840"/>
      <c r="W343" s="840"/>
      <c r="X343" s="840"/>
      <c r="Y343" s="839"/>
    </row>
    <row r="344" spans="12:25" x14ac:dyDescent="0.2">
      <c r="L344" s="840"/>
      <c r="M344" s="840"/>
      <c r="N344" s="840"/>
      <c r="O344" s="840"/>
      <c r="P344" s="840"/>
      <c r="Q344" s="840"/>
      <c r="R344" s="840"/>
      <c r="S344" s="840">
        <v>342</v>
      </c>
      <c r="T344" s="840">
        <v>150</v>
      </c>
      <c r="U344" s="840"/>
      <c r="V344" s="840"/>
      <c r="W344" s="840"/>
      <c r="X344" s="840"/>
      <c r="Y344" s="839"/>
    </row>
    <row r="345" spans="12:25" x14ac:dyDescent="0.2">
      <c r="L345" s="840"/>
      <c r="M345" s="840"/>
      <c r="N345" s="840"/>
      <c r="O345" s="840"/>
      <c r="P345" s="840"/>
      <c r="Q345" s="840"/>
      <c r="R345" s="840"/>
      <c r="S345" s="840">
        <v>343</v>
      </c>
      <c r="T345" s="840">
        <v>150</v>
      </c>
      <c r="U345" s="840"/>
      <c r="V345" s="840"/>
      <c r="W345" s="840"/>
      <c r="X345" s="840"/>
      <c r="Y345" s="839"/>
    </row>
    <row r="346" spans="12:25" x14ac:dyDescent="0.2">
      <c r="L346" s="840"/>
      <c r="M346" s="840"/>
      <c r="N346" s="840"/>
      <c r="O346" s="840"/>
      <c r="P346" s="840"/>
      <c r="Q346" s="840"/>
      <c r="R346" s="840"/>
      <c r="S346" s="840">
        <v>344</v>
      </c>
      <c r="T346" s="840">
        <v>150</v>
      </c>
      <c r="U346" s="840"/>
      <c r="V346" s="840"/>
      <c r="W346" s="840"/>
      <c r="X346" s="840"/>
      <c r="Y346" s="839"/>
    </row>
    <row r="347" spans="12:25" x14ac:dyDescent="0.2">
      <c r="L347" s="840"/>
      <c r="M347" s="840"/>
      <c r="N347" s="840"/>
      <c r="O347" s="840"/>
      <c r="P347" s="840"/>
      <c r="Q347" s="840"/>
      <c r="R347" s="840"/>
      <c r="S347" s="840">
        <v>345</v>
      </c>
      <c r="T347" s="840">
        <v>150</v>
      </c>
      <c r="U347" s="840"/>
      <c r="V347" s="840"/>
      <c r="W347" s="840"/>
      <c r="X347" s="840"/>
      <c r="Y347" s="839"/>
    </row>
    <row r="348" spans="12:25" x14ac:dyDescent="0.2">
      <c r="L348" s="840"/>
      <c r="M348" s="840"/>
      <c r="N348" s="840"/>
      <c r="O348" s="840"/>
      <c r="P348" s="840"/>
      <c r="Q348" s="840"/>
      <c r="R348" s="840"/>
      <c r="S348" s="840">
        <v>346</v>
      </c>
      <c r="T348" s="840">
        <v>150</v>
      </c>
      <c r="U348" s="840"/>
      <c r="V348" s="840"/>
      <c r="W348" s="840"/>
      <c r="X348" s="840"/>
      <c r="Y348" s="839"/>
    </row>
    <row r="349" spans="12:25" x14ac:dyDescent="0.2">
      <c r="L349" s="840"/>
      <c r="M349" s="840"/>
      <c r="N349" s="840"/>
      <c r="O349" s="840"/>
      <c r="P349" s="840"/>
      <c r="Q349" s="840"/>
      <c r="R349" s="840"/>
      <c r="S349" s="840">
        <v>347</v>
      </c>
      <c r="T349" s="840">
        <v>150</v>
      </c>
      <c r="U349" s="840"/>
      <c r="V349" s="840"/>
      <c r="W349" s="840"/>
      <c r="X349" s="840"/>
      <c r="Y349" s="839"/>
    </row>
    <row r="350" spans="12:25" x14ac:dyDescent="0.2">
      <c r="L350" s="840"/>
      <c r="M350" s="840"/>
      <c r="N350" s="840"/>
      <c r="O350" s="840"/>
      <c r="P350" s="840"/>
      <c r="Q350" s="840"/>
      <c r="R350" s="840"/>
      <c r="S350" s="840">
        <v>348</v>
      </c>
      <c r="T350" s="840">
        <v>150</v>
      </c>
      <c r="U350" s="840"/>
      <c r="V350" s="840"/>
      <c r="W350" s="840"/>
      <c r="X350" s="840"/>
      <c r="Y350" s="839"/>
    </row>
    <row r="351" spans="12:25" x14ac:dyDescent="0.2">
      <c r="L351" s="840"/>
      <c r="M351" s="840"/>
      <c r="N351" s="840"/>
      <c r="O351" s="840"/>
      <c r="P351" s="840"/>
      <c r="Q351" s="840"/>
      <c r="R351" s="840"/>
      <c r="S351" s="840">
        <v>349</v>
      </c>
      <c r="T351" s="840">
        <v>150</v>
      </c>
      <c r="U351" s="840"/>
      <c r="V351" s="840"/>
      <c r="W351" s="840"/>
      <c r="X351" s="840"/>
      <c r="Y351" s="839"/>
    </row>
    <row r="352" spans="12:25" x14ac:dyDescent="0.2">
      <c r="L352" s="840"/>
      <c r="M352" s="840"/>
      <c r="N352" s="840"/>
      <c r="O352" s="840"/>
      <c r="P352" s="840"/>
      <c r="Q352" s="840"/>
      <c r="R352" s="840"/>
      <c r="S352" s="840">
        <v>350</v>
      </c>
      <c r="T352" s="840">
        <v>150</v>
      </c>
      <c r="U352" s="840"/>
      <c r="V352" s="840"/>
      <c r="W352" s="840"/>
      <c r="X352" s="840"/>
      <c r="Y352" s="839"/>
    </row>
    <row r="353" spans="12:25" x14ac:dyDescent="0.2">
      <c r="L353" s="840"/>
      <c r="M353" s="840"/>
      <c r="N353" s="840"/>
      <c r="O353" s="840"/>
      <c r="P353" s="840"/>
      <c r="Q353" s="840"/>
      <c r="R353" s="840"/>
      <c r="S353" s="840">
        <v>351</v>
      </c>
      <c r="T353" s="840">
        <v>150</v>
      </c>
      <c r="U353" s="840"/>
      <c r="V353" s="840"/>
      <c r="W353" s="840"/>
      <c r="X353" s="840"/>
      <c r="Y353" s="839"/>
    </row>
    <row r="354" spans="12:25" x14ac:dyDescent="0.2">
      <c r="L354" s="840"/>
      <c r="M354" s="840"/>
      <c r="N354" s="840"/>
      <c r="O354" s="840"/>
      <c r="P354" s="840"/>
      <c r="Q354" s="840"/>
      <c r="R354" s="840"/>
      <c r="S354" s="840">
        <v>352</v>
      </c>
      <c r="T354" s="840">
        <v>150</v>
      </c>
      <c r="U354" s="840"/>
      <c r="V354" s="840"/>
      <c r="W354" s="840"/>
      <c r="X354" s="840"/>
      <c r="Y354" s="839"/>
    </row>
    <row r="355" spans="12:25" x14ac:dyDescent="0.2">
      <c r="L355" s="840"/>
      <c r="M355" s="840"/>
      <c r="N355" s="840"/>
      <c r="O355" s="840"/>
      <c r="P355" s="840"/>
      <c r="Q355" s="840"/>
      <c r="R355" s="840"/>
      <c r="S355" s="840">
        <v>353</v>
      </c>
      <c r="T355" s="840">
        <v>150</v>
      </c>
      <c r="U355" s="840"/>
      <c r="V355" s="840"/>
      <c r="W355" s="840"/>
      <c r="X355" s="840"/>
      <c r="Y355" s="839"/>
    </row>
    <row r="356" spans="12:25" x14ac:dyDescent="0.2">
      <c r="L356" s="840"/>
      <c r="M356" s="840"/>
      <c r="N356" s="840"/>
      <c r="O356" s="840"/>
      <c r="P356" s="840"/>
      <c r="Q356" s="840"/>
      <c r="R356" s="840"/>
      <c r="S356" s="840">
        <v>354</v>
      </c>
      <c r="T356" s="840">
        <v>150</v>
      </c>
      <c r="U356" s="840"/>
      <c r="V356" s="840"/>
      <c r="W356" s="840"/>
      <c r="X356" s="840"/>
      <c r="Y356" s="839"/>
    </row>
    <row r="357" spans="12:25" x14ac:dyDescent="0.2">
      <c r="L357" s="840"/>
      <c r="M357" s="840"/>
      <c r="N357" s="840"/>
      <c r="O357" s="840"/>
      <c r="P357" s="840"/>
      <c r="Q357" s="840"/>
      <c r="R357" s="840"/>
      <c r="S357" s="840">
        <v>355</v>
      </c>
      <c r="T357" s="840">
        <v>150</v>
      </c>
      <c r="U357" s="840"/>
      <c r="V357" s="840"/>
      <c r="W357" s="840"/>
      <c r="X357" s="840"/>
      <c r="Y357" s="839"/>
    </row>
    <row r="358" spans="12:25" x14ac:dyDescent="0.2">
      <c r="L358" s="840"/>
      <c r="M358" s="840"/>
      <c r="N358" s="840"/>
      <c r="O358" s="840"/>
      <c r="P358" s="840"/>
      <c r="Q358" s="840"/>
      <c r="R358" s="840"/>
      <c r="S358" s="840">
        <v>356</v>
      </c>
      <c r="T358" s="840">
        <v>150</v>
      </c>
      <c r="U358" s="840"/>
      <c r="V358" s="840"/>
      <c r="W358" s="840"/>
      <c r="X358" s="840"/>
      <c r="Y358" s="839"/>
    </row>
    <row r="359" spans="12:25" x14ac:dyDescent="0.2">
      <c r="L359" s="840"/>
      <c r="M359" s="840"/>
      <c r="N359" s="840"/>
      <c r="O359" s="840"/>
      <c r="P359" s="840"/>
      <c r="Q359" s="840"/>
      <c r="R359" s="840"/>
      <c r="S359" s="840">
        <v>357</v>
      </c>
      <c r="T359" s="840">
        <v>150</v>
      </c>
      <c r="U359" s="840"/>
      <c r="V359" s="840"/>
      <c r="W359" s="840"/>
      <c r="X359" s="840"/>
      <c r="Y359" s="839"/>
    </row>
    <row r="360" spans="12:25" x14ac:dyDescent="0.2">
      <c r="L360" s="840"/>
      <c r="M360" s="840"/>
      <c r="N360" s="840"/>
      <c r="O360" s="840"/>
      <c r="P360" s="840"/>
      <c r="Q360" s="840"/>
      <c r="R360" s="840"/>
      <c r="S360" s="840">
        <v>358</v>
      </c>
      <c r="T360" s="840">
        <v>150</v>
      </c>
      <c r="U360" s="840"/>
      <c r="V360" s="840"/>
      <c r="W360" s="840"/>
      <c r="X360" s="840"/>
      <c r="Y360" s="839"/>
    </row>
    <row r="361" spans="12:25" x14ac:dyDescent="0.2">
      <c r="L361" s="840"/>
      <c r="M361" s="840"/>
      <c r="N361" s="840"/>
      <c r="O361" s="840"/>
      <c r="P361" s="840"/>
      <c r="Q361" s="840"/>
      <c r="R361" s="840"/>
      <c r="S361" s="840">
        <v>359</v>
      </c>
      <c r="T361" s="840">
        <v>150</v>
      </c>
      <c r="U361" s="840"/>
      <c r="V361" s="840"/>
      <c r="W361" s="840"/>
      <c r="X361" s="840"/>
      <c r="Y361" s="839"/>
    </row>
    <row r="362" spans="12:25" x14ac:dyDescent="0.2">
      <c r="L362" s="840"/>
      <c r="M362" s="840"/>
      <c r="N362" s="840"/>
      <c r="O362" s="840"/>
      <c r="P362" s="840"/>
      <c r="Q362" s="840"/>
      <c r="R362" s="840"/>
      <c r="S362" s="840">
        <v>360</v>
      </c>
      <c r="T362" s="840">
        <v>150</v>
      </c>
      <c r="U362" s="840">
        <v>360</v>
      </c>
      <c r="V362" s="840"/>
      <c r="W362" s="840"/>
      <c r="X362" s="840"/>
      <c r="Y362" s="839"/>
    </row>
    <row r="363" spans="12:25" x14ac:dyDescent="0.2">
      <c r="L363" s="840"/>
      <c r="M363" s="840"/>
      <c r="N363" s="840"/>
      <c r="O363" s="840"/>
      <c r="P363" s="840"/>
      <c r="Q363" s="840"/>
      <c r="R363" s="840"/>
      <c r="S363" s="840"/>
      <c r="T363" s="840"/>
      <c r="U363" s="840"/>
      <c r="V363" s="840"/>
      <c r="W363" s="840"/>
      <c r="X363" s="840"/>
      <c r="Y363" s="839"/>
    </row>
    <row r="364" spans="12:25" x14ac:dyDescent="0.2">
      <c r="L364" s="840"/>
      <c r="M364" s="840"/>
      <c r="N364" s="840"/>
      <c r="O364" s="840"/>
      <c r="P364" s="840"/>
      <c r="Q364" s="840"/>
      <c r="R364" s="840"/>
      <c r="S364" s="840"/>
      <c r="T364" s="840"/>
      <c r="U364" s="840"/>
      <c r="V364" s="840"/>
      <c r="W364" s="840"/>
      <c r="X364" s="840"/>
      <c r="Y364" s="839"/>
    </row>
    <row r="365" spans="12:25" x14ac:dyDescent="0.2">
      <c r="L365" s="840"/>
      <c r="M365" s="840"/>
      <c r="N365" s="840"/>
      <c r="O365" s="840"/>
      <c r="P365" s="840"/>
      <c r="Q365" s="840"/>
      <c r="R365" s="840"/>
      <c r="S365" s="840"/>
      <c r="T365" s="840"/>
      <c r="U365" s="840"/>
      <c r="V365" s="840"/>
      <c r="W365" s="840"/>
      <c r="X365" s="840"/>
      <c r="Y365" s="839"/>
    </row>
    <row r="366" spans="12:25" x14ac:dyDescent="0.2">
      <c r="L366" s="840"/>
      <c r="M366" s="840"/>
      <c r="N366" s="840"/>
      <c r="O366" s="840"/>
      <c r="P366" s="840"/>
      <c r="Q366" s="840"/>
      <c r="R366" s="840"/>
      <c r="S366" s="840"/>
      <c r="T366" s="840"/>
      <c r="U366" s="840"/>
      <c r="V366" s="840"/>
      <c r="W366" s="840"/>
      <c r="X366" s="840"/>
      <c r="Y366" s="839"/>
    </row>
    <row r="367" spans="12:25" x14ac:dyDescent="0.2">
      <c r="L367" s="840"/>
      <c r="M367" s="840"/>
      <c r="N367" s="840"/>
      <c r="O367" s="840"/>
      <c r="P367" s="840"/>
      <c r="Q367" s="840"/>
      <c r="R367" s="840"/>
      <c r="S367" s="840"/>
      <c r="T367" s="840"/>
      <c r="U367" s="840"/>
      <c r="V367" s="840"/>
      <c r="W367" s="840"/>
      <c r="X367" s="840"/>
      <c r="Y367" s="839"/>
    </row>
    <row r="368" spans="12:25" x14ac:dyDescent="0.2">
      <c r="L368" s="840"/>
      <c r="M368" s="840"/>
      <c r="N368" s="840"/>
      <c r="O368" s="840"/>
      <c r="P368" s="840"/>
      <c r="Q368" s="840"/>
      <c r="R368" s="840"/>
      <c r="S368" s="840"/>
      <c r="T368" s="840"/>
      <c r="U368" s="840"/>
      <c r="V368" s="840"/>
      <c r="W368" s="840"/>
      <c r="X368" s="840"/>
      <c r="Y368" s="839"/>
    </row>
    <row r="369" spans="12:25" x14ac:dyDescent="0.2">
      <c r="L369" s="840"/>
      <c r="M369" s="840"/>
      <c r="N369" s="840"/>
      <c r="O369" s="840"/>
      <c r="P369" s="840"/>
      <c r="Q369" s="840"/>
      <c r="R369" s="840"/>
      <c r="S369" s="840"/>
      <c r="T369" s="840"/>
      <c r="U369" s="840"/>
      <c r="V369" s="840"/>
      <c r="W369" s="840"/>
      <c r="X369" s="840"/>
      <c r="Y369" s="839"/>
    </row>
    <row r="370" spans="12:25" x14ac:dyDescent="0.2">
      <c r="L370" s="840"/>
      <c r="M370" s="840"/>
      <c r="N370" s="840"/>
      <c r="O370" s="840"/>
      <c r="P370" s="840"/>
      <c r="Q370" s="840"/>
      <c r="R370" s="840"/>
      <c r="S370" s="840"/>
      <c r="T370" s="840"/>
      <c r="U370" s="840"/>
      <c r="V370" s="840"/>
      <c r="W370" s="840"/>
      <c r="X370" s="840"/>
      <c r="Y370" s="839"/>
    </row>
    <row r="371" spans="12:25" x14ac:dyDescent="0.2">
      <c r="L371" s="840"/>
      <c r="M371" s="840"/>
      <c r="N371" s="840"/>
      <c r="O371" s="840"/>
      <c r="P371" s="840"/>
      <c r="Q371" s="840"/>
      <c r="R371" s="840"/>
      <c r="S371" s="840"/>
      <c r="T371" s="840"/>
      <c r="U371" s="840"/>
      <c r="V371" s="840"/>
      <c r="W371" s="840"/>
      <c r="X371" s="840"/>
      <c r="Y371" s="839"/>
    </row>
    <row r="372" spans="12:25" x14ac:dyDescent="0.2">
      <c r="L372" s="840"/>
      <c r="M372" s="840"/>
      <c r="N372" s="840"/>
      <c r="O372" s="840"/>
      <c r="P372" s="840"/>
      <c r="Q372" s="840"/>
      <c r="R372" s="840"/>
      <c r="S372" s="840"/>
      <c r="T372" s="840"/>
      <c r="U372" s="840"/>
      <c r="V372" s="840"/>
      <c r="W372" s="840"/>
      <c r="X372" s="840"/>
      <c r="Y372" s="839"/>
    </row>
    <row r="373" spans="12:25" x14ac:dyDescent="0.2">
      <c r="L373" s="840"/>
      <c r="M373" s="840"/>
      <c r="N373" s="840"/>
      <c r="O373" s="840"/>
      <c r="P373" s="840"/>
      <c r="Q373" s="840"/>
      <c r="R373" s="840"/>
      <c r="S373" s="840"/>
      <c r="T373" s="840"/>
      <c r="U373" s="840"/>
      <c r="V373" s="840"/>
      <c r="W373" s="840"/>
      <c r="X373" s="840"/>
      <c r="Y373" s="839"/>
    </row>
    <row r="374" spans="12:25" x14ac:dyDescent="0.2">
      <c r="L374" s="840"/>
      <c r="M374" s="840"/>
      <c r="N374" s="840"/>
      <c r="O374" s="840"/>
      <c r="P374" s="840"/>
      <c r="Q374" s="840"/>
      <c r="R374" s="840"/>
      <c r="S374" s="840"/>
      <c r="T374" s="840"/>
      <c r="U374" s="840"/>
      <c r="V374" s="840"/>
      <c r="W374" s="840"/>
      <c r="X374" s="840"/>
      <c r="Y374" s="839"/>
    </row>
    <row r="375" spans="12:25" x14ac:dyDescent="0.2">
      <c r="L375" s="840"/>
      <c r="M375" s="840"/>
      <c r="N375" s="840"/>
      <c r="O375" s="840"/>
      <c r="P375" s="840"/>
      <c r="Q375" s="840"/>
      <c r="R375" s="840"/>
      <c r="S375" s="840"/>
      <c r="T375" s="840"/>
      <c r="U375" s="840"/>
      <c r="V375" s="840"/>
      <c r="W375" s="840"/>
      <c r="X375" s="840"/>
      <c r="Y375" s="839"/>
    </row>
    <row r="376" spans="12:25" x14ac:dyDescent="0.2">
      <c r="L376" s="840"/>
      <c r="M376" s="840"/>
      <c r="N376" s="840"/>
      <c r="O376" s="840"/>
      <c r="P376" s="840"/>
      <c r="Q376" s="840"/>
      <c r="R376" s="840"/>
      <c r="S376" s="840"/>
      <c r="T376" s="840"/>
      <c r="U376" s="840"/>
      <c r="V376" s="840"/>
      <c r="W376" s="840"/>
      <c r="X376" s="840"/>
      <c r="Y376" s="839"/>
    </row>
    <row r="377" spans="12:25" x14ac:dyDescent="0.2">
      <c r="L377" s="840"/>
      <c r="M377" s="840"/>
      <c r="N377" s="840"/>
      <c r="O377" s="840"/>
      <c r="P377" s="840"/>
      <c r="Q377" s="840"/>
      <c r="R377" s="840"/>
      <c r="S377" s="840"/>
      <c r="T377" s="840"/>
      <c r="U377" s="840"/>
      <c r="V377" s="840"/>
      <c r="W377" s="840"/>
      <c r="X377" s="840"/>
      <c r="Y377" s="839"/>
    </row>
    <row r="378" spans="12:25" x14ac:dyDescent="0.2">
      <c r="L378" s="840"/>
      <c r="M378" s="840"/>
      <c r="N378" s="840"/>
      <c r="O378" s="840"/>
      <c r="P378" s="840"/>
      <c r="Q378" s="840"/>
      <c r="R378" s="840"/>
      <c r="S378" s="840"/>
      <c r="T378" s="840"/>
      <c r="U378" s="840"/>
      <c r="V378" s="840"/>
      <c r="W378" s="840"/>
      <c r="X378" s="840"/>
      <c r="Y378" s="839"/>
    </row>
    <row r="379" spans="12:25" x14ac:dyDescent="0.2">
      <c r="L379" s="840"/>
      <c r="M379" s="840"/>
      <c r="N379" s="840"/>
      <c r="O379" s="840"/>
      <c r="P379" s="840"/>
      <c r="Q379" s="840"/>
      <c r="R379" s="840"/>
      <c r="S379" s="840"/>
      <c r="T379" s="840"/>
      <c r="U379" s="840"/>
      <c r="V379" s="840"/>
      <c r="W379" s="840"/>
      <c r="X379" s="840"/>
      <c r="Y379" s="839"/>
    </row>
    <row r="380" spans="12:25" x14ac:dyDescent="0.2">
      <c r="L380" s="840"/>
      <c r="M380" s="840"/>
      <c r="N380" s="840"/>
      <c r="O380" s="840"/>
      <c r="P380" s="840"/>
      <c r="Q380" s="840"/>
      <c r="R380" s="840"/>
      <c r="S380" s="840"/>
      <c r="T380" s="840"/>
      <c r="U380" s="840"/>
      <c r="V380" s="840"/>
      <c r="W380" s="840"/>
      <c r="X380" s="840"/>
      <c r="Y380" s="839"/>
    </row>
    <row r="381" spans="12:25" x14ac:dyDescent="0.2">
      <c r="L381" s="840"/>
      <c r="M381" s="840"/>
      <c r="N381" s="840"/>
      <c r="O381" s="840"/>
      <c r="P381" s="840"/>
      <c r="Q381" s="840"/>
      <c r="R381" s="840"/>
      <c r="S381" s="840"/>
      <c r="T381" s="840"/>
      <c r="U381" s="840"/>
      <c r="V381" s="840"/>
      <c r="W381" s="840"/>
      <c r="X381" s="840"/>
      <c r="Y381" s="839"/>
    </row>
    <row r="382" spans="12:25" x14ac:dyDescent="0.2">
      <c r="L382" s="840"/>
      <c r="M382" s="840"/>
      <c r="N382" s="840"/>
      <c r="O382" s="840"/>
      <c r="P382" s="840"/>
      <c r="Q382" s="840"/>
      <c r="R382" s="840"/>
      <c r="S382" s="840"/>
      <c r="T382" s="840"/>
      <c r="U382" s="840"/>
      <c r="V382" s="840"/>
      <c r="W382" s="840"/>
      <c r="X382" s="840"/>
      <c r="Y382" s="839"/>
    </row>
    <row r="383" spans="12:25" x14ac:dyDescent="0.2">
      <c r="L383" s="840"/>
      <c r="M383" s="840"/>
      <c r="N383" s="840"/>
      <c r="O383" s="840"/>
      <c r="P383" s="840"/>
      <c r="Q383" s="840"/>
      <c r="R383" s="840"/>
      <c r="S383" s="840"/>
      <c r="T383" s="840"/>
      <c r="U383" s="840"/>
      <c r="V383" s="840"/>
      <c r="W383" s="840"/>
      <c r="X383" s="840"/>
      <c r="Y383" s="839"/>
    </row>
    <row r="384" spans="12:25" x14ac:dyDescent="0.2">
      <c r="L384" s="840"/>
      <c r="M384" s="840"/>
      <c r="N384" s="840"/>
      <c r="O384" s="840"/>
      <c r="P384" s="840"/>
      <c r="Q384" s="840"/>
      <c r="R384" s="840"/>
      <c r="S384" s="840"/>
      <c r="T384" s="840"/>
      <c r="U384" s="840"/>
      <c r="V384" s="840"/>
      <c r="W384" s="840"/>
      <c r="X384" s="840"/>
      <c r="Y384" s="839"/>
    </row>
    <row r="385" spans="12:25" x14ac:dyDescent="0.2">
      <c r="L385" s="840"/>
      <c r="M385" s="840"/>
      <c r="N385" s="840"/>
      <c r="O385" s="840"/>
      <c r="P385" s="840"/>
      <c r="Q385" s="840"/>
      <c r="R385" s="840"/>
      <c r="S385" s="840"/>
      <c r="T385" s="840"/>
      <c r="U385" s="840"/>
      <c r="V385" s="840"/>
      <c r="W385" s="840"/>
      <c r="X385" s="840"/>
      <c r="Y385" s="839"/>
    </row>
    <row r="386" spans="12:25" x14ac:dyDescent="0.2">
      <c r="L386" s="840"/>
      <c r="M386" s="840"/>
      <c r="N386" s="840"/>
      <c r="O386" s="840"/>
      <c r="P386" s="840"/>
      <c r="Q386" s="840"/>
      <c r="R386" s="840"/>
      <c r="S386" s="840"/>
      <c r="T386" s="840"/>
      <c r="U386" s="840"/>
      <c r="V386" s="840"/>
      <c r="W386" s="840"/>
      <c r="X386" s="840"/>
      <c r="Y386" s="839"/>
    </row>
    <row r="387" spans="12:25" x14ac:dyDescent="0.2">
      <c r="L387" s="840"/>
      <c r="M387" s="840"/>
      <c r="N387" s="840"/>
      <c r="O387" s="840"/>
      <c r="P387" s="840"/>
      <c r="Q387" s="840"/>
      <c r="R387" s="840"/>
      <c r="S387" s="840"/>
      <c r="T387" s="840"/>
      <c r="U387" s="840"/>
      <c r="V387" s="840"/>
      <c r="W387" s="840"/>
      <c r="X387" s="840"/>
      <c r="Y387" s="839"/>
    </row>
    <row r="388" spans="12:25" x14ac:dyDescent="0.2">
      <c r="L388" s="840"/>
      <c r="M388" s="840"/>
      <c r="N388" s="840"/>
      <c r="O388" s="840"/>
      <c r="P388" s="840"/>
      <c r="Q388" s="840"/>
      <c r="R388" s="840"/>
      <c r="S388" s="840"/>
      <c r="T388" s="840"/>
      <c r="U388" s="840"/>
      <c r="V388" s="840"/>
      <c r="W388" s="840"/>
      <c r="X388" s="840"/>
      <c r="Y388" s="839"/>
    </row>
    <row r="389" spans="12:25" x14ac:dyDescent="0.2">
      <c r="L389" s="840"/>
      <c r="M389" s="840"/>
      <c r="N389" s="840"/>
      <c r="O389" s="840"/>
      <c r="P389" s="840"/>
      <c r="Q389" s="840"/>
      <c r="R389" s="840"/>
      <c r="S389" s="840"/>
      <c r="T389" s="840"/>
      <c r="U389" s="840"/>
      <c r="V389" s="840"/>
      <c r="W389" s="840"/>
      <c r="X389" s="840"/>
      <c r="Y389" s="839"/>
    </row>
    <row r="390" spans="12:25" x14ac:dyDescent="0.2">
      <c r="L390" s="840"/>
      <c r="M390" s="840"/>
      <c r="N390" s="840"/>
      <c r="O390" s="840"/>
      <c r="P390" s="840"/>
      <c r="Q390" s="840"/>
      <c r="R390" s="840"/>
      <c r="S390" s="840"/>
      <c r="T390" s="840"/>
      <c r="U390" s="840"/>
      <c r="V390" s="840"/>
      <c r="W390" s="840"/>
      <c r="X390" s="840"/>
      <c r="Y390" s="839"/>
    </row>
    <row r="391" spans="12:25" x14ac:dyDescent="0.2">
      <c r="L391" s="840"/>
      <c r="M391" s="840"/>
      <c r="N391" s="840"/>
      <c r="O391" s="840"/>
      <c r="P391" s="840"/>
      <c r="Q391" s="840"/>
      <c r="R391" s="840"/>
      <c r="S391" s="840"/>
      <c r="T391" s="840"/>
      <c r="U391" s="840"/>
      <c r="V391" s="840"/>
      <c r="W391" s="840"/>
      <c r="X391" s="840"/>
      <c r="Y391" s="839"/>
    </row>
    <row r="392" spans="12:25" x14ac:dyDescent="0.2">
      <c r="L392" s="840"/>
      <c r="M392" s="840"/>
      <c r="N392" s="840"/>
      <c r="O392" s="840"/>
      <c r="P392" s="840"/>
      <c r="Q392" s="840"/>
      <c r="R392" s="840"/>
      <c r="S392" s="840"/>
      <c r="T392" s="840"/>
      <c r="U392" s="840"/>
      <c r="V392" s="840"/>
      <c r="W392" s="840"/>
      <c r="X392" s="840"/>
      <c r="Y392" s="839"/>
    </row>
    <row r="393" spans="12:25" x14ac:dyDescent="0.2">
      <c r="L393" s="840"/>
      <c r="M393" s="840"/>
      <c r="N393" s="840"/>
      <c r="O393" s="840"/>
      <c r="P393" s="840"/>
      <c r="Q393" s="840"/>
      <c r="R393" s="840"/>
      <c r="S393" s="840"/>
      <c r="T393" s="840"/>
      <c r="U393" s="840"/>
      <c r="V393" s="840"/>
      <c r="W393" s="840"/>
      <c r="X393" s="840"/>
      <c r="Y393" s="839"/>
    </row>
    <row r="394" spans="12:25" x14ac:dyDescent="0.2">
      <c r="L394" s="840"/>
      <c r="M394" s="840"/>
      <c r="N394" s="840"/>
      <c r="O394" s="840"/>
      <c r="P394" s="840"/>
      <c r="Q394" s="840"/>
      <c r="R394" s="840"/>
      <c r="S394" s="840"/>
      <c r="T394" s="840"/>
      <c r="U394" s="840"/>
      <c r="V394" s="840"/>
      <c r="W394" s="840"/>
      <c r="X394" s="840"/>
      <c r="Y394" s="839"/>
    </row>
    <row r="395" spans="12:25" x14ac:dyDescent="0.2">
      <c r="L395" s="840"/>
      <c r="M395" s="840"/>
      <c r="N395" s="840"/>
      <c r="O395" s="840"/>
      <c r="P395" s="840"/>
      <c r="Q395" s="840"/>
      <c r="R395" s="840"/>
      <c r="S395" s="840"/>
      <c r="T395" s="840"/>
      <c r="U395" s="840"/>
      <c r="V395" s="840"/>
      <c r="W395" s="840"/>
      <c r="X395" s="840"/>
      <c r="Y395" s="839"/>
    </row>
    <row r="396" spans="12:25" x14ac:dyDescent="0.2">
      <c r="L396" s="840"/>
      <c r="M396" s="840"/>
      <c r="N396" s="840"/>
      <c r="O396" s="840"/>
      <c r="P396" s="840"/>
      <c r="Q396" s="840"/>
      <c r="R396" s="840"/>
      <c r="S396" s="840"/>
      <c r="T396" s="840"/>
      <c r="U396" s="840"/>
      <c r="V396" s="840"/>
      <c r="W396" s="840"/>
      <c r="X396" s="840"/>
      <c r="Y396" s="839"/>
    </row>
    <row r="397" spans="12:25" x14ac:dyDescent="0.2">
      <c r="L397" s="840"/>
      <c r="M397" s="840"/>
      <c r="N397" s="840"/>
      <c r="O397" s="840"/>
      <c r="P397" s="840"/>
      <c r="Q397" s="840"/>
      <c r="R397" s="840"/>
      <c r="S397" s="840"/>
      <c r="T397" s="840"/>
      <c r="U397" s="840"/>
      <c r="V397" s="840"/>
      <c r="W397" s="840"/>
      <c r="X397" s="840"/>
      <c r="Y397" s="839"/>
    </row>
    <row r="398" spans="12:25" x14ac:dyDescent="0.2">
      <c r="L398" s="840"/>
      <c r="M398" s="840"/>
      <c r="N398" s="840"/>
      <c r="O398" s="840"/>
      <c r="P398" s="840"/>
      <c r="Q398" s="840"/>
      <c r="R398" s="840"/>
      <c r="S398" s="840"/>
      <c r="T398" s="840"/>
      <c r="U398" s="840"/>
      <c r="V398" s="840"/>
      <c r="W398" s="840"/>
      <c r="X398" s="840"/>
      <c r="Y398" s="839"/>
    </row>
    <row r="399" spans="12:25" x14ac:dyDescent="0.2">
      <c r="L399" s="840"/>
      <c r="M399" s="840"/>
      <c r="N399" s="840"/>
      <c r="O399" s="840"/>
      <c r="P399" s="840"/>
      <c r="Q399" s="840"/>
      <c r="R399" s="840"/>
      <c r="S399" s="840"/>
      <c r="T399" s="840"/>
      <c r="U399" s="840"/>
      <c r="V399" s="840"/>
      <c r="W399" s="840"/>
      <c r="X399" s="840"/>
      <c r="Y399" s="839"/>
    </row>
    <row r="400" spans="12:25" x14ac:dyDescent="0.2">
      <c r="L400" s="840"/>
      <c r="M400" s="840"/>
      <c r="N400" s="840"/>
      <c r="O400" s="840"/>
      <c r="P400" s="840"/>
      <c r="Q400" s="840"/>
      <c r="R400" s="840"/>
      <c r="S400" s="840"/>
      <c r="T400" s="840"/>
      <c r="U400" s="840"/>
      <c r="V400" s="840"/>
      <c r="W400" s="840"/>
      <c r="X400" s="840"/>
      <c r="Y400" s="839"/>
    </row>
    <row r="401" spans="12:25" x14ac:dyDescent="0.2">
      <c r="L401" s="840"/>
      <c r="M401" s="840"/>
      <c r="N401" s="840"/>
      <c r="O401" s="840"/>
      <c r="P401" s="840"/>
      <c r="Q401" s="840"/>
      <c r="R401" s="840"/>
      <c r="S401" s="840"/>
      <c r="T401" s="840"/>
      <c r="U401" s="840"/>
      <c r="V401" s="840"/>
      <c r="W401" s="840"/>
      <c r="X401" s="840"/>
      <c r="Y401" s="839"/>
    </row>
    <row r="402" spans="12:25" x14ac:dyDescent="0.2">
      <c r="L402" s="839"/>
      <c r="M402" s="839"/>
      <c r="N402" s="839"/>
      <c r="O402" s="839"/>
      <c r="P402" s="839"/>
      <c r="Q402" s="839"/>
      <c r="R402" s="839"/>
      <c r="S402" s="839"/>
      <c r="T402" s="839"/>
      <c r="U402" s="839"/>
      <c r="V402" s="839"/>
      <c r="W402" s="839"/>
      <c r="X402" s="839"/>
      <c r="Y402" s="839"/>
    </row>
    <row r="403" spans="12:25" x14ac:dyDescent="0.2">
      <c r="L403" s="839"/>
      <c r="M403" s="839"/>
      <c r="N403" s="839"/>
      <c r="O403" s="839"/>
      <c r="P403" s="839"/>
      <c r="Q403" s="839"/>
      <c r="R403" s="839"/>
      <c r="S403" s="839"/>
      <c r="T403" s="839"/>
      <c r="U403" s="839"/>
      <c r="V403" s="839"/>
      <c r="W403" s="839"/>
      <c r="X403" s="839"/>
      <c r="Y403" s="839"/>
    </row>
    <row r="404" spans="12:25" x14ac:dyDescent="0.2">
      <c r="L404" s="839"/>
      <c r="M404" s="839"/>
      <c r="N404" s="839"/>
      <c r="O404" s="839"/>
      <c r="P404" s="839"/>
      <c r="Q404" s="839"/>
      <c r="R404" s="839"/>
      <c r="S404" s="839"/>
      <c r="T404" s="839"/>
      <c r="U404" s="839"/>
      <c r="V404" s="839"/>
      <c r="W404" s="839"/>
      <c r="X404" s="839"/>
      <c r="Y404" s="839"/>
    </row>
    <row r="405" spans="12:25" x14ac:dyDescent="0.2">
      <c r="L405" s="839"/>
      <c r="M405" s="839"/>
      <c r="N405" s="839"/>
      <c r="O405" s="839"/>
      <c r="P405" s="839"/>
      <c r="Q405" s="839"/>
      <c r="R405" s="839"/>
      <c r="S405" s="839"/>
      <c r="T405" s="839"/>
      <c r="U405" s="839"/>
      <c r="V405" s="839"/>
      <c r="W405" s="839"/>
      <c r="X405" s="839"/>
      <c r="Y405" s="839"/>
    </row>
    <row r="406" spans="12:25" x14ac:dyDescent="0.2">
      <c r="L406" s="839"/>
      <c r="M406" s="839"/>
      <c r="N406" s="839"/>
      <c r="O406" s="839"/>
      <c r="P406" s="839"/>
      <c r="Q406" s="839"/>
      <c r="R406" s="839"/>
      <c r="S406" s="839"/>
      <c r="T406" s="839"/>
      <c r="U406" s="839"/>
      <c r="V406" s="839"/>
      <c r="W406" s="839"/>
      <c r="X406" s="839"/>
      <c r="Y406" s="839"/>
    </row>
    <row r="407" spans="12:25" x14ac:dyDescent="0.2">
      <c r="L407" s="839"/>
      <c r="M407" s="839"/>
      <c r="N407" s="839"/>
      <c r="O407" s="839"/>
      <c r="P407" s="839"/>
      <c r="Q407" s="839"/>
      <c r="R407" s="839"/>
      <c r="S407" s="839"/>
      <c r="T407" s="839"/>
      <c r="U407" s="839"/>
      <c r="V407" s="839"/>
      <c r="W407" s="839"/>
      <c r="X407" s="839"/>
      <c r="Y407" s="839"/>
    </row>
    <row r="408" spans="12:25" x14ac:dyDescent="0.2">
      <c r="L408" s="839"/>
      <c r="M408" s="839"/>
      <c r="N408" s="839"/>
      <c r="O408" s="839"/>
      <c r="P408" s="839"/>
      <c r="Q408" s="839"/>
      <c r="R408" s="839"/>
      <c r="S408" s="839"/>
      <c r="T408" s="839"/>
      <c r="U408" s="839"/>
      <c r="V408" s="839"/>
      <c r="W408" s="839"/>
      <c r="X408" s="839"/>
      <c r="Y408" s="839"/>
    </row>
    <row r="409" spans="12:25" x14ac:dyDescent="0.2">
      <c r="L409" s="839"/>
      <c r="M409" s="839"/>
      <c r="N409" s="839"/>
      <c r="O409" s="839"/>
      <c r="P409" s="839"/>
      <c r="Q409" s="839"/>
      <c r="R409" s="839"/>
      <c r="S409" s="839"/>
      <c r="T409" s="839"/>
      <c r="U409" s="839"/>
      <c r="V409" s="839"/>
      <c r="W409" s="839"/>
      <c r="X409" s="839"/>
      <c r="Y409" s="839"/>
    </row>
    <row r="410" spans="12:25" x14ac:dyDescent="0.2">
      <c r="L410" s="839"/>
      <c r="M410" s="839"/>
      <c r="N410" s="839"/>
      <c r="O410" s="839"/>
      <c r="P410" s="839"/>
      <c r="Q410" s="839"/>
      <c r="R410" s="839"/>
      <c r="S410" s="839"/>
      <c r="T410" s="839"/>
      <c r="U410" s="839"/>
      <c r="V410" s="839"/>
      <c r="W410" s="839"/>
      <c r="X410" s="839"/>
      <c r="Y410" s="839"/>
    </row>
    <row r="411" spans="12:25" x14ac:dyDescent="0.2">
      <c r="L411" s="839"/>
      <c r="M411" s="839"/>
      <c r="N411" s="839"/>
      <c r="O411" s="839"/>
      <c r="P411" s="839"/>
      <c r="Q411" s="839"/>
      <c r="R411" s="839"/>
      <c r="S411" s="839"/>
      <c r="T411" s="839"/>
      <c r="U411" s="839"/>
      <c r="V411" s="839"/>
      <c r="W411" s="839"/>
      <c r="X411" s="839"/>
      <c r="Y411" s="839"/>
    </row>
    <row r="412" spans="12:25" x14ac:dyDescent="0.2">
      <c r="L412" s="839"/>
      <c r="M412" s="839"/>
      <c r="N412" s="839"/>
      <c r="O412" s="839"/>
      <c r="P412" s="839"/>
      <c r="Q412" s="839"/>
      <c r="R412" s="839"/>
      <c r="S412" s="839"/>
      <c r="T412" s="839"/>
      <c r="U412" s="839"/>
      <c r="V412" s="839"/>
      <c r="W412" s="839"/>
      <c r="X412" s="839"/>
      <c r="Y412" s="839"/>
    </row>
    <row r="413" spans="12:25" x14ac:dyDescent="0.2">
      <c r="L413" s="839"/>
      <c r="M413" s="839"/>
      <c r="N413" s="839"/>
      <c r="O413" s="839"/>
      <c r="P413" s="839"/>
      <c r="Q413" s="839"/>
      <c r="R413" s="839"/>
      <c r="S413" s="839"/>
      <c r="T413" s="839"/>
      <c r="U413" s="839"/>
      <c r="V413" s="839"/>
      <c r="W413" s="839"/>
      <c r="X413" s="839"/>
      <c r="Y413" s="839"/>
    </row>
    <row r="414" spans="12:25" x14ac:dyDescent="0.2">
      <c r="L414" s="839"/>
      <c r="M414" s="839"/>
      <c r="N414" s="839"/>
      <c r="O414" s="839"/>
      <c r="P414" s="839"/>
      <c r="Q414" s="839"/>
      <c r="R414" s="839"/>
      <c r="S414" s="839"/>
      <c r="T414" s="839"/>
      <c r="U414" s="839"/>
      <c r="V414" s="839"/>
      <c r="W414" s="839"/>
      <c r="X414" s="839"/>
      <c r="Y414" s="839"/>
    </row>
    <row r="415" spans="12:25" x14ac:dyDescent="0.2">
      <c r="L415" s="839"/>
      <c r="M415" s="839"/>
      <c r="N415" s="839"/>
      <c r="O415" s="839"/>
      <c r="P415" s="839"/>
      <c r="Q415" s="839"/>
      <c r="R415" s="839"/>
      <c r="S415" s="839"/>
      <c r="T415" s="839"/>
      <c r="U415" s="839"/>
      <c r="V415" s="839"/>
      <c r="W415" s="839"/>
      <c r="X415" s="839"/>
      <c r="Y415" s="839"/>
    </row>
    <row r="416" spans="12:25" x14ac:dyDescent="0.2">
      <c r="L416" s="839"/>
      <c r="M416" s="839"/>
      <c r="N416" s="839"/>
      <c r="O416" s="839"/>
      <c r="P416" s="839"/>
      <c r="Q416" s="839"/>
      <c r="R416" s="839"/>
      <c r="S416" s="839"/>
      <c r="T416" s="839"/>
      <c r="U416" s="839"/>
      <c r="V416" s="839"/>
      <c r="W416" s="839"/>
      <c r="X416" s="839"/>
      <c r="Y416" s="839"/>
    </row>
    <row r="417" spans="12:25" x14ac:dyDescent="0.2">
      <c r="L417" s="839"/>
      <c r="M417" s="839"/>
      <c r="N417" s="839"/>
      <c r="O417" s="839"/>
      <c r="P417" s="839"/>
      <c r="Q417" s="839"/>
      <c r="R417" s="839"/>
      <c r="S417" s="839"/>
      <c r="T417" s="839"/>
      <c r="U417" s="839"/>
      <c r="V417" s="839"/>
      <c r="W417" s="839"/>
      <c r="X417" s="839"/>
      <c r="Y417" s="839"/>
    </row>
    <row r="418" spans="12:25" x14ac:dyDescent="0.2">
      <c r="L418" s="839"/>
      <c r="M418" s="839"/>
      <c r="N418" s="839"/>
      <c r="O418" s="839"/>
      <c r="P418" s="839"/>
      <c r="Q418" s="839"/>
      <c r="R418" s="839"/>
      <c r="S418" s="839"/>
      <c r="T418" s="839"/>
      <c r="U418" s="839"/>
      <c r="V418" s="839"/>
      <c r="W418" s="839"/>
      <c r="X418" s="839"/>
      <c r="Y418" s="839"/>
    </row>
    <row r="419" spans="12:25" x14ac:dyDescent="0.2">
      <c r="L419" s="839"/>
      <c r="M419" s="839"/>
      <c r="N419" s="839"/>
      <c r="O419" s="839"/>
      <c r="P419" s="839"/>
      <c r="Q419" s="839"/>
      <c r="R419" s="839"/>
      <c r="S419" s="839"/>
      <c r="T419" s="839"/>
      <c r="U419" s="839"/>
      <c r="V419" s="839"/>
      <c r="W419" s="839"/>
      <c r="X419" s="839"/>
      <c r="Y419" s="839"/>
    </row>
    <row r="420" spans="12:25" x14ac:dyDescent="0.2">
      <c r="L420" s="839"/>
      <c r="M420" s="839"/>
      <c r="N420" s="839"/>
      <c r="O420" s="839"/>
      <c r="P420" s="839"/>
      <c r="Q420" s="839"/>
      <c r="R420" s="839"/>
      <c r="S420" s="839"/>
      <c r="T420" s="839"/>
      <c r="U420" s="839"/>
      <c r="V420" s="839"/>
      <c r="W420" s="839"/>
      <c r="X420" s="839"/>
      <c r="Y420" s="839"/>
    </row>
    <row r="421" spans="12:25" x14ac:dyDescent="0.2">
      <c r="L421" s="839"/>
      <c r="M421" s="839"/>
      <c r="N421" s="839"/>
      <c r="O421" s="839"/>
      <c r="P421" s="839"/>
      <c r="Q421" s="839"/>
      <c r="R421" s="839"/>
      <c r="S421" s="839"/>
      <c r="T421" s="839"/>
      <c r="U421" s="839"/>
      <c r="V421" s="839"/>
      <c r="W421" s="839"/>
      <c r="X421" s="839"/>
      <c r="Y421" s="839"/>
    </row>
    <row r="422" spans="12:25" x14ac:dyDescent="0.2">
      <c r="L422" s="839"/>
      <c r="M422" s="839"/>
      <c r="N422" s="839"/>
      <c r="O422" s="839"/>
      <c r="P422" s="839"/>
      <c r="Q422" s="839"/>
      <c r="R422" s="839"/>
      <c r="S422" s="839"/>
      <c r="T422" s="839"/>
      <c r="U422" s="839"/>
      <c r="V422" s="839"/>
      <c r="W422" s="839"/>
      <c r="X422" s="839"/>
      <c r="Y422" s="839"/>
    </row>
    <row r="423" spans="12:25" x14ac:dyDescent="0.2">
      <c r="L423" s="839"/>
      <c r="M423" s="839"/>
      <c r="N423" s="839"/>
      <c r="O423" s="839"/>
      <c r="P423" s="839"/>
      <c r="Q423" s="839"/>
      <c r="R423" s="839"/>
      <c r="S423" s="839"/>
      <c r="T423" s="839"/>
      <c r="U423" s="839"/>
      <c r="V423" s="839"/>
      <c r="W423" s="839"/>
      <c r="X423" s="839"/>
      <c r="Y423" s="839"/>
    </row>
    <row r="424" spans="12:25" x14ac:dyDescent="0.2">
      <c r="L424" s="839"/>
      <c r="M424" s="839"/>
      <c r="N424" s="839"/>
      <c r="O424" s="839"/>
      <c r="P424" s="839"/>
      <c r="Q424" s="839"/>
      <c r="R424" s="839"/>
      <c r="S424" s="839"/>
      <c r="T424" s="839"/>
      <c r="U424" s="839"/>
      <c r="V424" s="839"/>
      <c r="W424" s="839"/>
      <c r="X424" s="839"/>
      <c r="Y424" s="839"/>
    </row>
    <row r="425" spans="12:25" x14ac:dyDescent="0.2">
      <c r="L425" s="839"/>
      <c r="M425" s="839"/>
      <c r="N425" s="839"/>
      <c r="O425" s="839"/>
      <c r="P425" s="839"/>
      <c r="Q425" s="839"/>
      <c r="R425" s="839"/>
      <c r="S425" s="839"/>
      <c r="T425" s="839"/>
      <c r="U425" s="839"/>
      <c r="V425" s="839"/>
      <c r="W425" s="839"/>
      <c r="X425" s="839"/>
      <c r="Y425" s="839"/>
    </row>
    <row r="426" spans="12:25" x14ac:dyDescent="0.2">
      <c r="L426" s="839"/>
      <c r="M426" s="839"/>
      <c r="N426" s="839"/>
      <c r="O426" s="839"/>
      <c r="P426" s="839"/>
      <c r="Q426" s="839"/>
      <c r="R426" s="839"/>
      <c r="S426" s="839"/>
      <c r="T426" s="839"/>
      <c r="U426" s="839"/>
      <c r="V426" s="839"/>
      <c r="W426" s="839"/>
      <c r="X426" s="839"/>
      <c r="Y426" s="839"/>
    </row>
    <row r="427" spans="12:25" x14ac:dyDescent="0.2">
      <c r="L427" s="839"/>
      <c r="M427" s="839"/>
      <c r="N427" s="839"/>
      <c r="O427" s="839"/>
      <c r="P427" s="839"/>
      <c r="Q427" s="839"/>
      <c r="R427" s="839"/>
      <c r="S427" s="839"/>
      <c r="T427" s="839"/>
      <c r="U427" s="839"/>
      <c r="V427" s="839"/>
      <c r="W427" s="839"/>
      <c r="X427" s="839"/>
      <c r="Y427" s="839"/>
    </row>
    <row r="428" spans="12:25" x14ac:dyDescent="0.2">
      <c r="L428" s="839"/>
      <c r="M428" s="839"/>
      <c r="N428" s="839"/>
      <c r="O428" s="839"/>
      <c r="P428" s="839"/>
      <c r="Q428" s="839"/>
      <c r="R428" s="839"/>
      <c r="S428" s="839"/>
      <c r="T428" s="839"/>
      <c r="U428" s="839"/>
      <c r="V428" s="839"/>
      <c r="W428" s="839"/>
      <c r="X428" s="839"/>
      <c r="Y428" s="839"/>
    </row>
    <row r="429" spans="12:25" x14ac:dyDescent="0.2">
      <c r="L429" s="839"/>
      <c r="M429" s="839"/>
      <c r="N429" s="839"/>
      <c r="O429" s="839"/>
      <c r="P429" s="839"/>
      <c r="Q429" s="839"/>
      <c r="R429" s="839"/>
      <c r="S429" s="839"/>
      <c r="T429" s="839"/>
      <c r="U429" s="839"/>
      <c r="V429" s="839"/>
      <c r="W429" s="839"/>
      <c r="X429" s="839"/>
      <c r="Y429" s="839"/>
    </row>
    <row r="430" spans="12:25" x14ac:dyDescent="0.2">
      <c r="L430" s="839"/>
      <c r="M430" s="839"/>
      <c r="N430" s="839"/>
      <c r="O430" s="839"/>
      <c r="P430" s="839"/>
      <c r="Q430" s="839"/>
      <c r="R430" s="839"/>
      <c r="S430" s="839"/>
      <c r="T430" s="839"/>
      <c r="U430" s="839"/>
      <c r="V430" s="839"/>
      <c r="W430" s="839"/>
      <c r="X430" s="839"/>
      <c r="Y430" s="839"/>
    </row>
    <row r="431" spans="12:25" x14ac:dyDescent="0.2">
      <c r="L431" s="839"/>
      <c r="M431" s="839"/>
      <c r="N431" s="839"/>
      <c r="O431" s="839"/>
      <c r="P431" s="839"/>
      <c r="Q431" s="839"/>
      <c r="R431" s="839"/>
      <c r="S431" s="839"/>
      <c r="T431" s="839"/>
      <c r="U431" s="839"/>
      <c r="V431" s="839"/>
      <c r="W431" s="839"/>
      <c r="X431" s="839"/>
      <c r="Y431" s="839"/>
    </row>
    <row r="432" spans="12:25" x14ac:dyDescent="0.2">
      <c r="L432" s="839"/>
      <c r="M432" s="839"/>
      <c r="N432" s="839"/>
      <c r="O432" s="839"/>
      <c r="P432" s="839"/>
      <c r="Q432" s="839"/>
      <c r="R432" s="839"/>
      <c r="S432" s="839"/>
      <c r="T432" s="839"/>
      <c r="U432" s="839"/>
      <c r="V432" s="839"/>
      <c r="W432" s="839"/>
      <c r="X432" s="839"/>
      <c r="Y432" s="839"/>
    </row>
    <row r="433" spans="12:25" x14ac:dyDescent="0.2">
      <c r="L433" s="839"/>
      <c r="M433" s="839"/>
      <c r="N433" s="839"/>
      <c r="O433" s="839"/>
      <c r="P433" s="839"/>
      <c r="Q433" s="839"/>
      <c r="R433" s="839"/>
      <c r="S433" s="839"/>
      <c r="T433" s="839"/>
      <c r="U433" s="839"/>
      <c r="V433" s="839"/>
      <c r="W433" s="839"/>
      <c r="X433" s="839"/>
      <c r="Y433" s="839"/>
    </row>
    <row r="434" spans="12:25" x14ac:dyDescent="0.2">
      <c r="L434" s="839"/>
      <c r="M434" s="839"/>
      <c r="N434" s="839"/>
      <c r="O434" s="839"/>
      <c r="P434" s="839"/>
      <c r="Q434" s="839"/>
      <c r="R434" s="839"/>
      <c r="S434" s="839"/>
      <c r="T434" s="839"/>
      <c r="U434" s="839"/>
      <c r="V434" s="839"/>
      <c r="W434" s="839"/>
      <c r="X434" s="839"/>
      <c r="Y434" s="839"/>
    </row>
    <row r="435" spans="12:25" x14ac:dyDescent="0.2">
      <c r="L435" s="839"/>
      <c r="M435" s="839"/>
      <c r="N435" s="839"/>
      <c r="O435" s="839"/>
      <c r="P435" s="839"/>
      <c r="Q435" s="839"/>
      <c r="R435" s="839"/>
      <c r="S435" s="839"/>
      <c r="T435" s="839"/>
      <c r="U435" s="839"/>
      <c r="V435" s="839"/>
      <c r="W435" s="839"/>
      <c r="X435" s="839"/>
      <c r="Y435" s="839"/>
    </row>
    <row r="436" spans="12:25" x14ac:dyDescent="0.2">
      <c r="L436" s="839"/>
      <c r="M436" s="839"/>
      <c r="N436" s="839"/>
      <c r="O436" s="839"/>
      <c r="P436" s="839"/>
      <c r="Q436" s="839"/>
      <c r="R436" s="839"/>
      <c r="S436" s="839"/>
      <c r="T436" s="839"/>
      <c r="U436" s="839"/>
      <c r="V436" s="839"/>
      <c r="W436" s="839"/>
      <c r="X436" s="839"/>
      <c r="Y436" s="839"/>
    </row>
    <row r="437" spans="12:25" x14ac:dyDescent="0.2">
      <c r="L437" s="839"/>
      <c r="M437" s="839"/>
      <c r="N437" s="839"/>
      <c r="O437" s="839"/>
      <c r="P437" s="839"/>
      <c r="Q437" s="839"/>
      <c r="R437" s="839"/>
      <c r="S437" s="839"/>
      <c r="T437" s="839"/>
      <c r="U437" s="839"/>
      <c r="V437" s="839"/>
      <c r="W437" s="839"/>
      <c r="X437" s="839"/>
      <c r="Y437" s="839"/>
    </row>
    <row r="438" spans="12:25" x14ac:dyDescent="0.2">
      <c r="L438" s="839"/>
      <c r="M438" s="839"/>
      <c r="N438" s="839"/>
      <c r="O438" s="839"/>
      <c r="P438" s="839"/>
      <c r="Q438" s="839"/>
      <c r="R438" s="839"/>
      <c r="S438" s="839"/>
      <c r="T438" s="839"/>
      <c r="U438" s="839"/>
      <c r="V438" s="839"/>
      <c r="W438" s="839"/>
      <c r="X438" s="839"/>
      <c r="Y438" s="839"/>
    </row>
    <row r="439" spans="12:25" x14ac:dyDescent="0.2">
      <c r="L439" s="839"/>
      <c r="M439" s="839"/>
      <c r="N439" s="839"/>
      <c r="O439" s="839"/>
      <c r="P439" s="839"/>
      <c r="Q439" s="839"/>
      <c r="R439" s="839"/>
      <c r="S439" s="839"/>
      <c r="T439" s="839"/>
      <c r="U439" s="839"/>
      <c r="V439" s="839"/>
      <c r="W439" s="839"/>
      <c r="X439" s="839"/>
      <c r="Y439" s="839"/>
    </row>
    <row r="440" spans="12:25" x14ac:dyDescent="0.2">
      <c r="L440" s="839"/>
      <c r="M440" s="839"/>
      <c r="N440" s="839"/>
      <c r="O440" s="839"/>
      <c r="P440" s="839"/>
      <c r="Q440" s="839"/>
      <c r="R440" s="839"/>
      <c r="S440" s="839"/>
      <c r="T440" s="839"/>
      <c r="U440" s="839"/>
      <c r="V440" s="839"/>
      <c r="W440" s="839"/>
      <c r="X440" s="839"/>
      <c r="Y440" s="839"/>
    </row>
    <row r="441" spans="12:25" x14ac:dyDescent="0.2">
      <c r="L441" s="839"/>
      <c r="M441" s="839"/>
      <c r="N441" s="839"/>
      <c r="O441" s="839"/>
      <c r="P441" s="839"/>
      <c r="Q441" s="839"/>
      <c r="R441" s="839"/>
      <c r="S441" s="839"/>
      <c r="T441" s="839"/>
      <c r="U441" s="839"/>
      <c r="V441" s="839"/>
      <c r="W441" s="839"/>
      <c r="X441" s="839"/>
      <c r="Y441" s="839"/>
    </row>
    <row r="442" spans="12:25" x14ac:dyDescent="0.2">
      <c r="L442" s="839"/>
      <c r="M442" s="839"/>
      <c r="N442" s="839"/>
      <c r="O442" s="839"/>
      <c r="P442" s="839"/>
      <c r="Q442" s="839"/>
      <c r="R442" s="839"/>
      <c r="S442" s="839"/>
      <c r="T442" s="839"/>
      <c r="U442" s="839"/>
      <c r="V442" s="839"/>
      <c r="W442" s="839"/>
      <c r="X442" s="839"/>
      <c r="Y442" s="839"/>
    </row>
    <row r="443" spans="12:25" x14ac:dyDescent="0.2">
      <c r="L443" s="839"/>
      <c r="M443" s="839"/>
      <c r="N443" s="839"/>
      <c r="O443" s="839"/>
      <c r="P443" s="839"/>
      <c r="Q443" s="839"/>
      <c r="R443" s="839"/>
      <c r="S443" s="839"/>
      <c r="T443" s="839"/>
      <c r="U443" s="839"/>
      <c r="V443" s="839"/>
      <c r="W443" s="839"/>
      <c r="X443" s="839"/>
      <c r="Y443" s="839"/>
    </row>
    <row r="444" spans="12:25" x14ac:dyDescent="0.2">
      <c r="L444" s="839"/>
      <c r="M444" s="839"/>
      <c r="N444" s="839"/>
      <c r="O444" s="839"/>
      <c r="P444" s="839"/>
      <c r="Q444" s="839"/>
      <c r="R444" s="839"/>
      <c r="S444" s="839"/>
      <c r="T444" s="839"/>
      <c r="U444" s="839"/>
      <c r="V444" s="839"/>
      <c r="W444" s="839"/>
      <c r="X444" s="839"/>
      <c r="Y444" s="839"/>
    </row>
    <row r="445" spans="12:25" x14ac:dyDescent="0.2">
      <c r="L445" s="839"/>
      <c r="M445" s="839"/>
      <c r="N445" s="839"/>
      <c r="O445" s="839"/>
      <c r="P445" s="839"/>
      <c r="Q445" s="839"/>
      <c r="R445" s="839"/>
      <c r="S445" s="839"/>
      <c r="T445" s="839"/>
      <c r="U445" s="839"/>
      <c r="V445" s="839"/>
      <c r="W445" s="839"/>
      <c r="X445" s="839"/>
      <c r="Y445" s="839"/>
    </row>
    <row r="446" spans="12:25" x14ac:dyDescent="0.2">
      <c r="L446" s="839"/>
      <c r="M446" s="839"/>
      <c r="N446" s="839"/>
      <c r="O446" s="839"/>
      <c r="P446" s="839"/>
      <c r="Q446" s="839"/>
      <c r="R446" s="839"/>
      <c r="S446" s="839"/>
      <c r="T446" s="839"/>
      <c r="U446" s="839"/>
      <c r="V446" s="839"/>
      <c r="W446" s="839"/>
      <c r="X446" s="839"/>
      <c r="Y446" s="839"/>
    </row>
    <row r="447" spans="12:25" x14ac:dyDescent="0.2">
      <c r="L447" s="839"/>
      <c r="M447" s="839"/>
      <c r="N447" s="839"/>
      <c r="O447" s="839"/>
      <c r="P447" s="839"/>
      <c r="Q447" s="839"/>
      <c r="R447" s="839"/>
      <c r="S447" s="839"/>
      <c r="T447" s="839"/>
      <c r="U447" s="839"/>
      <c r="V447" s="839"/>
      <c r="W447" s="839"/>
      <c r="X447" s="839"/>
      <c r="Y447" s="839"/>
    </row>
    <row r="448" spans="12:25" x14ac:dyDescent="0.2">
      <c r="L448" s="839"/>
      <c r="M448" s="839"/>
      <c r="N448" s="839"/>
      <c r="O448" s="839"/>
      <c r="P448" s="839"/>
      <c r="Q448" s="839"/>
      <c r="R448" s="839"/>
      <c r="S448" s="839"/>
      <c r="T448" s="839"/>
      <c r="U448" s="839"/>
      <c r="V448" s="839"/>
      <c r="W448" s="839"/>
      <c r="X448" s="839"/>
      <c r="Y448" s="839"/>
    </row>
    <row r="449" spans="12:25" x14ac:dyDescent="0.2">
      <c r="L449" s="839"/>
      <c r="M449" s="839"/>
      <c r="N449" s="839"/>
      <c r="O449" s="839"/>
      <c r="P449" s="839"/>
      <c r="Q449" s="839"/>
      <c r="R449" s="839"/>
      <c r="S449" s="839"/>
      <c r="T449" s="839"/>
      <c r="U449" s="839"/>
      <c r="V449" s="839"/>
      <c r="W449" s="839"/>
      <c r="X449" s="839"/>
      <c r="Y449" s="839"/>
    </row>
    <row r="450" spans="12:25" x14ac:dyDescent="0.2">
      <c r="L450" s="839"/>
      <c r="M450" s="839"/>
      <c r="N450" s="839"/>
      <c r="O450" s="839"/>
      <c r="P450" s="839"/>
      <c r="Q450" s="839"/>
      <c r="R450" s="839"/>
      <c r="S450" s="839"/>
      <c r="T450" s="839"/>
      <c r="U450" s="839"/>
      <c r="V450" s="839"/>
      <c r="W450" s="839"/>
      <c r="X450" s="839"/>
      <c r="Y450" s="839"/>
    </row>
    <row r="451" spans="12:25" x14ac:dyDescent="0.2">
      <c r="Y451" s="839"/>
    </row>
    <row r="452" spans="12:25" x14ac:dyDescent="0.2">
      <c r="Y452" s="839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8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366" t="s">
        <v>21</v>
      </c>
      <c r="B1" t="s">
        <v>23</v>
      </c>
      <c r="C1" t="s">
        <v>24</v>
      </c>
    </row>
    <row r="2" spans="1:4" x14ac:dyDescent="0.2">
      <c r="A2" s="21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361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pageSetup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366" t="s">
        <v>21</v>
      </c>
      <c r="B1" s="21" t="s">
        <v>21</v>
      </c>
      <c r="C1" s="21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126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126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126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127">
        <f t="shared" si="0"/>
        <v>4.99</v>
      </c>
    </row>
    <row r="6" spans="1:20" x14ac:dyDescent="0.2">
      <c r="A6" s="361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127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127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127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127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127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127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127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127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127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127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127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127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127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127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127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127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127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127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127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127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127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127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127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127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127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127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127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127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127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127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127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127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127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127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127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127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127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127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127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127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127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127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127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127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1"/>
  <sheetViews>
    <sheetView zoomScaleNormal="100" workbookViewId="0"/>
  </sheetViews>
  <sheetFormatPr defaultColWidth="10.7109375" defaultRowHeight="12.6" customHeight="1" x14ac:dyDescent="0.2"/>
  <cols>
    <col min="1" max="1" width="2.7109375" style="472" customWidth="1"/>
    <col min="2" max="2" width="2.5703125" style="471" customWidth="1"/>
    <col min="3" max="3" width="14" style="472" customWidth="1"/>
    <col min="4" max="5" width="11.28515625" style="472" customWidth="1"/>
    <col min="6" max="6" width="10.7109375" style="472" customWidth="1"/>
    <col min="7" max="10" width="11.28515625" style="472" customWidth="1"/>
    <col min="11" max="11" width="10.7109375" style="472" customWidth="1"/>
    <col min="12" max="12" width="10.7109375" style="473" customWidth="1"/>
    <col min="13" max="16384" width="10.7109375" style="472"/>
  </cols>
  <sheetData>
    <row r="1" spans="1:12" ht="12.6" customHeight="1" x14ac:dyDescent="0.2">
      <c r="A1" s="470"/>
    </row>
    <row r="2" spans="1:12" ht="12.6" customHeight="1" x14ac:dyDescent="0.2">
      <c r="B2" s="474"/>
      <c r="C2" s="475" t="s">
        <v>473</v>
      </c>
      <c r="D2" s="476">
        <f ca="1">TODAY()</f>
        <v>42748</v>
      </c>
      <c r="E2" s="475" t="s">
        <v>474</v>
      </c>
      <c r="F2" s="996" t="str">
        <f>__2_AchterNaam&amp;", "&amp;__3_VoorNaam</f>
        <v xml:space="preserve">, </v>
      </c>
      <c r="G2" s="996"/>
      <c r="H2" s="477" t="s">
        <v>286</v>
      </c>
      <c r="I2" s="472" t="str">
        <f>_Pat_Gewicht/10&amp;" kg"</f>
        <v>0 kg</v>
      </c>
      <c r="J2" s="468"/>
      <c r="L2" s="478"/>
    </row>
    <row r="3" spans="1:12" ht="12.6" customHeight="1" x14ac:dyDescent="0.2">
      <c r="B3" s="474"/>
      <c r="C3" s="475" t="s">
        <v>214</v>
      </c>
      <c r="D3" s="479">
        <f ca="1">Var_AfspraakDatum-_Pat_OpnDatum+1</f>
        <v>41287</v>
      </c>
      <c r="E3" s="475" t="s">
        <v>472</v>
      </c>
      <c r="F3" s="480">
        <f>__4_GebDatum</f>
        <v>1462</v>
      </c>
      <c r="G3" s="468"/>
      <c r="H3" s="477" t="s">
        <v>136</v>
      </c>
      <c r="I3" s="472" t="str">
        <f>_Pat_Lengte&amp;" cm"</f>
        <v>0 cm</v>
      </c>
      <c r="J3" s="468"/>
      <c r="L3" s="478"/>
    </row>
    <row r="4" spans="1:12" ht="12" customHeight="1" x14ac:dyDescent="0.2">
      <c r="B4" s="474"/>
      <c r="C4" s="475" t="s">
        <v>535</v>
      </c>
      <c r="D4" s="479">
        <f>__1_Bed</f>
        <v>0</v>
      </c>
      <c r="F4" s="468"/>
      <c r="H4" s="477" t="s">
        <v>137</v>
      </c>
      <c r="I4" s="472" t="str">
        <f>ROUND(POWER(_Pat_Gewicht/10,0.425)*POWER(((_Pat_Lengte/100)*100),0.725)*0.007184,2)&amp;" m2"</f>
        <v>0 m2</v>
      </c>
    </row>
    <row r="5" spans="1:12" ht="14.1" customHeight="1" x14ac:dyDescent="0.2">
      <c r="A5" s="481"/>
      <c r="B5" s="482" t="str">
        <f>PedGuiEntTPN!D11</f>
        <v>Voeding</v>
      </c>
      <c r="C5" s="481"/>
      <c r="D5" s="481"/>
      <c r="E5" s="481"/>
      <c r="F5" s="481"/>
      <c r="G5" s="481"/>
      <c r="H5" s="481"/>
      <c r="I5" s="481"/>
      <c r="J5" s="481"/>
      <c r="K5" s="471"/>
    </row>
    <row r="6" spans="1:12" ht="14.1" customHeight="1" x14ac:dyDescent="0.2">
      <c r="A6" s="470"/>
      <c r="B6" s="474"/>
      <c r="C6" s="477" t="s">
        <v>252</v>
      </c>
      <c r="F6" s="477"/>
      <c r="G6" s="472" t="str">
        <f>INDEX(tblSonde,PedBerEnt!O2,1)</f>
        <v>Enteraal voeding</v>
      </c>
      <c r="K6" s="471"/>
    </row>
    <row r="7" spans="1:12" ht="14.1" customHeight="1" x14ac:dyDescent="0.2">
      <c r="C7" s="472">
        <f>IF(G7&lt;&gt;"",INDEX(tblVoedingPO,_Ped_Ent_Keuze_1,1),)</f>
        <v>0</v>
      </c>
      <c r="F7" s="472" t="str">
        <f>PedGuiEntTPN!H12</f>
        <v/>
      </c>
      <c r="G7" s="472" t="str">
        <f>PedGuiEntTPN!D12&amp;" "&amp;PedGuiEntTPN!E12</f>
        <v xml:space="preserve"> </v>
      </c>
      <c r="K7" s="471"/>
      <c r="L7" s="478"/>
    </row>
    <row r="8" spans="1:12" ht="12.6" customHeight="1" x14ac:dyDescent="0.2">
      <c r="B8" s="474"/>
      <c r="C8" s="477"/>
      <c r="D8" s="483" t="str">
        <f>IF(_Ped_Ent_Keuze_2&gt;1,"met "&amp;PedGuiEntTPN!D14&amp;" "&amp;PedGuiEntTPN!E14&amp;" "&amp;INDEX(tblPO_poederlijst,_Ped_Ent_Keuze_2,1),"")</f>
        <v/>
      </c>
      <c r="H8" s="472" t="e">
        <f>PedGuiEntTPN!#REF!</f>
        <v>#REF!</v>
      </c>
      <c r="K8" s="471"/>
      <c r="L8" s="478"/>
    </row>
    <row r="9" spans="1:12" ht="12.6" customHeight="1" x14ac:dyDescent="0.2">
      <c r="B9" s="474"/>
      <c r="C9" s="477"/>
      <c r="D9" s="483" t="str">
        <f>IF(_Ped_Ent_Keuze_3&gt;1,"met "&amp;PedGuiEntTPN!D15&amp;" "&amp;PedGuiEntTPN!E15&amp;" "&amp;INDEX(tblPO_poederlijst,_Ped_Ent_Keuze_3,1),"")</f>
        <v/>
      </c>
      <c r="H9" s="472" t="e">
        <f>PedGuiEntTPN!#REF!</f>
        <v>#REF!</v>
      </c>
      <c r="K9" s="471"/>
      <c r="L9" s="478"/>
    </row>
    <row r="10" spans="1:12" ht="12.6" customHeight="1" x14ac:dyDescent="0.2">
      <c r="B10" s="474"/>
      <c r="C10" s="477"/>
      <c r="D10" s="483" t="str">
        <f>IF(_Ped_Ent_Keuze_4&gt;1,"met "&amp;PedGuiEntTPN!D16&amp;" "&amp;PedGuiEntTPN!E16&amp;" "&amp;INDEX(tblPO_poederlijst,_Ped_Ent_Keuze_4,1),"")</f>
        <v/>
      </c>
      <c r="H10" s="472" t="e">
        <f>PedGuiEntTPN!#REF!</f>
        <v>#REF!</v>
      </c>
      <c r="K10" s="484"/>
      <c r="L10" s="478"/>
    </row>
    <row r="11" spans="1:12" ht="12.6" customHeight="1" x14ac:dyDescent="0.2">
      <c r="K11" s="484"/>
      <c r="L11" s="478"/>
    </row>
    <row r="12" spans="1:12" ht="12.6" customHeight="1" x14ac:dyDescent="0.2">
      <c r="A12" s="481"/>
      <c r="B12" s="485"/>
      <c r="C12" s="486" t="s">
        <v>304</v>
      </c>
      <c r="D12" s="997" t="str">
        <f>GlobBerOpm!B6</f>
        <v>Opmerking bij enterale voeding</v>
      </c>
      <c r="E12" s="998"/>
      <c r="F12" s="998"/>
      <c r="G12" s="998"/>
      <c r="H12" s="998"/>
      <c r="I12" s="998"/>
      <c r="J12" s="998"/>
      <c r="K12" s="484"/>
      <c r="L12" s="478"/>
    </row>
    <row r="13" spans="1:12" ht="12.6" customHeight="1" x14ac:dyDescent="0.2">
      <c r="L13" s="478"/>
    </row>
    <row r="14" spans="1:12" ht="12.6" customHeight="1" x14ac:dyDescent="0.2">
      <c r="A14" s="481"/>
      <c r="B14" s="482" t="s">
        <v>122</v>
      </c>
      <c r="C14" s="481"/>
      <c r="D14" s="481"/>
      <c r="E14" s="481"/>
      <c r="F14" s="481"/>
      <c r="G14" s="481"/>
      <c r="H14" s="481"/>
      <c r="I14" s="481"/>
      <c r="J14" s="481"/>
      <c r="L14" s="478"/>
    </row>
    <row r="15" spans="1:12" ht="12.6" customHeight="1" x14ac:dyDescent="0.2">
      <c r="B15" s="477"/>
      <c r="C15" s="477" t="s">
        <v>390</v>
      </c>
      <c r="D15" s="1005" t="str">
        <f>TRIM(PedBerLab!B4&amp;" "&amp;PedBerLab!B5&amp;" "&amp;PedBerLab!B6&amp;" "&amp;PedBerLab!B7&amp;" "&amp;PedBerLab!B8&amp;" "&amp;PedBerLab!B9&amp;" "&amp;PedBerLab!B10&amp;" "&amp;PedBerLab!B11&amp;" "&amp;PedBerLab!B12&amp;" "&amp;PedBerLab!B13&amp;" "&amp;PedBerLab!B14&amp;" "&amp;PedBerLab!B15&amp;" "&amp;PedBerLab!B16&amp;" "&amp;PedBerLab!B17&amp;" "&amp;PedBerLab!B18&amp;" "&amp;PedBerLab!B19&amp;" "&amp;PedBerLab!B20&amp;" "&amp;PedBerLab!B21&amp;" "&amp;PedBerLab!B22&amp;" "&amp;PedBerLab!B23&amp;" "&amp;PedBerLab!B24&amp;" "&amp;PedBerLab!B25&amp;" "&amp;PedBerLab!B26&amp;" "&amp;PedBerLab!B27&amp;" "&amp;PedBerLab!B28&amp;" "&amp;PedBerLab!B29&amp;" "&amp;PedBerLab!B30&amp;" "&amp;PedBerLab!B31&amp;" "&amp;PedBerLab!B32&amp;" "&amp;PedBerLab!B33&amp;" "&amp;PedBerLab!B34&amp;" "&amp;PedBerLab!B35)</f>
        <v/>
      </c>
      <c r="E15" s="1006"/>
      <c r="F15" s="1006"/>
      <c r="G15" s="1006"/>
      <c r="H15" s="1006"/>
      <c r="I15" s="1006"/>
      <c r="J15" s="1006"/>
      <c r="L15" s="478"/>
    </row>
    <row r="16" spans="1:12" ht="12.6" customHeight="1" x14ac:dyDescent="0.2">
      <c r="B16" s="477"/>
      <c r="C16" s="477" t="s">
        <v>463</v>
      </c>
      <c r="D16" s="1003" t="str">
        <f>TRIM(PedBerLab!D4&amp;" "&amp;PedBerLab!D5&amp;" "&amp;PedBerLab!D6&amp;" "&amp;PedBerLab!D7&amp;" "&amp;PedBerLab!D8&amp;" "&amp;PedBerLab!D9&amp;" "&amp;PedBerLab!D10&amp;" "&amp;PedBerLab!D11&amp;" "&amp;PedBerLab!D12&amp;" "&amp;PedBerLab!D13&amp;" "&amp;PedBerLab!D14&amp;" "&amp;PedBerLab!D15&amp;" "&amp;PedBerLab!D16&amp;" "&amp;PedBerLab!D17&amp;" "&amp;PedBerLab!D18&amp;" "&amp;PedBerLab!D19&amp;" "&amp;PedBerLab!D20&amp;" "&amp;PedBerLab!D21&amp;" "&amp;PedBerLab!D22&amp;" "&amp;PedBerLab!D23&amp;" "&amp;PedBerLab!D24&amp;" "&amp;PedBerLab!D25&amp;" "&amp;PedBerLab!D26&amp;" "&amp;PedBerLab!D27&amp;" "&amp;PedBerLab!D28&amp;" "&amp;PedBerLab!D29&amp;" "&amp;PedBerLab!D30&amp;" "&amp;PedBerLab!D31&amp;" "&amp;PedBerLab!D32&amp;" "&amp;PedBerLab!D33&amp;" "&amp;PedBerLab!D34)</f>
        <v/>
      </c>
      <c r="E16" s="1004"/>
      <c r="F16" s="1004"/>
      <c r="G16" s="1004"/>
      <c r="H16" s="1004"/>
      <c r="I16" s="1004"/>
      <c r="J16" s="1004"/>
      <c r="L16" s="478"/>
    </row>
    <row r="17" spans="1:12" ht="12.6" customHeight="1" x14ac:dyDescent="0.2">
      <c r="B17" s="477"/>
      <c r="C17" s="477" t="s">
        <v>464</v>
      </c>
      <c r="D17" s="1003" t="str">
        <f>TRIM(PedBerLab!F4&amp;" "&amp;PedBerLab!F5&amp;" "&amp;PedBerLab!F6&amp;" "&amp;PedBerLab!F7&amp;" "&amp;PedBerLab!F8&amp;" "&amp;PedBerLab!F9&amp;" "&amp;PedBerLab!F10&amp;" "&amp;PedBerLab!F11&amp;" "&amp;PedBerLab!F12&amp;" "&amp;PedBerLab!F13&amp;" "&amp;PedBerLab!F14&amp;" "&amp;PedBerLab!F15&amp;" "&amp;PedBerLab!F16&amp;" "&amp;PedBerLab!F17&amp;" "&amp;PedBerLab!F18&amp;" "&amp;PedBerLab!F19&amp;" "&amp;PedBerLab!F20&amp;" "&amp;PedBerLab!F21&amp;" "&amp;PedBerLab!F22&amp;" "&amp;PedBerLab!F23&amp;" "&amp;PedBerLab!F24&amp;" "&amp;PedBerLab!F25&amp;" "&amp;PedBerLab!F26&amp;" "&amp;PedBerLab!F27&amp;" "&amp;PedBerLab!F28&amp;" "&amp;PedBerLab!F29&amp;" "&amp;PedBerLab!F30&amp;" "&amp;PedBerLab!F31&amp;" "&amp;PedBerLab!F32&amp;" "&amp;PedBerLab!F33&amp;" "&amp;PedBerLab!F34)</f>
        <v/>
      </c>
      <c r="E17" s="1007"/>
      <c r="F17" s="1007"/>
      <c r="G17" s="1007"/>
      <c r="H17" s="1007"/>
      <c r="I17" s="1007"/>
      <c r="J17" s="1007"/>
      <c r="L17" s="478"/>
    </row>
    <row r="18" spans="1:12" ht="12.6" customHeight="1" x14ac:dyDescent="0.2">
      <c r="B18" s="477"/>
      <c r="C18" s="477" t="s">
        <v>154</v>
      </c>
      <c r="D18" s="1003" t="str">
        <f>TRIM(PedBerLab!H4&amp;" "&amp;PedBerLab!H5&amp;" "&amp;PedBerLab!H6&amp;" "&amp;PedBerLab!H7&amp;" "&amp;PedBerLab!H8&amp;" "&amp;PedBerLab!H9&amp;" "&amp;PedBerLab!H10&amp;" "&amp;PedBerLab!H11&amp;" "&amp;PedBerLab!H12&amp;" "&amp;PedBerLab!H13&amp;" "&amp;PedBerLab!H14&amp;" "&amp;PedBerLab!H15&amp;" "&amp;PedBerLab!H16&amp;" "&amp;PedBerLab!H17&amp;" "&amp;PedBerLab!H18&amp;" "&amp;PedBerLab!H19&amp;" "&amp;PedBerLab!H20&amp;" "&amp;PedBerLab!H21&amp;" "&amp;PedBerLab!H22&amp;" "&amp;PedBerLab!H23&amp;" "&amp;PedBerLab!H24&amp;" "&amp;PedBerLab!H25&amp;" "&amp;PedBerLab!H26&amp;" "&amp;PedBerLab!H27&amp;" "&amp;PedBerLab!H28&amp;" "&amp;PedBerLab!H29&amp;" "&amp;PedBerLab!H30&amp;" "&amp;PedBerLab!H31&amp;" "&amp;PedBerLab!H32&amp;" "&amp;PedBerLab!H33&amp;" "&amp;PedBerLab!H34)</f>
        <v/>
      </c>
      <c r="E18" s="1007"/>
      <c r="F18" s="1007"/>
      <c r="G18" s="1007"/>
      <c r="H18" s="1007"/>
      <c r="I18" s="1007"/>
      <c r="J18" s="1007"/>
      <c r="L18" s="478"/>
    </row>
    <row r="19" spans="1:12" ht="12.6" customHeight="1" x14ac:dyDescent="0.2">
      <c r="B19" s="477"/>
      <c r="C19" s="487" t="s">
        <v>18</v>
      </c>
      <c r="D19" s="1003" t="str">
        <f>TRIM(PedBerLab!K4&amp;" "&amp;PedBerLab!K5&amp;" "&amp;PedBerLab!K6&amp;" "&amp;PedBerLab!K7&amp;" "&amp;PedBerLab!K8&amp;" "&amp;PedBerLab!K9&amp;" "&amp;PedBerLab!K10&amp;" "&amp;PedBerLab!K11&amp;" "&amp;PedBerLab!K12&amp;" "&amp;PedBerLab!K13&amp;" "&amp;PedBerLab!K14&amp;" "&amp;PedBerLab!K15&amp;" "&amp;PedBerLab!K16&amp;" "&amp;PedBerLab!K17&amp;" "&amp;PedBerLab!K18&amp;" "&amp;PedBerLab!K19&amp;" "&amp;PedBerLab!K20&amp;" "&amp;PedBerLab!K21&amp;" "&amp;PedBerLab!K22&amp;" "&amp;PedBerLab!K23&amp;" "&amp;PedBerLab!K24&amp;" "&amp;PedBerLab!K25&amp;" "&amp;PedBerLab!K26&amp;" "&amp;PedBerLab!K27&amp;" "&amp;PedBerLab!K28&amp;" "&amp;PedBerLab!K29&amp;" "&amp;PedBerLab!K30&amp;" "&amp;PedBerLab!K31&amp;" "&amp;PedBerLab!K32&amp;" "&amp;PedBerLab!K33&amp;" "&amp;PedBerLab!K34)</f>
        <v/>
      </c>
      <c r="E19" s="1008"/>
      <c r="F19" s="1008"/>
      <c r="G19" s="1008"/>
      <c r="H19" s="1008"/>
      <c r="I19" s="1008"/>
      <c r="J19" s="1008"/>
      <c r="L19" s="478"/>
    </row>
    <row r="20" spans="1:12" ht="12.6" customHeight="1" x14ac:dyDescent="0.2">
      <c r="B20" s="477"/>
      <c r="C20" s="487" t="s">
        <v>304</v>
      </c>
      <c r="D20" s="999">
        <f>GlobBerOpm!B5</f>
        <v>0</v>
      </c>
      <c r="E20" s="1000"/>
      <c r="F20" s="1000"/>
      <c r="G20" s="1000"/>
      <c r="H20" s="1000"/>
      <c r="I20" s="1000"/>
      <c r="J20" s="1000"/>
      <c r="L20" s="478"/>
    </row>
    <row r="21" spans="1:12" ht="12.6" customHeight="1" x14ac:dyDescent="0.2">
      <c r="A21" s="481"/>
      <c r="B21" s="486"/>
      <c r="C21" s="488"/>
      <c r="D21" s="1001"/>
      <c r="E21" s="1001"/>
      <c r="F21" s="1001"/>
      <c r="G21" s="1001"/>
      <c r="H21" s="1001"/>
      <c r="I21" s="1001"/>
      <c r="J21" s="1001"/>
      <c r="L21" s="478"/>
    </row>
    <row r="22" spans="1:12" ht="12.6" customHeight="1" x14ac:dyDescent="0.2">
      <c r="L22" s="478"/>
    </row>
    <row r="23" spans="1:12" ht="12.6" customHeight="1" x14ac:dyDescent="0.2">
      <c r="A23" s="481"/>
      <c r="B23" s="482" t="s">
        <v>71</v>
      </c>
      <c r="C23" s="489"/>
      <c r="D23" s="481"/>
      <c r="E23" s="481"/>
      <c r="F23" s="481"/>
      <c r="G23" s="481"/>
      <c r="H23" s="481"/>
      <c r="I23" s="481"/>
      <c r="J23" s="481"/>
      <c r="L23" s="478"/>
    </row>
    <row r="24" spans="1:12" ht="12.6" customHeight="1" x14ac:dyDescent="0.2">
      <c r="B24" s="471" t="s">
        <v>298</v>
      </c>
      <c r="C24" s="490" t="s">
        <v>765</v>
      </c>
      <c r="D24" s="490" t="str">
        <f>IFERROR(LEFT(Var_Ped_AfsprControles,LEN(Var_Ped_AfsprControles)-3),"")</f>
        <v/>
      </c>
      <c r="L24" s="478"/>
    </row>
    <row r="25" spans="1:12" ht="12.6" customHeight="1" x14ac:dyDescent="0.2">
      <c r="B25" s="471" t="s">
        <v>299</v>
      </c>
      <c r="C25" s="490" t="s">
        <v>771</v>
      </c>
      <c r="D25" s="490" t="str">
        <f>IFERROR(LEFT(Var_Ped_AfsprOnderzoeken,LEN(Var_Ped_AfsprOnderzoeken)-3),"")</f>
        <v/>
      </c>
      <c r="L25" s="478"/>
    </row>
    <row r="26" spans="1:12" ht="12.6" customHeight="1" x14ac:dyDescent="0.2">
      <c r="B26" s="471" t="s">
        <v>300</v>
      </c>
      <c r="C26" s="490" t="s">
        <v>1009</v>
      </c>
      <c r="D26" s="490" t="str">
        <f>IFERROR(LEFT(Var_Ped_AfsprInstellingen,LEN(Var_Ped_AfsprInstellingen)-3),"")</f>
        <v/>
      </c>
      <c r="L26" s="478"/>
    </row>
    <row r="27" spans="1:12" ht="12.6" customHeight="1" x14ac:dyDescent="0.2">
      <c r="B27" s="471" t="s">
        <v>301</v>
      </c>
      <c r="C27" s="490" t="s">
        <v>749</v>
      </c>
      <c r="D27" s="490" t="str">
        <f>IFERROR(LEFT(Var_Ped_AfsprOverig,LEN(Var_Ped_AfsprOverig)-3),"")</f>
        <v/>
      </c>
      <c r="L27" s="478"/>
    </row>
    <row r="28" spans="1:12" ht="12.6" customHeight="1" x14ac:dyDescent="0.2">
      <c r="C28" s="491"/>
      <c r="D28" s="492"/>
      <c r="E28" s="492"/>
      <c r="F28" s="492"/>
      <c r="G28" s="492"/>
      <c r="H28" s="492"/>
      <c r="I28" s="492"/>
      <c r="J28" s="492"/>
      <c r="L28" s="478"/>
    </row>
    <row r="29" spans="1:12" ht="12.6" customHeight="1" x14ac:dyDescent="0.2">
      <c r="C29" s="493"/>
      <c r="D29" s="492"/>
      <c r="E29" s="492"/>
      <c r="F29" s="492"/>
      <c r="G29" s="492"/>
      <c r="H29" s="492"/>
      <c r="I29" s="492"/>
      <c r="J29" s="492"/>
      <c r="L29" s="478"/>
    </row>
    <row r="30" spans="1:12" ht="12.6" customHeight="1" x14ac:dyDescent="0.2">
      <c r="C30" s="491"/>
      <c r="D30" s="492"/>
      <c r="E30" s="492"/>
      <c r="F30" s="492"/>
      <c r="G30" s="492"/>
      <c r="H30" s="492"/>
      <c r="I30" s="492"/>
      <c r="J30" s="492"/>
      <c r="L30" s="478"/>
    </row>
    <row r="31" spans="1:12" ht="12.6" customHeight="1" x14ac:dyDescent="0.2">
      <c r="C31" s="491"/>
      <c r="D31" s="492"/>
      <c r="E31" s="492"/>
      <c r="F31" s="492"/>
      <c r="G31" s="492"/>
      <c r="H31" s="492"/>
      <c r="I31" s="492"/>
      <c r="J31" s="492"/>
      <c r="L31" s="478"/>
    </row>
    <row r="32" spans="1:12" ht="12.6" customHeight="1" x14ac:dyDescent="0.2">
      <c r="B32" s="494" t="s">
        <v>82</v>
      </c>
      <c r="C32" s="481"/>
      <c r="D32" s="481"/>
      <c r="F32" s="481" t="s">
        <v>462</v>
      </c>
      <c r="G32" s="481"/>
      <c r="H32" s="481"/>
      <c r="I32" s="481"/>
      <c r="L32" s="478"/>
    </row>
    <row r="33" spans="1:12" ht="12.6" customHeight="1" x14ac:dyDescent="0.2">
      <c r="L33" s="478"/>
    </row>
    <row r="34" spans="1:12" ht="12.6" customHeight="1" x14ac:dyDescent="0.2">
      <c r="B34" s="474"/>
      <c r="C34" s="475" t="s">
        <v>473</v>
      </c>
      <c r="D34" s="476">
        <f ca="1">TODAY()</f>
        <v>42748</v>
      </c>
      <c r="E34" s="475" t="s">
        <v>474</v>
      </c>
      <c r="F34" s="996" t="str">
        <f>__2_AchterNaam&amp;", "&amp;__3_VoorNaam</f>
        <v xml:space="preserve">, </v>
      </c>
      <c r="G34" s="996"/>
      <c r="H34" s="477" t="s">
        <v>286</v>
      </c>
      <c r="I34" s="472" t="str">
        <f>_Pat_Gewicht/10&amp;" kg"</f>
        <v>0 kg</v>
      </c>
      <c r="J34" s="468"/>
      <c r="L34" s="478"/>
    </row>
    <row r="35" spans="1:12" ht="12.6" customHeight="1" x14ac:dyDescent="0.2">
      <c r="B35" s="474"/>
      <c r="C35" s="475" t="s">
        <v>214</v>
      </c>
      <c r="D35" s="479">
        <f ca="1">Var_AfspraakDatum-_Pat_OpnDatum+1</f>
        <v>41287</v>
      </c>
      <c r="E35" s="475" t="s">
        <v>472</v>
      </c>
      <c r="F35" s="480">
        <f>__4_GebDatum</f>
        <v>1462</v>
      </c>
      <c r="G35" s="468"/>
      <c r="H35" s="477" t="s">
        <v>136</v>
      </c>
      <c r="I35" s="472" t="str">
        <f>_Pat_Lengte&amp;" cm"</f>
        <v>0 cm</v>
      </c>
      <c r="J35" s="468"/>
      <c r="L35" s="478"/>
    </row>
    <row r="36" spans="1:12" ht="12.6" customHeight="1" x14ac:dyDescent="0.2">
      <c r="D36" s="468"/>
      <c r="F36" s="468"/>
      <c r="H36" s="477" t="s">
        <v>137</v>
      </c>
      <c r="I36" s="472" t="str">
        <f>ROUND(POWER(_Pat_Gewicht/10,0.425)*POWER(((_Pat_Lengte/100)*100),0.725)*0.007184,2)&amp;" m2"</f>
        <v>0 m2</v>
      </c>
      <c r="L36" s="478"/>
    </row>
    <row r="37" spans="1:12" ht="12.6" customHeight="1" x14ac:dyDescent="0.2">
      <c r="D37" s="468"/>
      <c r="F37" s="468"/>
      <c r="L37" s="478"/>
    </row>
    <row r="38" spans="1:12" ht="12.6" customHeight="1" x14ac:dyDescent="0.2">
      <c r="A38" s="481"/>
      <c r="B38" s="482" t="s">
        <v>25</v>
      </c>
      <c r="C38" s="489"/>
      <c r="D38" s="481"/>
      <c r="E38" s="481"/>
      <c r="F38" s="481"/>
      <c r="G38" s="481"/>
      <c r="H38" s="481"/>
      <c r="I38" s="481"/>
      <c r="J38" s="481"/>
      <c r="L38" s="478"/>
    </row>
    <row r="39" spans="1:12" ht="12.6" customHeight="1" x14ac:dyDescent="0.2">
      <c r="B39" s="471">
        <v>1</v>
      </c>
      <c r="C39" s="472">
        <f>INDEX(tblInfusen,PedBerIVenPM!B2,1)</f>
        <v>0</v>
      </c>
      <c r="L39" s="478" t="str">
        <f t="shared" ref="L39:L44" si="0">IF(C39=0,"D","")</f>
        <v>D</v>
      </c>
    </row>
    <row r="40" spans="1:12" ht="12.6" customHeight="1" x14ac:dyDescent="0.2">
      <c r="B40" s="471">
        <v>2</v>
      </c>
      <c r="C40" s="472">
        <f>INDEX(tblInfusen,PedBerIVenPM!B3,1)</f>
        <v>0</v>
      </c>
      <c r="L40" s="478" t="str">
        <f t="shared" si="0"/>
        <v>D</v>
      </c>
    </row>
    <row r="41" spans="1:12" ht="12.6" customHeight="1" x14ac:dyDescent="0.2">
      <c r="B41" s="471">
        <v>3</v>
      </c>
      <c r="C41" s="472">
        <f>INDEX(tblInfusen,PedBerIVenPM!B4,1)</f>
        <v>0</v>
      </c>
      <c r="L41" s="478" t="str">
        <f t="shared" si="0"/>
        <v>D</v>
      </c>
    </row>
    <row r="42" spans="1:12" ht="12.6" customHeight="1" x14ac:dyDescent="0.2">
      <c r="B42" s="471">
        <v>4</v>
      </c>
      <c r="C42" s="472">
        <f>INDEX(tblInfusen,PedBerIVenPM!B5,1)</f>
        <v>0</v>
      </c>
      <c r="L42" s="478" t="str">
        <f t="shared" si="0"/>
        <v>D</v>
      </c>
    </row>
    <row r="43" spans="1:12" ht="12.6" customHeight="1" x14ac:dyDescent="0.2">
      <c r="B43" s="471">
        <v>5</v>
      </c>
      <c r="C43" s="472">
        <f>INDEX(tblInfusen,PedBerIVenPM!B6,1)</f>
        <v>0</v>
      </c>
      <c r="L43" s="478" t="str">
        <f t="shared" si="0"/>
        <v>D</v>
      </c>
    </row>
    <row r="44" spans="1:12" ht="12.6" customHeight="1" x14ac:dyDescent="0.2">
      <c r="B44" s="471">
        <v>6</v>
      </c>
      <c r="C44" s="472">
        <f>INDEX(tblInfusen,PedBerIVenPM!B7,1)</f>
        <v>0</v>
      </c>
      <c r="L44" s="478" t="str">
        <f t="shared" si="0"/>
        <v>D</v>
      </c>
    </row>
    <row r="45" spans="1:12" ht="12.6" customHeight="1" x14ac:dyDescent="0.2">
      <c r="L45" s="478"/>
    </row>
    <row r="46" spans="1:12" ht="12.6" customHeight="1" x14ac:dyDescent="0.2">
      <c r="A46" s="481"/>
      <c r="B46" s="485"/>
      <c r="C46" s="486" t="s">
        <v>304</v>
      </c>
      <c r="D46" s="997">
        <f>GlobBerOpm!B2</f>
        <v>0</v>
      </c>
      <c r="E46" s="998"/>
      <c r="F46" s="998"/>
      <c r="G46" s="998"/>
      <c r="H46" s="998"/>
      <c r="I46" s="998"/>
      <c r="J46" s="998"/>
      <c r="L46" s="478"/>
    </row>
    <row r="47" spans="1:12" ht="12.6" customHeight="1" x14ac:dyDescent="0.2">
      <c r="L47" s="478"/>
    </row>
    <row r="48" spans="1:12" ht="12.6" customHeight="1" x14ac:dyDescent="0.2">
      <c r="L48" s="478"/>
    </row>
    <row r="49" spans="1:12" ht="12.6" customHeight="1" x14ac:dyDescent="0.2">
      <c r="A49" s="481"/>
      <c r="B49" s="482" t="s">
        <v>305</v>
      </c>
      <c r="C49" s="481"/>
      <c r="D49" s="481"/>
      <c r="E49" s="481"/>
      <c r="F49" s="481"/>
      <c r="G49" s="481"/>
      <c r="H49" s="481"/>
      <c r="I49" s="481"/>
      <c r="J49" s="481"/>
      <c r="L49" s="478"/>
    </row>
    <row r="50" spans="1:12" ht="12.6" customHeight="1" x14ac:dyDescent="0.2">
      <c r="B50" s="474"/>
      <c r="C50" s="477" t="s">
        <v>311</v>
      </c>
      <c r="D50" s="477"/>
      <c r="E50" s="477" t="s">
        <v>92</v>
      </c>
      <c r="F50" s="477"/>
      <c r="G50" s="477" t="s">
        <v>312</v>
      </c>
      <c r="H50" s="477"/>
      <c r="I50" s="477"/>
      <c r="J50" s="477" t="s">
        <v>196</v>
      </c>
      <c r="L50" s="478"/>
    </row>
    <row r="51" spans="1:12" ht="12.6" customHeight="1" x14ac:dyDescent="0.2">
      <c r="B51" s="471">
        <v>1</v>
      </c>
      <c r="C51" s="472">
        <f>PedGuiMedIV!E9</f>
        <v>1</v>
      </c>
      <c r="E51" s="472" t="str">
        <f>IF(C51&lt;&gt;0,PedGuiMedIV!F9&amp;" in "&amp;PedGuiMedIV!G9&amp;IF(AND(PedBerMedIV!D5&lt;&gt;4,PedGuiMedIV!H9&lt;&gt;0)," "&amp;PedGuiMedIV!H9,""),"")</f>
        <v xml:space="preserve"> in </v>
      </c>
      <c r="G51" s="472" t="str">
        <f>IF(C51&lt;&gt;0,PedGuiMedIV!I9&amp;" (="&amp;PedGuiMedIV!J9&amp;" " &amp; PedGuiMedIV!K9 &amp;")","")</f>
        <v xml:space="preserve"> (= )</v>
      </c>
      <c r="J51" s="472" t="str">
        <f>PedGuiMedIV!L9</f>
        <v/>
      </c>
      <c r="L51" s="478" t="str">
        <f t="shared" ref="L51:L65" si="1">IF(C51=0,"D","")</f>
        <v/>
      </c>
    </row>
    <row r="52" spans="1:12" ht="12.6" customHeight="1" x14ac:dyDescent="0.2">
      <c r="B52" s="471">
        <v>2</v>
      </c>
      <c r="C52" s="472">
        <f>PedGuiMedIV!E10</f>
        <v>1</v>
      </c>
      <c r="E52" s="472" t="str">
        <f>IF(C52&lt;&gt;0,PedGuiMedIV!F10&amp;" in "&amp;PedGuiMedIV!G10&amp;IF(AND(PedBerMedIV!D6&lt;&gt;4,PedGuiMedIV!H10&lt;&gt;0)," "&amp;PedGuiMedIV!H10,""),"")</f>
        <v xml:space="preserve"> in </v>
      </c>
      <c r="G52" s="472" t="str">
        <f>IF(C52&lt;&gt;0,PedGuiMedIV!I10&amp;" (="&amp;PedGuiMedIV!J10&amp;" " &amp; PedGuiMedIV!K10 &amp;")","")</f>
        <v xml:space="preserve"> (= )</v>
      </c>
      <c r="J52" s="472" t="str">
        <f>PedGuiMedIV!L10</f>
        <v/>
      </c>
      <c r="L52" s="478" t="str">
        <f t="shared" si="1"/>
        <v/>
      </c>
    </row>
    <row r="53" spans="1:12" ht="12.6" customHeight="1" x14ac:dyDescent="0.2">
      <c r="B53" s="471">
        <v>3</v>
      </c>
      <c r="C53" s="472">
        <f>PedGuiMedIV!E11</f>
        <v>1</v>
      </c>
      <c r="E53" s="472" t="str">
        <f>IF(C53&lt;&gt;0,PedGuiMedIV!F11&amp;" in "&amp;PedGuiMedIV!G11&amp;IF(AND(PedBerMedIV!D7&lt;&gt;4,PedGuiMedIV!H11&lt;&gt;0)," "&amp;PedGuiMedIV!H11,""),"")</f>
        <v xml:space="preserve"> in </v>
      </c>
      <c r="G53" s="472" t="str">
        <f>IF(C53&lt;&gt;0,PedGuiMedIV!I11&amp;" (="&amp;PedGuiMedIV!J11&amp;" " &amp; PedGuiMedIV!K11 &amp;")","")</f>
        <v xml:space="preserve"> (= )</v>
      </c>
      <c r="J53" s="472" t="str">
        <f>PedGuiMedIV!L11</f>
        <v/>
      </c>
      <c r="L53" s="478" t="str">
        <f t="shared" si="1"/>
        <v/>
      </c>
    </row>
    <row r="54" spans="1:12" ht="12.6" customHeight="1" x14ac:dyDescent="0.2">
      <c r="B54" s="471">
        <v>4</v>
      </c>
      <c r="C54" s="472">
        <f>PedGuiMedIV!E12</f>
        <v>1</v>
      </c>
      <c r="E54" s="472" t="str">
        <f>IF(C54&lt;&gt;0,PedGuiMedIV!F12&amp;" in "&amp;PedGuiMedIV!G12&amp;IF(AND(PedBerMedIV!D8&lt;&gt;4,PedGuiMedIV!H12&lt;&gt;0)," "&amp;PedGuiMedIV!H12,""),"")</f>
        <v xml:space="preserve"> in </v>
      </c>
      <c r="G54" s="472" t="str">
        <f>IF(C54&lt;&gt;0,PedGuiMedIV!I12&amp;" (="&amp;PedGuiMedIV!J12&amp;" " &amp; PedGuiMedIV!K12 &amp;")","")</f>
        <v xml:space="preserve"> (= )</v>
      </c>
      <c r="J54" s="472" t="str">
        <f>PedGuiMedIV!L12</f>
        <v/>
      </c>
      <c r="L54" s="478" t="str">
        <f t="shared" si="1"/>
        <v/>
      </c>
    </row>
    <row r="55" spans="1:12" ht="12.6" customHeight="1" x14ac:dyDescent="0.2">
      <c r="B55" s="471">
        <v>5</v>
      </c>
      <c r="C55" s="472">
        <f>PedGuiMedIV!E13</f>
        <v>1</v>
      </c>
      <c r="E55" s="472" t="str">
        <f>IF(C55&lt;&gt;0,PedGuiMedIV!F13&amp;" in "&amp;PedGuiMedIV!G13&amp;IF(AND(PedBerMedIV!D9&lt;&gt;4,PedGuiMedIV!H13&lt;&gt;0)," "&amp;PedGuiMedIV!H13,""),"")</f>
        <v xml:space="preserve"> in </v>
      </c>
      <c r="G55" s="472" t="str">
        <f>IF(C55&lt;&gt;0,PedGuiMedIV!I13&amp;" (="&amp;PedGuiMedIV!J13&amp;" " &amp; PedGuiMedIV!K13 &amp;")","")</f>
        <v xml:space="preserve"> (= )</v>
      </c>
      <c r="J55" s="472" t="str">
        <f>PedGuiMedIV!L13</f>
        <v/>
      </c>
      <c r="L55" s="478" t="str">
        <f t="shared" si="1"/>
        <v/>
      </c>
    </row>
    <row r="56" spans="1:12" ht="12.6" customHeight="1" x14ac:dyDescent="0.2">
      <c r="B56" s="471">
        <v>6</v>
      </c>
      <c r="C56" s="472">
        <f>PedGuiMedIV!E14</f>
        <v>1</v>
      </c>
      <c r="E56" s="472" t="str">
        <f>IF(C56&lt;&gt;0,PedGuiMedIV!F14&amp;" in "&amp;PedGuiMedIV!G14&amp;IF(AND(PedBerMedIV!D10&lt;&gt;4,PedGuiMedIV!H14&lt;&gt;0)," "&amp;PedGuiMedIV!H14,""),"")</f>
        <v xml:space="preserve"> in </v>
      </c>
      <c r="G56" s="472" t="str">
        <f>IF(C56&lt;&gt;0,PedGuiMedIV!I14&amp;" (="&amp;PedGuiMedIV!J14&amp;" " &amp; PedGuiMedIV!K14 &amp;")","")</f>
        <v xml:space="preserve"> (= )</v>
      </c>
      <c r="J56" s="472" t="str">
        <f>PedGuiMedIV!L14</f>
        <v/>
      </c>
      <c r="L56" s="478" t="str">
        <f t="shared" si="1"/>
        <v/>
      </c>
    </row>
    <row r="57" spans="1:12" ht="12.6" customHeight="1" x14ac:dyDescent="0.2">
      <c r="B57" s="471">
        <v>7</v>
      </c>
      <c r="C57" s="472">
        <f>PedGuiMedIV!E15</f>
        <v>1</v>
      </c>
      <c r="E57" s="472" t="str">
        <f>IF(C57&lt;&gt;0,PedGuiMedIV!F15&amp;" in "&amp;PedGuiMedIV!G15&amp;IF(AND(PedBerMedIV!D11&lt;&gt;4,PedGuiMedIV!H15&lt;&gt;0)," "&amp;PedGuiMedIV!H15,""),"")</f>
        <v xml:space="preserve"> in </v>
      </c>
      <c r="G57" s="472" t="str">
        <f>IF(C57&lt;&gt;0,PedGuiMedIV!I15&amp;" (="&amp;PedGuiMedIV!J15&amp;" " &amp; PedGuiMedIV!K15 &amp;")","")</f>
        <v xml:space="preserve"> (= )</v>
      </c>
      <c r="J57" s="472" t="str">
        <f>PedGuiMedIV!L15</f>
        <v/>
      </c>
      <c r="L57" s="478" t="str">
        <f t="shared" si="1"/>
        <v/>
      </c>
    </row>
    <row r="58" spans="1:12" ht="12.6" customHeight="1" x14ac:dyDescent="0.2">
      <c r="B58" s="471">
        <v>8</v>
      </c>
      <c r="C58" s="472">
        <f>PedGuiMedIV!E16</f>
        <v>1</v>
      </c>
      <c r="E58" s="472" t="str">
        <f>IF(C58&lt;&gt;0,PedGuiMedIV!F16&amp;" in "&amp;PedGuiMedIV!G16&amp;IF(AND(PedBerMedIV!D12&lt;&gt;4,PedGuiMedIV!H16&lt;&gt;0)," "&amp;PedGuiMedIV!H16,""),"")</f>
        <v xml:space="preserve"> in </v>
      </c>
      <c r="G58" s="472" t="str">
        <f>IF(C58&lt;&gt;0,PedGuiMedIV!I16&amp;" (="&amp;PedGuiMedIV!J16&amp;" " &amp; PedGuiMedIV!K16 &amp;")","")</f>
        <v xml:space="preserve"> (= )</v>
      </c>
      <c r="J58" s="472" t="str">
        <f>PedGuiMedIV!L16</f>
        <v/>
      </c>
      <c r="L58" s="478" t="str">
        <f t="shared" si="1"/>
        <v/>
      </c>
    </row>
    <row r="59" spans="1:12" ht="12.6" customHeight="1" x14ac:dyDescent="0.2">
      <c r="B59" s="471">
        <v>9</v>
      </c>
      <c r="C59" s="472">
        <f>PedGuiMedIV!E17</f>
        <v>1</v>
      </c>
      <c r="E59" s="472" t="str">
        <f>IF(C59&lt;&gt;0,PedGuiMedIV!F17&amp;" in "&amp;PedGuiMedIV!G17&amp;IF(AND(PedBerMedIV!D18&lt;&gt;4,PedGuiMedIV!H17&lt;&gt;0)," "&amp;PedGuiMedIV!H17,""),"")</f>
        <v xml:space="preserve"> in </v>
      </c>
      <c r="G59" s="472" t="str">
        <f>IF(C59&lt;&gt;0,PedGuiMedIV!I17&amp;" (="&amp;PedGuiMedIV!J17&amp;" " &amp; PedGuiMedIV!K17 &amp;")","")</f>
        <v xml:space="preserve"> (= )</v>
      </c>
      <c r="J59" s="472" t="str">
        <f>PedGuiMedIV!L17</f>
        <v/>
      </c>
      <c r="L59" s="478" t="str">
        <f t="shared" si="1"/>
        <v/>
      </c>
    </row>
    <row r="60" spans="1:12" ht="12.6" customHeight="1" x14ac:dyDescent="0.2">
      <c r="B60" s="471">
        <v>10</v>
      </c>
      <c r="C60" s="472">
        <f>PedGuiMedIV!E18</f>
        <v>1</v>
      </c>
      <c r="E60" s="472" t="str">
        <f>IF(C60&lt;&gt;0,PedGuiMedIV!F18&amp;" in "&amp;PedGuiMedIV!G18&amp;IF(AND(PedBerMedIV!D19&lt;&gt;4,PedGuiMedIV!H18&lt;&gt;0)," "&amp;PedGuiMedIV!H18,""),"")</f>
        <v xml:space="preserve"> in </v>
      </c>
      <c r="G60" s="472" t="str">
        <f>IF(C60&lt;&gt;0,PedGuiMedIV!I18&amp;" (="&amp;PedGuiMedIV!J18&amp;" " &amp; PedGuiMedIV!K18 &amp;")","")</f>
        <v xml:space="preserve"> (= )</v>
      </c>
      <c r="J60" s="472" t="str">
        <f>PedGuiMedIV!L18</f>
        <v/>
      </c>
      <c r="L60" s="478" t="str">
        <f t="shared" si="1"/>
        <v/>
      </c>
    </row>
    <row r="61" spans="1:12" ht="12.6" customHeight="1" x14ac:dyDescent="0.2">
      <c r="B61" s="471">
        <v>11</v>
      </c>
      <c r="C61" s="472" t="str">
        <f>PedGuiMedIV!E25</f>
        <v/>
      </c>
      <c r="E61" s="472" t="str">
        <f>IF(C61&lt;&gt;0,PedGuiMedIV!F25&amp;" in "&amp;PedGuiMedIV!G25&amp;IF(AND(PedBerMedIV!D20&lt;&gt;4,PedGuiMedIV!H25&lt;&gt;0)," "&amp;PedGuiMedIV!H25,""),"")</f>
        <v xml:space="preserve">0 in </v>
      </c>
      <c r="G61" s="472" t="str">
        <f>IF(C61&lt;&gt;0,PedGuiMedIV!I25,"")</f>
        <v/>
      </c>
      <c r="J61" s="472" t="str">
        <f>PedGuiMedIV!L25</f>
        <v/>
      </c>
      <c r="L61" s="478" t="str">
        <f t="shared" si="1"/>
        <v/>
      </c>
    </row>
    <row r="62" spans="1:12" ht="12.6" customHeight="1" x14ac:dyDescent="0.2">
      <c r="B62" s="471">
        <v>12</v>
      </c>
      <c r="C62" s="472" t="str">
        <f>PedGuiMedIV!E26</f>
        <v/>
      </c>
      <c r="E62" s="472" t="str">
        <f>IF(C62&lt;&gt;0,PedGuiMedIV!F26&amp;" in "&amp;PedGuiMedIV!G26&amp;IF(AND(PedBerMedIV!D21&lt;&gt;4,PedGuiMedIV!H26&lt;&gt;0)," "&amp;PedGuiMedIV!H26,""),"")</f>
        <v xml:space="preserve">0 in </v>
      </c>
      <c r="G62" s="472" t="str">
        <f>IF(C62&lt;&gt;0,PedGuiMedIV!I26,"")</f>
        <v/>
      </c>
      <c r="J62" s="472" t="str">
        <f>PedGuiMedIV!L26</f>
        <v/>
      </c>
      <c r="L62" s="478" t="str">
        <f t="shared" si="1"/>
        <v/>
      </c>
    </row>
    <row r="63" spans="1:12" ht="12.6" customHeight="1" x14ac:dyDescent="0.2">
      <c r="B63" s="471">
        <v>13</v>
      </c>
      <c r="C63" s="472" t="str">
        <f>PedGuiMedIV!E27</f>
        <v/>
      </c>
      <c r="E63" s="472" t="str">
        <f>IF(C63&lt;&gt;0,PedGuiMedIV!F27&amp;" in "&amp;PedGuiMedIV!G27&amp;IF(AND(PedBerMedIV!D22&lt;&gt;4,PedGuiMedIV!H27&lt;&gt;0)," "&amp;PedGuiMedIV!H27,""),"")</f>
        <v xml:space="preserve">0 in </v>
      </c>
      <c r="G63" s="472" t="str">
        <f>IF(C63&lt;&gt;0,PedGuiMedIV!I27,"")</f>
        <v/>
      </c>
      <c r="J63" s="472" t="str">
        <f>PedGuiMedIV!L27</f>
        <v/>
      </c>
      <c r="L63" s="478" t="str">
        <f t="shared" si="1"/>
        <v/>
      </c>
    </row>
    <row r="64" spans="1:12" ht="12.6" customHeight="1" x14ac:dyDescent="0.2">
      <c r="B64" s="471">
        <v>14</v>
      </c>
      <c r="C64" s="472" t="str">
        <f>PedGuiMedIV!E28</f>
        <v/>
      </c>
      <c r="E64" s="472" t="str">
        <f>IF(C64&lt;&gt;0,PedGuiMedIV!F28&amp;" in "&amp;PedGuiMedIV!G28&amp;IF(AND(PedBerMedIV!D23&lt;&gt;4,PedGuiMedIV!H28&lt;&gt;0)," "&amp;PedGuiMedIV!H28,""),"")</f>
        <v xml:space="preserve">0 in </v>
      </c>
      <c r="G64" s="472" t="str">
        <f>IF(C64&lt;&gt;0,PedGuiMedIV!I28,"")</f>
        <v/>
      </c>
      <c r="J64" s="472" t="str">
        <f>PedGuiMedIV!L28</f>
        <v/>
      </c>
      <c r="L64" s="478" t="str">
        <f t="shared" si="1"/>
        <v/>
      </c>
    </row>
    <row r="65" spans="1:12" ht="12.6" customHeight="1" x14ac:dyDescent="0.2">
      <c r="B65" s="471">
        <v>15</v>
      </c>
      <c r="C65" s="472" t="str">
        <f>PedGuiMedIV!E29</f>
        <v/>
      </c>
      <c r="E65" s="472" t="str">
        <f>IF(C65&lt;&gt;0,PedGuiMedIV!F29&amp;" in "&amp;PedGuiMedIV!G29&amp;IF(AND(PedBerMedIV!D24&lt;&gt;4,PedGuiMedIV!H29&lt;&gt;0)," "&amp;PedGuiMedIV!H29,""),"")</f>
        <v xml:space="preserve">0 in </v>
      </c>
      <c r="G65" s="472" t="str">
        <f>IF(C65&lt;&gt;0,PedGuiMedIV!I29,"")</f>
        <v/>
      </c>
      <c r="J65" s="472" t="str">
        <f>PedGuiMedIV!L29</f>
        <v/>
      </c>
      <c r="L65" s="478" t="str">
        <f t="shared" si="1"/>
        <v/>
      </c>
    </row>
    <row r="66" spans="1:12" ht="12.6" customHeight="1" x14ac:dyDescent="0.2">
      <c r="L66" s="478"/>
    </row>
    <row r="67" spans="1:12" ht="12.6" customHeight="1" x14ac:dyDescent="0.2">
      <c r="B67" s="474"/>
      <c r="C67" s="477" t="s">
        <v>304</v>
      </c>
      <c r="D67" s="999">
        <f>GlobBerOpm!B3</f>
        <v>0</v>
      </c>
      <c r="E67" s="999"/>
      <c r="F67" s="999"/>
      <c r="G67" s="999"/>
      <c r="H67" s="999"/>
      <c r="I67" s="999"/>
      <c r="J67" s="999"/>
      <c r="L67" s="478"/>
    </row>
    <row r="68" spans="1:12" ht="12.6" customHeight="1" x14ac:dyDescent="0.2">
      <c r="D68" s="1002"/>
      <c r="E68" s="1002"/>
      <c r="F68" s="1002"/>
      <c r="G68" s="1002"/>
      <c r="H68" s="1002"/>
      <c r="I68" s="1002"/>
      <c r="J68" s="1002"/>
      <c r="L68" s="478"/>
    </row>
    <row r="69" spans="1:12" ht="12.6" customHeight="1" x14ac:dyDescent="0.2">
      <c r="A69" s="481"/>
      <c r="B69" s="482" t="str">
        <f>PedGuiEntTPN!D20</f>
        <v>Intraveneus</v>
      </c>
      <c r="C69" s="489"/>
      <c r="D69" s="481"/>
      <c r="E69" s="481"/>
      <c r="F69" s="481"/>
      <c r="G69" s="481"/>
      <c r="H69" s="481"/>
      <c r="I69" s="481"/>
      <c r="J69" s="481"/>
      <c r="L69" s="478"/>
    </row>
    <row r="70" spans="1:12" ht="12.6" customHeight="1" x14ac:dyDescent="0.2">
      <c r="B70" s="474"/>
      <c r="C70" s="477"/>
      <c r="D70" s="495">
        <f>IF(E70&lt;&gt;"",PedGuiEntTPN!D22,)</f>
        <v>0</v>
      </c>
      <c r="E70" s="496" t="str">
        <f>IF(PedPrtTPN2tot6!G21&lt;&gt;0,PedPrtTPN2tot6!A14&amp;" ml","")</f>
        <v/>
      </c>
      <c r="F70" s="496" t="str">
        <f>IF(PedPrtTPN2tot6!G21&lt;&gt;0,PedPrtTPN2tot6!G21&amp;" ml","")</f>
        <v/>
      </c>
      <c r="G70" s="497"/>
      <c r="H70" s="495">
        <f>IF(I70&lt;&gt;"",PedGuiEntTPN!I22,)</f>
        <v>0</v>
      </c>
      <c r="I70" s="496" t="str">
        <f>PedGuiEntTPN!J22</f>
        <v/>
      </c>
      <c r="J70" s="496" t="str">
        <f>PedGuiEntTPN!L22</f>
        <v/>
      </c>
      <c r="L70" s="478"/>
    </row>
    <row r="71" spans="1:12" ht="12.6" customHeight="1" x14ac:dyDescent="0.2">
      <c r="B71" s="474"/>
      <c r="C71" s="477"/>
      <c r="D71" s="475" t="str">
        <f>IF(F71&lt;&gt;"",PedBerTPN!A28,"")</f>
        <v/>
      </c>
      <c r="E71" s="472" t="str">
        <f>IF(PedBerTPN!B4=4,ROUND(PedBerTPN!D4,1)&amp;" ml/uur","")</f>
        <v/>
      </c>
      <c r="F71" s="472" t="str">
        <f>PedGuiEntTPN!F23</f>
        <v/>
      </c>
      <c r="G71" s="477"/>
      <c r="H71" s="475">
        <f>IF(J71&lt;&gt;"",INDEX(tblSSTGlucose,_Ped_TPN_SST2Keuze,1),)</f>
        <v>0</v>
      </c>
      <c r="J71" s="472" t="str">
        <f>PedGuiEntTPN!K25</f>
        <v/>
      </c>
      <c r="L71" s="478" t="str">
        <f>IF(AND(D71="",H71=0),"D","")</f>
        <v>D</v>
      </c>
    </row>
    <row r="72" spans="1:12" ht="12.6" customHeight="1" x14ac:dyDescent="0.2">
      <c r="B72" s="474"/>
      <c r="C72" s="477"/>
      <c r="D72" s="475" t="str">
        <f>IF(PedGuiEntTPN!H23&lt;&gt;"","Peditrace","")</f>
        <v/>
      </c>
      <c r="E72" s="468" t="str">
        <f>IF(PedGuiEntTPN!H23&lt;&gt;"",PedGuiEntTPN!H23&amp;" "&amp;PedGuiEntTPN!G25,"")</f>
        <v/>
      </c>
      <c r="F72" s="469"/>
      <c r="G72" s="477"/>
      <c r="H72" s="475">
        <f>IF(J72&lt;&gt;"",PedGuiEntTPN!I26,)</f>
        <v>0</v>
      </c>
      <c r="J72" s="472" t="str">
        <f>PedGuiEntTPN!J26</f>
        <v/>
      </c>
      <c r="L72" s="478" t="str">
        <f>IF(AND(D72="",H72=0),"D","")</f>
        <v>D</v>
      </c>
    </row>
    <row r="73" spans="1:12" ht="12.6" customHeight="1" x14ac:dyDescent="0.2">
      <c r="B73" s="474"/>
      <c r="C73" s="477"/>
      <c r="D73" s="475">
        <f>IF(F73&lt;&gt;"",INDEX(tblSSTGlucose,_Ped_TPN_SST1Keuze,1),)</f>
        <v>0</v>
      </c>
      <c r="F73" s="472" t="str">
        <f>IF(AND(_Ped_TPN_Keuze=2,_Ped_TPN_SST1Keuze&lt;11,_Pat_Gewicht/10&lt;=50),ROUND(PedBerTPN!F6,0)&amp;" ml","")</f>
        <v/>
      </c>
      <c r="G73" s="477"/>
      <c r="H73" s="475">
        <f>IF(J73&lt;&gt;"",PedGuiEntTPN!I27,)</f>
        <v>0</v>
      </c>
      <c r="J73" s="472" t="str">
        <f>PedGuiEntTPN!J27</f>
        <v/>
      </c>
      <c r="L73" s="478" t="str">
        <f>IF(AND(D73="",H73=0),"D","")</f>
        <v/>
      </c>
    </row>
    <row r="74" spans="1:12" ht="12.6" customHeight="1" x14ac:dyDescent="0.2">
      <c r="B74" s="474"/>
      <c r="C74" s="477"/>
      <c r="D74" s="475">
        <f>IF(F74&lt;&gt;"",PedGuiEntTPN!D26,)</f>
        <v>0</v>
      </c>
      <c r="F74" s="472" t="str">
        <f>IF(AND(PedPrtTPN2tot6!G14&lt;&gt;"",PedBerTPN!$F$4&gt;0),PedPrtTPN2tot6!G14&amp;" ml","")</f>
        <v/>
      </c>
      <c r="L74" s="478" t="str">
        <f>IF(D74=0,"D","")</f>
        <v>D</v>
      </c>
    </row>
    <row r="75" spans="1:12" ht="12.6" customHeight="1" x14ac:dyDescent="0.2">
      <c r="B75" s="474"/>
      <c r="C75" s="477"/>
      <c r="D75" s="475">
        <f>IF(F75&lt;&gt;"",PedGuiEntTPN!D27,)</f>
        <v>0</v>
      </c>
      <c r="F75" s="472" t="str">
        <f>IF(AND(PedPrtTPN2tot6!G15&lt;&gt;"",PedBerTPN!$F$4&gt;0),PedPrtTPN2tot6!G15&amp;" ml","")</f>
        <v/>
      </c>
      <c r="L75" s="478" t="str">
        <f>IF(D75=0,"D","")</f>
        <v>D</v>
      </c>
    </row>
    <row r="76" spans="1:12" ht="12.6" customHeight="1" x14ac:dyDescent="0.2">
      <c r="D76" s="498"/>
      <c r="H76" s="498"/>
      <c r="L76" s="478"/>
    </row>
    <row r="77" spans="1:12" ht="12.6" customHeight="1" x14ac:dyDescent="0.2">
      <c r="B77" s="474"/>
      <c r="C77" s="477"/>
      <c r="D77" s="499" t="str">
        <f>IF(F77&lt;&gt;"","Electrolyt/Glucose mengsel","")</f>
        <v/>
      </c>
      <c r="E77" s="481" t="str">
        <f>IF(AND(_Pat_Gewicht/10&gt;50,PedPrtTPN50!A27&lt;&gt;""),PedPrtTPN50!A27,PedPrtTPN2tot6!A29)</f>
        <v/>
      </c>
      <c r="F77" s="481" t="str">
        <f>IF(AND(_Pat_Gewicht/10&gt;50,PedPrtTPN50!G35&lt;&gt;0),PedPrtTPN50!G35&amp;" ml",IF(PedPrtTPN2tot6!G36&lt;&gt;0,PedPrtTPN2tot6!G36&amp;" ml",""))</f>
        <v/>
      </c>
      <c r="G77" s="481"/>
      <c r="H77" s="500"/>
      <c r="I77" s="481"/>
      <c r="J77" s="481"/>
      <c r="L77" s="478"/>
    </row>
    <row r="78" spans="1:12" ht="12.6" customHeight="1" x14ac:dyDescent="0.2">
      <c r="B78" s="474"/>
      <c r="C78" s="477"/>
      <c r="D78" s="475">
        <f>IF(F78&lt;&gt;"",INDEX(tblSSTGlucose,_Ped_TPN_SST1Keuze,1),)</f>
        <v>0</v>
      </c>
      <c r="E78" s="501"/>
      <c r="F78" s="472" t="str">
        <f>IF(AND(OR(_Ped_TPN_Keuze=1,AND(_Ped_TPN_Keuze=2,_Ped_TPN_SST1Keuze&gt;10),_Pat_Gewicht/10&gt;50),ROUND(PedBerTPN!F6,0)&lt;&gt;0,_Ped_TPN_SST1Keuze&lt;&gt;2),ROUND(PedBerTPN!F6,0)&amp;" ml","")</f>
        <v/>
      </c>
      <c r="L78" s="478" t="str">
        <f>IF(D78=0,"D","")</f>
        <v>D</v>
      </c>
    </row>
    <row r="79" spans="1:12" ht="12.6" customHeight="1" x14ac:dyDescent="0.2">
      <c r="B79" s="474"/>
      <c r="C79" s="477"/>
      <c r="D79" s="475">
        <f>IF(F79&lt;&gt;"","CaGluc 10%",)</f>
        <v>0</v>
      </c>
      <c r="F79" s="472" t="str">
        <f>PedGuiEntTPN!F29</f>
        <v/>
      </c>
      <c r="L79" s="478" t="str">
        <f t="shared" ref="L79:L85" si="2">IF(D79=0,"D","")</f>
        <v>D</v>
      </c>
    </row>
    <row r="80" spans="1:12" ht="12.6" customHeight="1" x14ac:dyDescent="0.2">
      <c r="B80" s="474"/>
      <c r="C80" s="477"/>
      <c r="D80" s="475">
        <f>IF(F80&lt;&gt;"","MgCl 10%",)</f>
        <v>0</v>
      </c>
      <c r="F80" s="472" t="str">
        <f>PedGuiEntTPN!F30</f>
        <v/>
      </c>
      <c r="L80" s="478" t="str">
        <f t="shared" si="2"/>
        <v>D</v>
      </c>
    </row>
    <row r="81" spans="1:12" ht="12.6" customHeight="1" x14ac:dyDescent="0.2">
      <c r="B81" s="474"/>
      <c r="C81" s="477"/>
      <c r="D81" s="475">
        <f>IF(F81&lt;&gt;"",PedGuiEntTPN!D26,)</f>
        <v>0</v>
      </c>
      <c r="F81" s="472" t="str">
        <f>IF(AND(_Pat_Gewicht/10&gt;50,PedPrtTPN50!G27&lt;&gt;0),PedPrtTPN50!G27&amp;" ml",IF(OR(AND(PedPrtTPN2tot6!G29&lt;&gt;0,PedBerTPN!$F$4=0),AND(PedPrtTPN2tot6!G29&lt;&gt;0,_Pat_Gewicht/10&gt;50)),PedPrtTPN2tot6!G29&amp;" ml",""))</f>
        <v/>
      </c>
      <c r="H81" s="498"/>
      <c r="L81" s="478" t="str">
        <f t="shared" si="2"/>
        <v>D</v>
      </c>
    </row>
    <row r="82" spans="1:12" ht="12.6" customHeight="1" x14ac:dyDescent="0.2">
      <c r="B82" s="474"/>
      <c r="C82" s="477"/>
      <c r="D82" s="475">
        <f>IF(F82&lt;&gt;"",PedGuiEntTPN!D27,)</f>
        <v>0</v>
      </c>
      <c r="F82" s="472" t="str">
        <f>IF(AND(_Pat_Gewicht/10&gt;51,PedPrtTPN50!G28&lt;&gt;0),PedPrtTPN50!G28&amp;" ml",IF(OR(AND(PedPrtTPN2tot6!G30&lt;&gt;0,PedBerTPN!$F$4=0),AND(PedPrtTPN2tot6!G30&lt;&gt;0,_Pat_Gewicht/10&gt;50)),PedPrtTPN2tot6!G30&amp;" ml",""))</f>
        <v/>
      </c>
      <c r="H82" s="498"/>
      <c r="L82" s="478" t="str">
        <f t="shared" si="2"/>
        <v>D</v>
      </c>
    </row>
    <row r="83" spans="1:12" ht="12.6" customHeight="1" x14ac:dyDescent="0.2">
      <c r="B83" s="474"/>
      <c r="C83" s="477"/>
      <c r="D83" s="475" t="str">
        <f>IF(F83&lt;&gt;"","Glucose 10%","")</f>
        <v/>
      </c>
      <c r="F83" s="472" t="str">
        <f>IF(AND(_Pat_Gewicht/10&gt;51,PedPrtTPN50!G31&lt;&gt;0),PedPrtTPN50!G31&amp;" ml",IF(AND(PedPrtTPN2tot6!G33&lt;&gt;0,_Pat_Gewicht/10&lt;=50),PedPrtTPN2tot6!G33&amp;" ml",""))</f>
        <v/>
      </c>
      <c r="H83" s="498"/>
      <c r="L83" s="478" t="str">
        <f t="shared" si="2"/>
        <v/>
      </c>
    </row>
    <row r="84" spans="1:12" ht="12.6" customHeight="1" x14ac:dyDescent="0.2">
      <c r="L84" s="478"/>
    </row>
    <row r="85" spans="1:12" ht="12.6" customHeight="1" x14ac:dyDescent="0.2">
      <c r="B85" s="474"/>
      <c r="C85" s="477"/>
      <c r="D85" s="502">
        <f>IF(E85&lt;&gt;" ","KNaFosfaat",)</f>
        <v>0</v>
      </c>
      <c r="E85" s="481" t="str">
        <f>PedGuiEntTPN!F32&amp;" "&amp;PedGuiEntTPN!I32</f>
        <v xml:space="preserve"> </v>
      </c>
      <c r="F85" s="481"/>
      <c r="L85" s="478" t="str">
        <f t="shared" si="2"/>
        <v>D</v>
      </c>
    </row>
    <row r="86" spans="1:12" ht="12.6" customHeight="1" x14ac:dyDescent="0.2">
      <c r="L86" s="478"/>
    </row>
    <row r="87" spans="1:12" ht="12.6" customHeight="1" x14ac:dyDescent="0.2">
      <c r="B87" s="474"/>
      <c r="C87" s="477"/>
      <c r="D87" s="503">
        <f>IF(E87&lt;&gt;"",PedGuiEntTPN!D34,)</f>
        <v>0</v>
      </c>
      <c r="E87" s="481" t="str">
        <f>PedGuiEntTPN!E34</f>
        <v/>
      </c>
      <c r="F87" s="481" t="str">
        <f>IF(ROUND(PedBerTPN!F12,0)&gt;0,ROUND(PedBerTPN!F12,0)&amp;" ml","")</f>
        <v/>
      </c>
      <c r="H87" s="468"/>
      <c r="L87" s="478"/>
    </row>
    <row r="88" spans="1:12" ht="12.6" customHeight="1" x14ac:dyDescent="0.2">
      <c r="B88" s="474"/>
      <c r="C88" s="477"/>
      <c r="D88" s="475">
        <f>IF(F88&lt;&gt;"","Intralipid 20%",)</f>
        <v>0</v>
      </c>
      <c r="F88" s="472" t="str">
        <f>PedGuiEntTPN!F35</f>
        <v/>
      </c>
      <c r="H88" s="498"/>
      <c r="L88" s="478" t="str">
        <f>IF(D88=0,"D","")</f>
        <v>D</v>
      </c>
    </row>
    <row r="89" spans="1:12" ht="12.6" customHeight="1" x14ac:dyDescent="0.2">
      <c r="B89" s="474"/>
      <c r="C89" s="477"/>
      <c r="D89" s="475">
        <f>IF(F89&lt;&gt;"","Vitintra Infant",)</f>
        <v>0</v>
      </c>
      <c r="F89" s="472" t="str">
        <f>PedGuiEntTPN!F36</f>
        <v/>
      </c>
      <c r="H89" s="498"/>
      <c r="L89" s="478" t="str">
        <f>IF(D89=0,"D","")</f>
        <v>D</v>
      </c>
    </row>
    <row r="90" spans="1:12" ht="12.6" customHeight="1" x14ac:dyDescent="0.2">
      <c r="B90" s="474"/>
      <c r="C90" s="477"/>
      <c r="D90" s="475">
        <f>IF(F90&lt;&gt;"","Soluvit",)</f>
        <v>0</v>
      </c>
      <c r="F90" s="472" t="str">
        <f>PedGuiEntTPN!F37</f>
        <v/>
      </c>
      <c r="H90" s="498"/>
      <c r="L90" s="478" t="str">
        <f>IF(D90=0,"D","")</f>
        <v>D</v>
      </c>
    </row>
    <row r="91" spans="1:12" ht="12.6" customHeight="1" x14ac:dyDescent="0.2">
      <c r="C91" s="498"/>
      <c r="L91" s="478"/>
    </row>
    <row r="92" spans="1:12" ht="12.6" customHeight="1" x14ac:dyDescent="0.2">
      <c r="A92" s="481"/>
      <c r="B92" s="485"/>
      <c r="C92" s="486" t="s">
        <v>304</v>
      </c>
      <c r="D92" s="997">
        <f>GlobBerOpm!B4</f>
        <v>0</v>
      </c>
      <c r="E92" s="998"/>
      <c r="F92" s="998"/>
      <c r="G92" s="998"/>
      <c r="H92" s="998"/>
      <c r="I92" s="998"/>
      <c r="J92" s="998"/>
      <c r="L92" s="478"/>
    </row>
    <row r="93" spans="1:12" ht="12.6" customHeight="1" x14ac:dyDescent="0.2">
      <c r="L93" s="478"/>
    </row>
    <row r="94" spans="1:12" ht="12.6" customHeight="1" x14ac:dyDescent="0.2">
      <c r="L94" s="478"/>
    </row>
    <row r="95" spans="1:12" ht="12.6" customHeight="1" x14ac:dyDescent="0.2">
      <c r="A95" s="481"/>
      <c r="B95" s="482" t="s">
        <v>367</v>
      </c>
      <c r="C95" s="489"/>
      <c r="D95" s="481"/>
      <c r="E95" s="481"/>
      <c r="F95" s="481"/>
      <c r="G95" s="481"/>
      <c r="H95" s="481"/>
      <c r="I95" s="481"/>
      <c r="J95" s="481"/>
      <c r="L95" s="478"/>
    </row>
    <row r="96" spans="1:12" ht="12.6" customHeight="1" x14ac:dyDescent="0.2">
      <c r="B96" s="474"/>
      <c r="C96" s="475" t="str">
        <f>PedGuiEntTPN!C41</f>
        <v>Vocht</v>
      </c>
      <c r="D96" s="472" t="str">
        <f>PedGuiEntTPN!E41</f>
        <v>0 ml/kg</v>
      </c>
      <c r="E96" s="475" t="str">
        <f>PedGuiEntTPN!C42</f>
        <v>Calorieen</v>
      </c>
      <c r="F96" s="472" t="str">
        <f>PedGuiEntTPN!E42</f>
        <v>0 kCal/kg</v>
      </c>
      <c r="G96" s="475" t="str">
        <f>PedGuiEntTPN!C45</f>
        <v>Kalium</v>
      </c>
      <c r="H96" s="472" t="str">
        <f>PedGuiEntTPN!E45</f>
        <v>0 mmol/kg</v>
      </c>
      <c r="I96" s="475" t="str">
        <f>PedGuiEntTPN!C44</f>
        <v xml:space="preserve">Natrium </v>
      </c>
      <c r="J96" s="472" t="str">
        <f>PedGuiEntTPN!E44</f>
        <v>0 mmol/kg</v>
      </c>
      <c r="L96" s="478"/>
    </row>
    <row r="97" spans="1:12" ht="12.6" customHeight="1" x14ac:dyDescent="0.2">
      <c r="B97" s="474"/>
      <c r="C97" s="475" t="str">
        <f>PedGuiEntTPN!I41</f>
        <v>Eiwit</v>
      </c>
      <c r="D97" s="472" t="str">
        <f>PedGuiEntTPN!J41</f>
        <v>0  gram/kg</v>
      </c>
      <c r="E97" s="475" t="str">
        <f>PedGuiEntTPN!I42</f>
        <v>Vet</v>
      </c>
      <c r="F97" s="472" t="str">
        <f>PedGuiEntTPN!J42</f>
        <v>0 gram/kg</v>
      </c>
      <c r="G97" s="475" t="str">
        <f>PedGuiEntTPN!I43</f>
        <v>Calcium</v>
      </c>
      <c r="H97" s="472" t="str">
        <f>PedGuiEntTPN!J43</f>
        <v>0 mmol/kg</v>
      </c>
      <c r="I97" s="475" t="str">
        <f>PedGuiEntTPN!I45</f>
        <v>Fosfaat</v>
      </c>
      <c r="J97" s="472" t="str">
        <f>PedGuiEntTPN!J45</f>
        <v>0 mmol/kg</v>
      </c>
      <c r="L97" s="478"/>
    </row>
    <row r="98" spans="1:12" ht="12.6" customHeight="1" x14ac:dyDescent="0.2">
      <c r="A98" s="481"/>
      <c r="B98" s="485"/>
      <c r="C98" s="504" t="str">
        <f>PedGuiEntTPN!C43</f>
        <v>Glucose/KH</v>
      </c>
      <c r="D98" s="481" t="str">
        <f>PedGuiEntTPN!E43</f>
        <v>0 g/kg</v>
      </c>
      <c r="E98" s="486"/>
      <c r="F98" s="481"/>
      <c r="G98" s="504" t="s">
        <v>328</v>
      </c>
      <c r="H98" s="481" t="str">
        <f>PedGuiEntTPN!J44</f>
        <v>0 mmol/kg</v>
      </c>
      <c r="I98" s="486"/>
      <c r="J98" s="481"/>
      <c r="L98" s="478"/>
    </row>
    <row r="99" spans="1:12" ht="12.6" customHeight="1" x14ac:dyDescent="0.2">
      <c r="B99" s="474"/>
      <c r="C99" s="475" t="s">
        <v>473</v>
      </c>
      <c r="D99" s="476">
        <f ca="1">TODAY()</f>
        <v>42748</v>
      </c>
      <c r="E99" s="475" t="s">
        <v>474</v>
      </c>
      <c r="F99" s="996" t="str">
        <f>__2_AchterNaam&amp;", "&amp;__3_VoorNaam</f>
        <v xml:space="preserve">, </v>
      </c>
      <c r="G99" s="996"/>
      <c r="H99" s="477" t="s">
        <v>286</v>
      </c>
      <c r="I99" s="472" t="str">
        <f>_Pat_Gewicht/10&amp;" kg"</f>
        <v>0 kg</v>
      </c>
      <c r="J99" s="468"/>
      <c r="L99" s="478"/>
    </row>
    <row r="100" spans="1:12" ht="12.6" customHeight="1" x14ac:dyDescent="0.2">
      <c r="B100" s="474"/>
      <c r="C100" s="475" t="s">
        <v>214</v>
      </c>
      <c r="D100" s="479">
        <f ca="1">Var_AfspraakDatum-_Pat_OpnDatum+1</f>
        <v>41287</v>
      </c>
      <c r="E100" s="475" t="s">
        <v>472</v>
      </c>
      <c r="F100" s="480">
        <f>__4_GebDatum</f>
        <v>1462</v>
      </c>
      <c r="G100" s="468"/>
      <c r="H100" s="477" t="s">
        <v>136</v>
      </c>
      <c r="I100" s="472" t="str">
        <f>_Pat_Lengte&amp;" cm"</f>
        <v>0 cm</v>
      </c>
      <c r="J100" s="468"/>
      <c r="L100" s="478"/>
    </row>
    <row r="101" spans="1:12" ht="12.6" customHeight="1" x14ac:dyDescent="0.2">
      <c r="D101" s="468"/>
      <c r="F101" s="468"/>
      <c r="H101" s="477" t="s">
        <v>137</v>
      </c>
      <c r="I101" s="472" t="str">
        <f>ROUND(POWER(_Pat_Gewicht/10,0.425)*POWER(((_Pat_Lengte/100)*100),0.725)*0.007184,2)&amp;" m2"</f>
        <v>0 m2</v>
      </c>
      <c r="L101" s="478"/>
    </row>
    <row r="102" spans="1:12" ht="12.6" customHeight="1" x14ac:dyDescent="0.2">
      <c r="D102" s="468"/>
      <c r="F102" s="468"/>
      <c r="L102" s="478"/>
    </row>
    <row r="103" spans="1:12" ht="12.6" customHeight="1" x14ac:dyDescent="0.2">
      <c r="D103" s="468"/>
      <c r="F103" s="468"/>
      <c r="L103" s="478"/>
    </row>
    <row r="104" spans="1:12" ht="12.6" customHeight="1" x14ac:dyDescent="0.2">
      <c r="D104" s="468"/>
      <c r="F104" s="468"/>
      <c r="L104" s="478"/>
    </row>
    <row r="105" spans="1:12" ht="12.6" customHeight="1" x14ac:dyDescent="0.2">
      <c r="B105" s="482" t="s">
        <v>30</v>
      </c>
      <c r="C105" s="481"/>
      <c r="D105" s="494"/>
      <c r="E105" s="481"/>
      <c r="F105" s="482" t="e">
        <f>IF(Comfort,"Ja","Nee")</f>
        <v>#NAME?</v>
      </c>
      <c r="L105" s="478"/>
    </row>
    <row r="106" spans="1:12" ht="12.6" customHeight="1" x14ac:dyDescent="0.2">
      <c r="L106" s="478"/>
    </row>
    <row r="107" spans="1:12" ht="12.6" customHeight="1" x14ac:dyDescent="0.2">
      <c r="D107" s="505" t="s">
        <v>283</v>
      </c>
      <c r="G107" s="505" t="s">
        <v>131</v>
      </c>
      <c r="L107" s="478"/>
    </row>
    <row r="108" spans="1:12" ht="24.95" customHeight="1" x14ac:dyDescent="0.2">
      <c r="A108" s="994" t="s">
        <v>129</v>
      </c>
      <c r="B108" s="995"/>
      <c r="C108" s="506" t="s">
        <v>130</v>
      </c>
      <c r="D108" s="506" t="s">
        <v>132</v>
      </c>
      <c r="E108" s="994" t="s">
        <v>134</v>
      </c>
      <c r="F108" s="995"/>
      <c r="G108" s="506" t="s">
        <v>132</v>
      </c>
      <c r="H108" s="994" t="s">
        <v>133</v>
      </c>
      <c r="I108" s="995"/>
      <c r="J108" s="506" t="s">
        <v>255</v>
      </c>
      <c r="K108" s="471"/>
      <c r="L108" s="478"/>
    </row>
    <row r="109" spans="1:12" ht="20.100000000000001" customHeight="1" x14ac:dyDescent="0.2">
      <c r="A109" s="507"/>
      <c r="B109" s="508"/>
      <c r="C109" s="506"/>
      <c r="D109" s="506"/>
      <c r="E109" s="507"/>
      <c r="F109" s="508"/>
      <c r="G109" s="509"/>
      <c r="H109" s="507"/>
      <c r="I109" s="510"/>
      <c r="J109" s="506"/>
      <c r="K109" s="471"/>
      <c r="L109" s="478"/>
    </row>
    <row r="110" spans="1:12" ht="20.100000000000001" customHeight="1" x14ac:dyDescent="0.2">
      <c r="A110" s="507"/>
      <c r="B110" s="508"/>
      <c r="C110" s="506"/>
      <c r="D110" s="506"/>
      <c r="E110" s="507"/>
      <c r="F110" s="508"/>
      <c r="G110" s="509"/>
      <c r="H110" s="507"/>
      <c r="I110" s="510"/>
      <c r="J110" s="506"/>
      <c r="K110" s="471"/>
      <c r="L110" s="478"/>
    </row>
    <row r="111" spans="1:12" ht="20.100000000000001" customHeight="1" x14ac:dyDescent="0.2">
      <c r="A111" s="507"/>
      <c r="B111" s="508"/>
      <c r="C111" s="506"/>
      <c r="D111" s="506"/>
      <c r="E111" s="507"/>
      <c r="F111" s="508"/>
      <c r="G111" s="509"/>
      <c r="H111" s="507"/>
      <c r="I111" s="510"/>
      <c r="J111" s="506"/>
      <c r="K111" s="471"/>
      <c r="L111" s="478"/>
    </row>
    <row r="112" spans="1:12" ht="20.100000000000001" customHeight="1" x14ac:dyDescent="0.2">
      <c r="A112" s="507"/>
      <c r="B112" s="508"/>
      <c r="C112" s="506"/>
      <c r="D112" s="506"/>
      <c r="E112" s="507"/>
      <c r="F112" s="508"/>
      <c r="G112" s="509"/>
      <c r="H112" s="507"/>
      <c r="I112" s="510"/>
      <c r="J112" s="506"/>
      <c r="K112" s="471"/>
      <c r="L112" s="478"/>
    </row>
    <row r="113" spans="1:13" ht="20.100000000000001" customHeight="1" x14ac:dyDescent="0.2">
      <c r="A113" s="507"/>
      <c r="B113" s="508"/>
      <c r="C113" s="506"/>
      <c r="D113" s="506"/>
      <c r="E113" s="507"/>
      <c r="F113" s="508"/>
      <c r="G113" s="509"/>
      <c r="H113" s="507"/>
      <c r="I113" s="510"/>
      <c r="J113" s="506"/>
      <c r="K113" s="471"/>
      <c r="L113" s="478"/>
    </row>
    <row r="114" spans="1:13" ht="20.100000000000001" customHeight="1" x14ac:dyDescent="0.2">
      <c r="A114" s="507"/>
      <c r="B114" s="508"/>
      <c r="C114" s="506"/>
      <c r="D114" s="506"/>
      <c r="E114" s="507"/>
      <c r="F114" s="508"/>
      <c r="G114" s="509"/>
      <c r="H114" s="507"/>
      <c r="I114" s="510"/>
      <c r="J114" s="506"/>
      <c r="K114" s="471"/>
      <c r="L114" s="478"/>
    </row>
    <row r="115" spans="1:13" ht="20.100000000000001" customHeight="1" x14ac:dyDescent="0.2">
      <c r="A115" s="507"/>
      <c r="B115" s="508"/>
      <c r="C115" s="506"/>
      <c r="D115" s="506"/>
      <c r="E115" s="507"/>
      <c r="F115" s="508"/>
      <c r="G115" s="509"/>
      <c r="H115" s="507"/>
      <c r="I115" s="510"/>
      <c r="J115" s="506"/>
      <c r="K115" s="471"/>
      <c r="L115" s="478"/>
    </row>
    <row r="116" spans="1:13" ht="20.100000000000001" customHeight="1" x14ac:dyDescent="0.2">
      <c r="A116" s="507"/>
      <c r="B116" s="508"/>
      <c r="C116" s="506"/>
      <c r="D116" s="506"/>
      <c r="E116" s="507"/>
      <c r="F116" s="508"/>
      <c r="G116" s="509"/>
      <c r="H116" s="507"/>
      <c r="I116" s="510"/>
      <c r="J116" s="506"/>
      <c r="K116" s="471"/>
      <c r="L116" s="478"/>
    </row>
    <row r="117" spans="1:13" ht="20.100000000000001" customHeight="1" x14ac:dyDescent="0.2">
      <c r="A117" s="507"/>
      <c r="B117" s="508"/>
      <c r="C117" s="506"/>
      <c r="D117" s="506"/>
      <c r="E117" s="507"/>
      <c r="F117" s="508"/>
      <c r="G117" s="509"/>
      <c r="H117" s="507"/>
      <c r="I117" s="510"/>
      <c r="J117" s="506"/>
      <c r="K117" s="471"/>
      <c r="L117" s="478"/>
    </row>
    <row r="118" spans="1:13" ht="20.100000000000001" customHeight="1" x14ac:dyDescent="0.2">
      <c r="A118" s="507"/>
      <c r="B118" s="508"/>
      <c r="C118" s="506"/>
      <c r="D118" s="506"/>
      <c r="E118" s="507"/>
      <c r="F118" s="508"/>
      <c r="G118" s="509"/>
      <c r="H118" s="507"/>
      <c r="I118" s="510"/>
      <c r="J118" s="506"/>
      <c r="K118" s="15"/>
      <c r="L118" s="478"/>
      <c r="M118" s="473"/>
    </row>
    <row r="119" spans="1:13" ht="20.100000000000001" customHeight="1" x14ac:dyDescent="0.2">
      <c r="A119" s="507"/>
      <c r="B119" s="508"/>
      <c r="C119" s="506"/>
      <c r="D119" s="506"/>
      <c r="E119" s="507"/>
      <c r="F119" s="508"/>
      <c r="G119" s="509"/>
      <c r="H119" s="507"/>
      <c r="I119" s="510"/>
      <c r="J119" s="506"/>
      <c r="K119" s="15"/>
      <c r="L119" s="478"/>
      <c r="M119" s="473"/>
    </row>
    <row r="120" spans="1:13" ht="20.100000000000001" customHeight="1" x14ac:dyDescent="0.2">
      <c r="A120" s="507"/>
      <c r="B120" s="508"/>
      <c r="C120" s="506"/>
      <c r="D120" s="506"/>
      <c r="E120" s="507"/>
      <c r="F120" s="508"/>
      <c r="G120" s="509"/>
      <c r="H120" s="507"/>
      <c r="I120" s="510"/>
      <c r="J120" s="506"/>
      <c r="K120" s="15"/>
      <c r="L120" s="478"/>
      <c r="M120" s="473"/>
    </row>
    <row r="121" spans="1:13" ht="20.100000000000001" customHeight="1" x14ac:dyDescent="0.2">
      <c r="A121" s="507"/>
      <c r="B121" s="508"/>
      <c r="C121" s="506"/>
      <c r="D121" s="506"/>
      <c r="E121" s="507"/>
      <c r="F121" s="508"/>
      <c r="G121" s="509"/>
      <c r="H121" s="507"/>
      <c r="I121" s="510"/>
      <c r="J121" s="506"/>
      <c r="K121" s="15"/>
      <c r="L121" s="478"/>
      <c r="M121" s="473"/>
    </row>
    <row r="122" spans="1:13" ht="20.100000000000001" customHeight="1" x14ac:dyDescent="0.2">
      <c r="A122" s="507"/>
      <c r="B122" s="508"/>
      <c r="C122" s="506"/>
      <c r="D122" s="506"/>
      <c r="E122" s="507"/>
      <c r="F122" s="508"/>
      <c r="G122" s="509"/>
      <c r="H122" s="507"/>
      <c r="I122" s="510"/>
      <c r="J122" s="506"/>
      <c r="K122" s="15"/>
      <c r="L122" s="478"/>
      <c r="M122" s="473"/>
    </row>
    <row r="123" spans="1:13" ht="20.100000000000001" customHeight="1" x14ac:dyDescent="0.2">
      <c r="A123" s="507"/>
      <c r="B123" s="508"/>
      <c r="C123" s="506"/>
      <c r="D123" s="506"/>
      <c r="E123" s="507"/>
      <c r="F123" s="508"/>
      <c r="G123" s="509"/>
      <c r="H123" s="507"/>
      <c r="I123" s="510"/>
      <c r="J123" s="506"/>
      <c r="K123" s="15"/>
      <c r="L123" s="478"/>
      <c r="M123" s="473"/>
    </row>
    <row r="124" spans="1:13" ht="20.100000000000001" customHeight="1" x14ac:dyDescent="0.2">
      <c r="A124" s="507"/>
      <c r="B124" s="508"/>
      <c r="C124" s="506"/>
      <c r="D124" s="506"/>
      <c r="E124" s="507"/>
      <c r="F124" s="508"/>
      <c r="G124" s="509"/>
      <c r="H124" s="507"/>
      <c r="I124" s="510"/>
      <c r="J124" s="506"/>
      <c r="K124" s="15"/>
      <c r="L124" s="478"/>
      <c r="M124" s="473"/>
    </row>
    <row r="125" spans="1:13" ht="20.100000000000001" customHeight="1" x14ac:dyDescent="0.2">
      <c r="A125" s="507"/>
      <c r="B125" s="508"/>
      <c r="C125" s="506"/>
      <c r="D125" s="506"/>
      <c r="E125" s="507"/>
      <c r="F125" s="508"/>
      <c r="G125" s="509"/>
      <c r="H125" s="507"/>
      <c r="I125" s="510"/>
      <c r="J125" s="506"/>
      <c r="K125" s="15"/>
      <c r="L125" s="478"/>
      <c r="M125" s="473"/>
    </row>
    <row r="126" spans="1:13" ht="30" customHeight="1" x14ac:dyDescent="0.2">
      <c r="A126" s="511" t="s">
        <v>135</v>
      </c>
      <c r="B126" s="512"/>
      <c r="C126" s="511"/>
      <c r="D126" s="511"/>
      <c r="E126" s="511"/>
      <c r="F126" s="512"/>
      <c r="G126" s="512"/>
      <c r="H126" s="511"/>
      <c r="I126" s="511"/>
      <c r="J126" s="511"/>
      <c r="K126" s="15"/>
      <c r="L126" s="478"/>
      <c r="M126" s="473"/>
    </row>
    <row r="127" spans="1:13" ht="30" customHeight="1" x14ac:dyDescent="0.2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473"/>
    </row>
    <row r="128" spans="1:13" ht="30" customHeight="1" x14ac:dyDescent="0.2">
      <c r="A128" s="15"/>
      <c r="B128" s="15"/>
      <c r="C128" s="493"/>
      <c r="D128" s="492"/>
      <c r="E128" s="492"/>
      <c r="F128" s="492"/>
      <c r="G128" s="15"/>
      <c r="H128" s="15"/>
      <c r="I128" s="15"/>
      <c r="J128" s="15"/>
      <c r="K128" s="15"/>
      <c r="L128" s="15"/>
      <c r="M128" s="473"/>
    </row>
    <row r="129" spans="1:13" ht="30" customHeight="1" x14ac:dyDescent="0.2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473"/>
    </row>
    <row r="130" spans="1:13" ht="30" customHeight="1" x14ac:dyDescent="0.2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473"/>
    </row>
    <row r="131" spans="1:13" ht="30" customHeight="1" x14ac:dyDescent="0.2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473"/>
    </row>
    <row r="132" spans="1:13" ht="30" customHeight="1" x14ac:dyDescent="0.2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473"/>
    </row>
    <row r="133" spans="1:13" ht="30" customHeight="1" x14ac:dyDescent="0.2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473"/>
    </row>
    <row r="134" spans="1:13" ht="30" customHeight="1" x14ac:dyDescent="0.2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</row>
    <row r="135" spans="1:13" ht="30" customHeight="1" x14ac:dyDescent="0.2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</row>
    <row r="136" spans="1:13" ht="30" customHeight="1" x14ac:dyDescent="0.2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</row>
    <row r="137" spans="1:13" ht="30" customHeight="1" x14ac:dyDescent="0.2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</row>
    <row r="138" spans="1:13" ht="30" customHeight="1" x14ac:dyDescent="0.2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</row>
    <row r="139" spans="1:13" ht="30" customHeight="1" x14ac:dyDescent="0.2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</row>
    <row r="140" spans="1:13" ht="30" customHeight="1" x14ac:dyDescent="0.2">
      <c r="B140" s="472"/>
      <c r="L140" s="478"/>
    </row>
    <row r="141" spans="1:13" ht="30" customHeight="1" x14ac:dyDescent="0.2">
      <c r="B141" s="472"/>
      <c r="L141" s="478"/>
    </row>
    <row r="142" spans="1:13" ht="30" customHeight="1" x14ac:dyDescent="0.2">
      <c r="B142" s="472"/>
      <c r="L142" s="478"/>
    </row>
    <row r="143" spans="1:13" ht="30" customHeight="1" x14ac:dyDescent="0.2">
      <c r="B143" s="472"/>
      <c r="L143" s="478"/>
    </row>
    <row r="144" spans="1:13" ht="30" customHeight="1" x14ac:dyDescent="0.2">
      <c r="B144" s="472"/>
      <c r="L144" s="478"/>
    </row>
    <row r="145" spans="2:12" ht="30" customHeight="1" x14ac:dyDescent="0.2">
      <c r="B145" s="472"/>
      <c r="L145" s="478"/>
    </row>
    <row r="146" spans="2:12" ht="30" customHeight="1" x14ac:dyDescent="0.2">
      <c r="B146" s="472"/>
      <c r="L146" s="478"/>
    </row>
    <row r="147" spans="2:12" ht="30" customHeight="1" x14ac:dyDescent="0.2">
      <c r="B147" s="472"/>
      <c r="L147" s="478"/>
    </row>
    <row r="148" spans="2:12" ht="30" customHeight="1" x14ac:dyDescent="0.2">
      <c r="B148" s="472"/>
      <c r="L148" s="478"/>
    </row>
    <row r="149" spans="2:12" ht="30" customHeight="1" x14ac:dyDescent="0.2">
      <c r="B149" s="472"/>
      <c r="L149" s="478"/>
    </row>
    <row r="150" spans="2:12" ht="11.25" x14ac:dyDescent="0.2">
      <c r="B150" s="472"/>
      <c r="L150" s="478"/>
    </row>
    <row r="151" spans="2:12" ht="11.25" x14ac:dyDescent="0.2">
      <c r="B151" s="472"/>
      <c r="L151" s="478"/>
    </row>
    <row r="152" spans="2:12" ht="11.25" x14ac:dyDescent="0.2">
      <c r="B152" s="472"/>
      <c r="L152" s="478"/>
    </row>
    <row r="153" spans="2:12" ht="11.25" x14ac:dyDescent="0.2">
      <c r="B153" s="472"/>
      <c r="L153" s="478"/>
    </row>
    <row r="154" spans="2:12" ht="11.25" x14ac:dyDescent="0.2">
      <c r="B154" s="472"/>
      <c r="L154" s="478"/>
    </row>
    <row r="155" spans="2:12" ht="12.6" customHeight="1" x14ac:dyDescent="0.2">
      <c r="B155" s="472"/>
      <c r="L155" s="478"/>
    </row>
    <row r="156" spans="2:12" ht="12.6" customHeight="1" x14ac:dyDescent="0.2">
      <c r="B156" s="472"/>
      <c r="L156" s="478"/>
    </row>
    <row r="157" spans="2:12" ht="12.6" customHeight="1" x14ac:dyDescent="0.2">
      <c r="B157" s="472"/>
      <c r="L157" s="478" t="str">
        <f>IF(C24=0,"D","")</f>
        <v/>
      </c>
    </row>
    <row r="158" spans="2:12" ht="12.6" customHeight="1" x14ac:dyDescent="0.2">
      <c r="B158" s="472"/>
      <c r="L158" s="478" t="str">
        <f>IF(C25=0,"D","")</f>
        <v/>
      </c>
    </row>
    <row r="159" spans="2:12" ht="12.6" customHeight="1" x14ac:dyDescent="0.2">
      <c r="B159" s="472"/>
      <c r="L159" s="478" t="str">
        <f>IF(C26=0,"D","")</f>
        <v/>
      </c>
    </row>
    <row r="160" spans="2:12" ht="12.6" customHeight="1" x14ac:dyDescent="0.2">
      <c r="B160" s="472"/>
      <c r="L160" s="478" t="str">
        <f>IF(C27=0,"D","")</f>
        <v/>
      </c>
    </row>
    <row r="161" spans="2:12" ht="12.6" customHeight="1" x14ac:dyDescent="0.2">
      <c r="B161" s="472"/>
      <c r="L161" s="478" t="e">
        <f>IF(#REF!=0,"D","")</f>
        <v>#REF!</v>
      </c>
    </row>
    <row r="162" spans="2:12" ht="12.6" customHeight="1" x14ac:dyDescent="0.2">
      <c r="B162" s="472"/>
      <c r="L162" s="478" t="e">
        <f>IF(#REF!=0,"D","")</f>
        <v>#REF!</v>
      </c>
    </row>
    <row r="163" spans="2:12" ht="12.6" customHeight="1" x14ac:dyDescent="0.2">
      <c r="B163" s="472"/>
      <c r="L163" s="478"/>
    </row>
    <row r="164" spans="2:12" ht="12.6" customHeight="1" x14ac:dyDescent="0.2">
      <c r="B164" s="472"/>
      <c r="L164" s="478"/>
    </row>
    <row r="165" spans="2:12" ht="12.6" customHeight="1" x14ac:dyDescent="0.2">
      <c r="B165" s="472"/>
      <c r="L165" s="478"/>
    </row>
    <row r="166" spans="2:12" ht="12.6" customHeight="1" x14ac:dyDescent="0.2">
      <c r="L166" s="478"/>
    </row>
    <row r="167" spans="2:12" ht="12.6" customHeight="1" x14ac:dyDescent="0.2">
      <c r="L167" s="478"/>
    </row>
    <row r="168" spans="2:12" ht="12.6" customHeight="1" x14ac:dyDescent="0.2">
      <c r="L168" s="478"/>
    </row>
    <row r="169" spans="2:12" ht="12.6" customHeight="1" x14ac:dyDescent="0.2">
      <c r="L169" s="478"/>
    </row>
    <row r="176" spans="2:12" ht="30" customHeight="1" x14ac:dyDescent="0.2"/>
    <row r="177" ht="30" customHeight="1" x14ac:dyDescent="0.2"/>
    <row r="178" ht="30" customHeight="1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6">
    <mergeCell ref="D20:J21"/>
    <mergeCell ref="D67:J68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  <mergeCell ref="E108:F108"/>
    <mergeCell ref="H108:I108"/>
    <mergeCell ref="A108:B108"/>
    <mergeCell ref="F99:G99"/>
    <mergeCell ref="D92:J92"/>
  </mergeCells>
  <phoneticPr fontId="28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3" max="9" man="1"/>
    <brk id="98" max="9" man="1"/>
  </row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G32"/>
  <sheetViews>
    <sheetView zoomScaleNormal="100" workbookViewId="0"/>
  </sheetViews>
  <sheetFormatPr defaultRowHeight="12.75" x14ac:dyDescent="0.2"/>
  <cols>
    <col min="1" max="1" width="7.140625" customWidth="1"/>
    <col min="2" max="2" width="6" customWidth="1"/>
    <col min="3" max="3" width="26.42578125" customWidth="1"/>
    <col min="4" max="4" width="4.5703125" customWidth="1"/>
    <col min="6" max="6" width="4.28515625" customWidth="1"/>
    <col min="7" max="7" width="11.7109375" customWidth="1"/>
    <col min="8" max="23" width="2.7109375" style="15" customWidth="1"/>
    <col min="24" max="33" width="2.7109375" customWidth="1"/>
  </cols>
  <sheetData>
    <row r="1" spans="1:33" ht="19.5" customHeight="1" thickBot="1" x14ac:dyDescent="0.25">
      <c r="A1" s="361"/>
      <c r="B1" t="str">
        <f>"Naam: "&amp;__2_AchterNaam&amp;", "&amp;__3_VoorNaam</f>
        <v xml:space="preserve">Naam: , </v>
      </c>
      <c r="D1" t="str">
        <f>"Geboortedatum: "</f>
        <v xml:space="preserve">Geboortedatum: </v>
      </c>
      <c r="F1" s="1011">
        <f>__4_GebDatum</f>
        <v>1462</v>
      </c>
      <c r="G1" s="1011"/>
      <c r="I1" s="8" t="str">
        <f>"Gewicht: "&amp;ROUND(_Pat_Gewicht/10,1)&amp;"kg"</f>
        <v>Gewicht: 0kg</v>
      </c>
      <c r="P1" s="8" t="s">
        <v>194</v>
      </c>
      <c r="R1" s="1009"/>
      <c r="S1" s="1009"/>
      <c r="T1" s="1009"/>
      <c r="U1" s="1009"/>
      <c r="V1" s="1009"/>
      <c r="W1" s="1009"/>
      <c r="Y1" t="s">
        <v>316</v>
      </c>
      <c r="AB1" s="1010">
        <f ca="1">TODAY()</f>
        <v>42748</v>
      </c>
      <c r="AC1" s="1010"/>
      <c r="AD1" s="1010"/>
      <c r="AE1" s="1010"/>
      <c r="AF1" s="1010"/>
    </row>
    <row r="2" spans="1:33" ht="26.1" customHeight="1" x14ac:dyDescent="0.2">
      <c r="B2" s="90"/>
      <c r="C2" s="91" t="s">
        <v>343</v>
      </c>
      <c r="D2" s="92" t="s">
        <v>344</v>
      </c>
      <c r="E2" s="92"/>
      <c r="F2" s="92"/>
      <c r="G2" s="93" t="s">
        <v>323</v>
      </c>
      <c r="H2" s="94">
        <v>10</v>
      </c>
      <c r="I2" s="94">
        <v>11</v>
      </c>
      <c r="J2" s="94">
        <v>12</v>
      </c>
      <c r="K2" s="94">
        <v>13</v>
      </c>
      <c r="L2" s="94">
        <v>14</v>
      </c>
      <c r="M2" s="94">
        <v>15</v>
      </c>
      <c r="N2" s="94">
        <v>16</v>
      </c>
      <c r="O2" s="94">
        <v>17</v>
      </c>
      <c r="P2" s="94">
        <v>18</v>
      </c>
      <c r="Q2" s="94">
        <v>19</v>
      </c>
      <c r="R2" s="95">
        <v>20</v>
      </c>
      <c r="S2" s="95">
        <v>21</v>
      </c>
      <c r="T2" s="95">
        <v>22</v>
      </c>
      <c r="U2" s="95">
        <v>23</v>
      </c>
      <c r="V2" s="95">
        <v>24</v>
      </c>
      <c r="W2" s="95">
        <v>1</v>
      </c>
      <c r="X2" s="94">
        <v>2</v>
      </c>
      <c r="Y2" s="94">
        <v>3</v>
      </c>
      <c r="Z2" s="94">
        <v>4</v>
      </c>
      <c r="AA2" s="94">
        <v>5</v>
      </c>
      <c r="AB2" s="94">
        <v>6</v>
      </c>
      <c r="AC2" s="94">
        <v>7</v>
      </c>
      <c r="AD2" s="94">
        <v>8</v>
      </c>
      <c r="AE2" s="96"/>
      <c r="AF2" s="96"/>
      <c r="AG2" s="96"/>
    </row>
    <row r="3" spans="1:33" ht="26.1" customHeight="1" x14ac:dyDescent="0.2">
      <c r="B3" s="98"/>
      <c r="C3" s="129" t="str">
        <f>IF(GlobBerMedDisc!C2&lt;&gt;"",IF(GlobBerMedDisc!C2&gt;1,TRIM(GlobBerMedDisc!C2)&amp;", "&amp;GlobBerOpm!#REF!&amp;" ("&amp;GlobBerMedDisc!M2&amp;" "&amp;GlobBerMedDisc!F2&amp;"/kg/dag)",TRIM(GlobBerMedDisc!C2)&amp;", "&amp;GlobBerOpm!#REF!),"")</f>
        <v/>
      </c>
      <c r="D3" s="130" t="str">
        <f>IF(GlobGuiMedDisc!I9&lt;&gt;"",GlobGuiMedDisc!I9,"")</f>
        <v/>
      </c>
      <c r="E3" s="131" t="str">
        <f>IF(AND(D3&lt;&gt;"",D3&lt;&gt;"STOP"),GlobBerMedDisc!H2&amp;" "&amp;GlobBerMedDisc!F2,"")</f>
        <v/>
      </c>
      <c r="F3" s="131" t="str">
        <f>IF(AND(D3&lt;&gt;"",D3&lt;&gt;"STOP"),GlobBerMedDisc!L2," ")</f>
        <v xml:space="preserve"> </v>
      </c>
      <c r="G3" s="131" t="str">
        <f>IF(GlobGuiMedDisc!N9&lt;&gt;"",GlobGuiMedDisc!N9&amp;" "&amp;GlobGuiMedDisc!O9&amp;" "&amp;INDEX(GlobBerMedDisc!$B$27:$B$30,GlobBerMedDisc!O2,1)&amp;" in "&amp;GlobGuiMedDisc!$R$9,"")</f>
        <v/>
      </c>
      <c r="H3" s="97" t="str">
        <f>IF(OR($D3="1 dd",$D3="2 dd",$D3="3 dd",$D3="4 dd",$D3="6 dd",$D3="8 dd",$D3="12 dd",$D3="an",$D3="1 X"),VLOOKUP($D3,PedTblTijden!$A$16:$X$26,PedTblTijden!B$14,FALSE),"")</f>
        <v/>
      </c>
      <c r="I3" s="14" t="str">
        <f>IF(OR($D3="1 dd",$D3="2 dd",$D3="3 dd",$D3="4 dd",$D3="6 dd",$D3="8 dd",$D3="12 dd",$D3="an",$D3="1 X"),VLOOKUP($D3,PedTblTijden!$A$16:$X$26,PedTblTijden!C$14,FALSE),"")</f>
        <v/>
      </c>
      <c r="J3" s="97" t="str">
        <f>IF(OR($D3="1 dd",$D3="2 dd",$D3="3 dd",$D3="4 dd",$D3="6 dd",$D3="8 dd",$D3="12 dd",$D3="an",$D3="1 X"),VLOOKUP($D3,PedTblTijden!$A$16:$X$26,PedTblTijden!D$14,FALSE),"")</f>
        <v/>
      </c>
      <c r="K3" s="14" t="str">
        <f>IF(OR($D3="1 dd",$D3="2 dd",$D3="3 dd",$D3="4 dd",$D3="6 dd",$D3="8 dd",$D3="12 dd",$D3="an",$D3="1 X"),VLOOKUP($D3,PedTblTijden!$A$16:$X$26,PedTblTijden!E$14,FALSE),"")</f>
        <v/>
      </c>
      <c r="L3" s="97" t="str">
        <f>IF(OR($D3="1 dd",$D3="2 dd",$D3="3 dd",$D3="4 dd",$D3="6 dd",$D3="8 dd",$D3="12 dd",$D3="an",$D3="1 X"),VLOOKUP($D3,PedTblTijden!$A$16:$X$26,PedTblTijden!F$14,FALSE),"")</f>
        <v/>
      </c>
      <c r="M3" s="14" t="str">
        <f>IF(OR($D3="1 dd",$D3="2 dd",$D3="3 dd",$D3="4 dd",$D3="6 dd",$D3="8 dd",$D3="12 dd",$D3="an",$D3="1 X"),VLOOKUP($D3,PedTblTijden!$A$16:$X$26,PedTblTijden!G$14,FALSE),"")</f>
        <v/>
      </c>
      <c r="N3" s="97" t="str">
        <f>IF(OR($D3="1 dd",$D3="2 dd",$D3="3 dd",$D3="4 dd",$D3="6 dd",$D3="8 dd",$D3="12 dd",$D3="an",$D3="1 X"),VLOOKUP($D3,PedTblTijden!$A$16:$X$26,PedTblTijden!H$14,FALSE),"")</f>
        <v/>
      </c>
      <c r="O3" s="14" t="str">
        <f>IF(OR($D3="1 dd",$D3="2 dd",$D3="3 dd",$D3="4 dd",$D3="6 dd",$D3="8 dd",$D3="12 dd",$D3="an",$D3="1 X"),VLOOKUP($D3,PedTblTijden!$A$16:$X$26,PedTblTijden!I$14,FALSE),"")</f>
        <v/>
      </c>
      <c r="P3" s="97" t="str">
        <f>IF(OR($D3="1 dd",$D3="2 dd",$D3="3 dd",$D3="4 dd",$D3="6 dd",$D3="8 dd",$D3="12 dd",$D3="an",$D3="1 X"),VLOOKUP($D3,PedTblTijden!$A$16:$X$26,PedTblTijden!J$14,FALSE),"")</f>
        <v/>
      </c>
      <c r="Q3" s="14" t="str">
        <f>IF(OR($D3="1 dd",$D3="2 dd",$D3="3 dd",$D3="4 dd",$D3="6 dd",$D3="8 dd",$D3="12 dd",$D3="an",$D3="1 X"),VLOOKUP($D3,PedTblTijden!$A$16:$X$26,PedTblTijden!K$14,FALSE),"")</f>
        <v/>
      </c>
      <c r="R3" s="97" t="str">
        <f>IF(OR($D3="1 dd",$D3="2 dd",$D3="3 dd",$D3="4 dd",$D3="6 dd",$D3="8 dd",$D3="12 dd",$D3="an",$D3="1 X"),VLOOKUP($D3,PedTblTijden!$A$16:$X$26,PedTblTijden!L$14,FALSE),"")</f>
        <v/>
      </c>
      <c r="S3" s="14" t="str">
        <f>IF(OR($D3="1 dd",$D3="2 dd",$D3="3 dd",$D3="4 dd",$D3="6 dd",$D3="8 dd",$D3="12 dd",$D3="an",$D3="1 X"),VLOOKUP($D3,PedTblTijden!$A$16:$X$26,PedTblTijden!M$14,FALSE),"")</f>
        <v/>
      </c>
      <c r="T3" s="97" t="str">
        <f>IF(OR($D3="1 dd",$D3="2 dd",$D3="3 dd",$D3="4 dd",$D3="6 dd",$D3="8 dd",$D3="12 dd",$D3="an",$D3="1 X"),VLOOKUP($D3,PedTblTijden!$A$16:$X$26,PedTblTijden!N$14,FALSE),"")</f>
        <v/>
      </c>
      <c r="U3" s="14" t="str">
        <f>IF(OR($D3="1 dd",$D3="2 dd",$D3="3 dd",$D3="4 dd",$D3="6 dd",$D3="8 dd",$D3="12 dd",$D3="an",$D3="1 X"),VLOOKUP($D3,PedTblTijden!$A$16:$X$26,PedTblTijden!O$14,FALSE),"")</f>
        <v/>
      </c>
      <c r="V3" s="97" t="str">
        <f>IF(OR($D3="1 dd",$D3="2 dd",$D3="3 dd",$D3="4 dd",$D3="6 dd",$D3="8 dd",$D3="12 dd",$D3="an",$D3="1 X"),VLOOKUP($D3,PedTblTijden!$A$16:$X$26,PedTblTijden!P$14,FALSE),"")</f>
        <v/>
      </c>
      <c r="W3" s="14" t="str">
        <f>IF(OR($D3="1 dd",$D3="2 dd",$D3="3 dd",$D3="4 dd",$D3="6 dd",$D3="8 dd",$D3="12 dd",$D3="an",$D3="1 X"),VLOOKUP($D3,PedTblTijden!$A$16:$X$26,PedTblTijden!Q$14,FALSE),"")</f>
        <v/>
      </c>
      <c r="X3" s="97" t="str">
        <f>IF(OR($D3="1 dd",$D3="2 dd",$D3="3 dd",$D3="4 dd",$D3="6 dd",$D3="8 dd",$D3="12 dd",$D3="an",$D3="1 X"),VLOOKUP($D3,PedTblTijden!$A$16:$X$26,PedTblTijden!R$14,FALSE),"")</f>
        <v/>
      </c>
      <c r="Y3" s="14" t="str">
        <f>IF(OR($D3="1 dd",$D3="2 dd",$D3="3 dd",$D3="4 dd",$D3="6 dd",$D3="8 dd",$D3="12 dd",$D3="an",$D3="1 X"),VLOOKUP($D3,PedTblTijden!$A$16:$X$26,PedTblTijden!S$14,FALSE),"")</f>
        <v/>
      </c>
      <c r="Z3" s="97" t="str">
        <f>IF(OR($D3="1 dd",$D3="2 dd",$D3="3 dd",$D3="4 dd",$D3="6 dd",$D3="8 dd",$D3="12 dd",$D3="an",$D3="1 X"),VLOOKUP($D3,PedTblTijden!$A$16:$X$26,PedTblTijden!T$14,FALSE),"")</f>
        <v/>
      </c>
      <c r="AA3" s="14" t="str">
        <f>IF(OR($D3="1 dd",$D3="2 dd",$D3="3 dd",$D3="4 dd",$D3="6 dd",$D3="8 dd",$D3="12 dd",$D3="an",$D3="1 X"),VLOOKUP($D3,PedTblTijden!$A$16:$X$26,PedTblTijden!U$14,FALSE),"")</f>
        <v/>
      </c>
      <c r="AB3" s="97" t="str">
        <f>IF(OR($D3="1 dd",$D3="2 dd",$D3="3 dd",$D3="4 dd",$D3="6 dd",$D3="8 dd",$D3="12 dd",$D3="an",$D3="1 X"),VLOOKUP($D3,PedTblTijden!$A$16:$X$26,PedTblTijden!V$14,FALSE),"")</f>
        <v/>
      </c>
      <c r="AC3" s="14" t="str">
        <f>IF(OR($D3="1 dd",$D3="2 dd",$D3="3 dd",$D3="4 dd",$D3="6 dd",$D3="8 dd",$D3="12 dd",$D3="an",$D3="1 X"),VLOOKUP($D3,PedTblTijden!$A$16:$X$26,PedTblTijden!W$14,FALSE),"")</f>
        <v/>
      </c>
      <c r="AD3" s="97" t="str">
        <f>IF(OR($D3="1 dd",$D3="2 dd",$D3="3 dd",$D3="4 dd",$D3="6 dd",$D3="8 dd",$D3="12 dd",$D3="an",$D3="1 X"),VLOOKUP($D3,PedTblTijden!$A$16:$X$26,PedTblTijden!X$14,FALSE),"")</f>
        <v/>
      </c>
      <c r="AE3" s="16"/>
      <c r="AF3" s="96"/>
      <c r="AG3" s="16"/>
    </row>
    <row r="4" spans="1:33" ht="26.1" customHeight="1" x14ac:dyDescent="0.2">
      <c r="B4" s="98"/>
      <c r="C4" s="129" t="str">
        <f>IF(GlobBerMedDisc!C3&lt;&gt;"",IF(GlobBerMedDisc!C3&gt;1,TRIM(GlobBerMedDisc!C3)&amp;", "&amp;GlobBerOpm!#REF!&amp;" ("&amp;GlobBerMedDisc!M3&amp;" "&amp;GlobBerMedDisc!F3&amp;"/kg/dag)",TRIM(GlobBerMedDisc!C3)&amp;", "&amp;GlobBerOpm!#REF!),"")</f>
        <v/>
      </c>
      <c r="D4" s="130" t="str">
        <f>IF(GlobGuiMedDisc!I10&lt;&gt;"",GlobGuiMedDisc!I10,"")</f>
        <v/>
      </c>
      <c r="E4" s="131" t="str">
        <f>IF(AND(D4&lt;&gt;"",D4&lt;&gt;"STOP"),GlobBerMedDisc!H3&amp;" "&amp;GlobBerMedDisc!F3,"")</f>
        <v/>
      </c>
      <c r="F4" s="131" t="str">
        <f>IF(AND(D4&lt;&gt;"",D4&lt;&gt;"STOP"),GlobBerMedDisc!L3," ")</f>
        <v xml:space="preserve"> </v>
      </c>
      <c r="G4" s="131" t="str">
        <f>IF(GlobGuiMedDisc!N10&lt;&gt;"",GlobGuiMedDisc!N10&amp;" "&amp;GlobGuiMedDisc!O10&amp;" "&amp;INDEX(GlobBerMedDisc!$B$27:$B$30,GlobBerMedDisc!O3,1)&amp;" in "&amp;GlobGuiMedDisc!$R$10,"")</f>
        <v/>
      </c>
      <c r="H4" s="97" t="str">
        <f>IF(OR($D4="1 dd",$D4="2 dd",$D4="3 dd",$D4="4 dd",$D4="6 dd",$D4="8 dd",$D4="12 dd",$D4="an",$D4="1 X"),VLOOKUP($D4,PedTblTijden!$A$16:$X$26,PedTblTijden!B$14,FALSE),"")</f>
        <v/>
      </c>
      <c r="I4" s="14" t="str">
        <f>IF(OR($D4="1 dd",$D4="2 dd",$D4="3 dd",$D4="4 dd",$D4="6 dd",$D4="8 dd",$D4="12 dd",$D4="an",$D4="1 X"),VLOOKUP($D4,PedTblTijden!$A$16:$X$26,PedTblTijden!C$14,FALSE),"")</f>
        <v/>
      </c>
      <c r="J4" s="97" t="str">
        <f>IF(OR($D4="1 dd",$D4="2 dd",$D4="3 dd",$D4="4 dd",$D4="6 dd",$D4="8 dd",$D4="12 dd",$D4="an",$D4="1 X"),VLOOKUP($D4,PedTblTijden!$A$16:$X$26,PedTblTijden!D$14,FALSE),"")</f>
        <v/>
      </c>
      <c r="K4" s="14" t="str">
        <f>IF(OR($D4="1 dd",$D4="2 dd",$D4="3 dd",$D4="4 dd",$D4="6 dd",$D4="8 dd",$D4="12 dd",$D4="an",$D4="1 X"),VLOOKUP($D4,PedTblTijden!$A$16:$X$26,PedTblTijden!E$14,FALSE),"")</f>
        <v/>
      </c>
      <c r="L4" s="97" t="str">
        <f>IF(OR($D4="1 dd",$D4="2 dd",$D4="3 dd",$D4="4 dd",$D4="6 dd",$D4="8 dd",$D4="12 dd",$D4="an",$D4="1 X"),VLOOKUP($D4,PedTblTijden!$A$16:$X$26,PedTblTijden!F$14,FALSE),"")</f>
        <v/>
      </c>
      <c r="M4" s="14" t="str">
        <f>IF(OR($D4="1 dd",$D4="2 dd",$D4="3 dd",$D4="4 dd",$D4="6 dd",$D4="8 dd",$D4="12 dd",$D4="an",$D4="1 X"),VLOOKUP($D4,PedTblTijden!$A$16:$X$26,PedTblTijden!G$14,FALSE),"")</f>
        <v/>
      </c>
      <c r="N4" s="97" t="str">
        <f>IF(OR($D4="1 dd",$D4="2 dd",$D4="3 dd",$D4="4 dd",$D4="6 dd",$D4="8 dd",$D4="12 dd",$D4="an",$D4="1 X"),VLOOKUP($D4,PedTblTijden!$A$16:$X$26,PedTblTijden!H$14,FALSE),"")</f>
        <v/>
      </c>
      <c r="O4" s="14" t="str">
        <f>IF(OR($D4="1 dd",$D4="2 dd",$D4="3 dd",$D4="4 dd",$D4="6 dd",$D4="8 dd",$D4="12 dd",$D4="an",$D4="1 X"),VLOOKUP($D4,PedTblTijden!$A$16:$X$26,PedTblTijden!I$14,FALSE),"")</f>
        <v/>
      </c>
      <c r="P4" s="97" t="str">
        <f>IF(OR($D4="1 dd",$D4="2 dd",$D4="3 dd",$D4="4 dd",$D4="6 dd",$D4="8 dd",$D4="12 dd",$D4="an",$D4="1 X"),VLOOKUP($D4,PedTblTijden!$A$16:$X$26,PedTblTijden!J$14,FALSE),"")</f>
        <v/>
      </c>
      <c r="Q4" s="14" t="str">
        <f>IF(OR($D4="1 dd",$D4="2 dd",$D4="3 dd",$D4="4 dd",$D4="6 dd",$D4="8 dd",$D4="12 dd",$D4="an",$D4="1 X"),VLOOKUP($D4,PedTblTijden!$A$16:$X$26,PedTblTijden!K$14,FALSE),"")</f>
        <v/>
      </c>
      <c r="R4" s="97" t="str">
        <f>IF(OR($D4="1 dd",$D4="2 dd",$D4="3 dd",$D4="4 dd",$D4="6 dd",$D4="8 dd",$D4="12 dd",$D4="an",$D4="1 X"),VLOOKUP($D4,PedTblTijden!$A$16:$X$26,PedTblTijden!L$14,FALSE),"")</f>
        <v/>
      </c>
      <c r="S4" s="14" t="str">
        <f>IF(OR($D4="1 dd",$D4="2 dd",$D4="3 dd",$D4="4 dd",$D4="6 dd",$D4="8 dd",$D4="12 dd",$D4="an",$D4="1 X"),VLOOKUP($D4,PedTblTijden!$A$16:$X$26,PedTblTijden!M$14,FALSE),"")</f>
        <v/>
      </c>
      <c r="T4" s="97" t="str">
        <f>IF(OR($D4="1 dd",$D4="2 dd",$D4="3 dd",$D4="4 dd",$D4="6 dd",$D4="8 dd",$D4="12 dd",$D4="an",$D4="1 X"),VLOOKUP($D4,PedTblTijden!$A$16:$X$26,PedTblTijden!N$14,FALSE),"")</f>
        <v/>
      </c>
      <c r="U4" s="14" t="str">
        <f>IF(OR($D4="1 dd",$D4="2 dd",$D4="3 dd",$D4="4 dd",$D4="6 dd",$D4="8 dd",$D4="12 dd",$D4="an",$D4="1 X"),VLOOKUP($D4,PedTblTijden!$A$16:$X$26,PedTblTijden!O$14,FALSE),"")</f>
        <v/>
      </c>
      <c r="V4" s="97" t="str">
        <f>IF(OR($D4="1 dd",$D4="2 dd",$D4="3 dd",$D4="4 dd",$D4="6 dd",$D4="8 dd",$D4="12 dd",$D4="an",$D4="1 X"),VLOOKUP($D4,PedTblTijden!$A$16:$X$26,PedTblTijden!P$14,FALSE),"")</f>
        <v/>
      </c>
      <c r="W4" s="14" t="str">
        <f>IF(OR($D4="1 dd",$D4="2 dd",$D4="3 dd",$D4="4 dd",$D4="6 dd",$D4="8 dd",$D4="12 dd",$D4="an",$D4="1 X"),VLOOKUP($D4,PedTblTijden!$A$16:$X$26,PedTblTijden!Q$14,FALSE),"")</f>
        <v/>
      </c>
      <c r="X4" s="97" t="str">
        <f>IF(OR($D4="1 dd",$D4="2 dd",$D4="3 dd",$D4="4 dd",$D4="6 dd",$D4="8 dd",$D4="12 dd",$D4="an",$D4="1 X"),VLOOKUP($D4,PedTblTijden!$A$16:$X$26,PedTblTijden!R$14,FALSE),"")</f>
        <v/>
      </c>
      <c r="Y4" s="14" t="str">
        <f>IF(OR($D4="1 dd",$D4="2 dd",$D4="3 dd",$D4="4 dd",$D4="6 dd",$D4="8 dd",$D4="12 dd",$D4="an",$D4="1 X"),VLOOKUP($D4,PedTblTijden!$A$16:$X$26,PedTblTijden!S$14,FALSE),"")</f>
        <v/>
      </c>
      <c r="Z4" s="97" t="str">
        <f>IF(OR($D4="1 dd",$D4="2 dd",$D4="3 dd",$D4="4 dd",$D4="6 dd",$D4="8 dd",$D4="12 dd",$D4="an",$D4="1 X"),VLOOKUP($D4,PedTblTijden!$A$16:$X$26,PedTblTijden!T$14,FALSE),"")</f>
        <v/>
      </c>
      <c r="AA4" s="14" t="str">
        <f>IF(OR($D4="1 dd",$D4="2 dd",$D4="3 dd",$D4="4 dd",$D4="6 dd",$D4="8 dd",$D4="12 dd",$D4="an",$D4="1 X"),VLOOKUP($D4,PedTblTijden!$A$16:$X$26,PedTblTijden!U$14,FALSE),"")</f>
        <v/>
      </c>
      <c r="AB4" s="97" t="str">
        <f>IF(OR($D4="1 dd",$D4="2 dd",$D4="3 dd",$D4="4 dd",$D4="6 dd",$D4="8 dd",$D4="12 dd",$D4="an",$D4="1 X"),VLOOKUP($D4,PedTblTijden!$A$16:$X$26,PedTblTijden!V$14,FALSE),"")</f>
        <v/>
      </c>
      <c r="AC4" s="14" t="str">
        <f>IF(OR($D4="1 dd",$D4="2 dd",$D4="3 dd",$D4="4 dd",$D4="6 dd",$D4="8 dd",$D4="12 dd",$D4="an",$D4="1 X"),VLOOKUP($D4,PedTblTijden!$A$16:$X$26,PedTblTijden!W$14,FALSE),"")</f>
        <v/>
      </c>
      <c r="AD4" s="97" t="str">
        <f>IF(OR($D4="1 dd",$D4="2 dd",$D4="3 dd",$D4="4 dd",$D4="6 dd",$D4="8 dd",$D4="12 dd",$D4="an",$D4="1 X"),VLOOKUP($D4,PedTblTijden!$A$16:$X$26,PedTblTijden!X$14,FALSE),"")</f>
        <v/>
      </c>
      <c r="AE4" s="16"/>
      <c r="AF4" s="96"/>
      <c r="AG4" s="16"/>
    </row>
    <row r="5" spans="1:33" ht="26.1" customHeight="1" x14ac:dyDescent="0.2">
      <c r="B5" s="98"/>
      <c r="C5" s="129" t="str">
        <f>IF(GlobBerMedDisc!C4&lt;&gt;"",IF(GlobBerMedDisc!C4&gt;1,TRIM(GlobBerMedDisc!C4)&amp;", "&amp;GlobBerOpm!#REF!&amp;" ("&amp;GlobBerMedDisc!M4&amp;" "&amp;GlobBerMedDisc!F4&amp;"/kg/dag)",TRIM(GlobBerMedDisc!C4)&amp;", "&amp;GlobBerOpm!#REF!),"")</f>
        <v/>
      </c>
      <c r="D5" s="130" t="str">
        <f>IF(GlobGuiMedDisc!I11&lt;&gt;"",GlobGuiMedDisc!I11,"")</f>
        <v/>
      </c>
      <c r="E5" s="131" t="str">
        <f>IF(AND(D5&lt;&gt;"",D5&lt;&gt;"STOP"),GlobBerMedDisc!H4&amp;" "&amp;GlobBerMedDisc!F4,"")</f>
        <v/>
      </c>
      <c r="F5" s="131" t="str">
        <f>IF(AND(D5&lt;&gt;"",D5&lt;&gt;"STOP"),GlobBerMedDisc!L4," ")</f>
        <v xml:space="preserve"> </v>
      </c>
      <c r="G5" s="131" t="str">
        <f>IF(GlobGuiMedDisc!N11&lt;&gt;"",GlobGuiMedDisc!N11&amp;" "&amp;GlobGuiMedDisc!O11&amp;" "&amp;INDEX(GlobBerMedDisc!$B$27:$B$30,GlobBerMedDisc!O4,1)&amp;" in "&amp;GlobGuiMedDisc!$R$11,"")</f>
        <v/>
      </c>
      <c r="H5" s="97" t="str">
        <f>IF(OR($D5="1 dd",$D5="2 dd",$D5="3 dd",$D5="4 dd",$D5="6 dd",$D5="8 dd",$D5="12 dd",$D5="an",$D5="1 X"),VLOOKUP($D5,PedTblTijden!$A$16:$X$26,PedTblTijden!B$14,FALSE),"")</f>
        <v/>
      </c>
      <c r="I5" s="14" t="str">
        <f>IF(OR($D5="1 dd",$D5="2 dd",$D5="3 dd",$D5="4 dd",$D5="6 dd",$D5="8 dd",$D5="12 dd",$D5="an",$D5="1 X"),VLOOKUP($D5,PedTblTijden!$A$16:$X$26,PedTblTijden!C$14,FALSE),"")</f>
        <v/>
      </c>
      <c r="J5" s="97" t="str">
        <f>IF(OR($D5="1 dd",$D5="2 dd",$D5="3 dd",$D5="4 dd",$D5="6 dd",$D5="8 dd",$D5="12 dd",$D5="an",$D5="1 X"),VLOOKUP($D5,PedTblTijden!$A$16:$X$26,PedTblTijden!D$14,FALSE),"")</f>
        <v/>
      </c>
      <c r="K5" s="14" t="str">
        <f>IF(OR($D5="1 dd",$D5="2 dd",$D5="3 dd",$D5="4 dd",$D5="6 dd",$D5="8 dd",$D5="12 dd",$D5="an",$D5="1 X"),VLOOKUP($D5,PedTblTijden!$A$16:$X$26,PedTblTijden!E$14,FALSE),"")</f>
        <v/>
      </c>
      <c r="L5" s="97" t="str">
        <f>IF(OR($D5="1 dd",$D5="2 dd",$D5="3 dd",$D5="4 dd",$D5="6 dd",$D5="8 dd",$D5="12 dd",$D5="an",$D5="1 X"),VLOOKUP($D5,PedTblTijden!$A$16:$X$26,PedTblTijden!F$14,FALSE),"")</f>
        <v/>
      </c>
      <c r="M5" s="14" t="str">
        <f>IF(OR($D5="1 dd",$D5="2 dd",$D5="3 dd",$D5="4 dd",$D5="6 dd",$D5="8 dd",$D5="12 dd",$D5="an",$D5="1 X"),VLOOKUP($D5,PedTblTijden!$A$16:$X$26,PedTblTijden!G$14,FALSE),"")</f>
        <v/>
      </c>
      <c r="N5" s="97" t="str">
        <f>IF(OR($D5="1 dd",$D5="2 dd",$D5="3 dd",$D5="4 dd",$D5="6 dd",$D5="8 dd",$D5="12 dd",$D5="an",$D5="1 X"),VLOOKUP($D5,PedTblTijden!$A$16:$X$26,PedTblTijden!H$14,FALSE),"")</f>
        <v/>
      </c>
      <c r="O5" s="14" t="str">
        <f>IF(OR($D5="1 dd",$D5="2 dd",$D5="3 dd",$D5="4 dd",$D5="6 dd",$D5="8 dd",$D5="12 dd",$D5="an",$D5="1 X"),VLOOKUP($D5,PedTblTijden!$A$16:$X$26,PedTblTijden!I$14,FALSE),"")</f>
        <v/>
      </c>
      <c r="P5" s="97" t="str">
        <f>IF(OR($D5="1 dd",$D5="2 dd",$D5="3 dd",$D5="4 dd",$D5="6 dd",$D5="8 dd",$D5="12 dd",$D5="an",$D5="1 X"),VLOOKUP($D5,PedTblTijden!$A$16:$X$26,PedTblTijden!J$14,FALSE),"")</f>
        <v/>
      </c>
      <c r="Q5" s="14" t="str">
        <f>IF(OR($D5="1 dd",$D5="2 dd",$D5="3 dd",$D5="4 dd",$D5="6 dd",$D5="8 dd",$D5="12 dd",$D5="an",$D5="1 X"),VLOOKUP($D5,PedTblTijden!$A$16:$X$26,PedTblTijden!K$14,FALSE),"")</f>
        <v/>
      </c>
      <c r="R5" s="97" t="str">
        <f>IF(OR($D5="1 dd",$D5="2 dd",$D5="3 dd",$D5="4 dd",$D5="6 dd",$D5="8 dd",$D5="12 dd",$D5="an",$D5="1 X"),VLOOKUP($D5,PedTblTijden!$A$16:$X$26,PedTblTijden!L$14,FALSE),"")</f>
        <v/>
      </c>
      <c r="S5" s="14" t="str">
        <f>IF(OR($D5="1 dd",$D5="2 dd",$D5="3 dd",$D5="4 dd",$D5="6 dd",$D5="8 dd",$D5="12 dd",$D5="an",$D5="1 X"),VLOOKUP($D5,PedTblTijden!$A$16:$X$26,PedTblTijden!M$14,FALSE),"")</f>
        <v/>
      </c>
      <c r="T5" s="97" t="str">
        <f>IF(OR($D5="1 dd",$D5="2 dd",$D5="3 dd",$D5="4 dd",$D5="6 dd",$D5="8 dd",$D5="12 dd",$D5="an",$D5="1 X"),VLOOKUP($D5,PedTblTijden!$A$16:$X$26,PedTblTijden!N$14,FALSE),"")</f>
        <v/>
      </c>
      <c r="U5" s="14" t="str">
        <f>IF(OR($D5="1 dd",$D5="2 dd",$D5="3 dd",$D5="4 dd",$D5="6 dd",$D5="8 dd",$D5="12 dd",$D5="an",$D5="1 X"),VLOOKUP($D5,PedTblTijden!$A$16:$X$26,PedTblTijden!O$14,FALSE),"")</f>
        <v/>
      </c>
      <c r="V5" s="97" t="str">
        <f>IF(OR($D5="1 dd",$D5="2 dd",$D5="3 dd",$D5="4 dd",$D5="6 dd",$D5="8 dd",$D5="12 dd",$D5="an",$D5="1 X"),VLOOKUP($D5,PedTblTijden!$A$16:$X$26,PedTblTijden!P$14,FALSE),"")</f>
        <v/>
      </c>
      <c r="W5" s="14" t="str">
        <f>IF(OR($D5="1 dd",$D5="2 dd",$D5="3 dd",$D5="4 dd",$D5="6 dd",$D5="8 dd",$D5="12 dd",$D5="an",$D5="1 X"),VLOOKUP($D5,PedTblTijden!$A$16:$X$26,PedTblTijden!Q$14,FALSE),"")</f>
        <v/>
      </c>
      <c r="X5" s="97" t="str">
        <f>IF(OR($D5="1 dd",$D5="2 dd",$D5="3 dd",$D5="4 dd",$D5="6 dd",$D5="8 dd",$D5="12 dd",$D5="an",$D5="1 X"),VLOOKUP($D5,PedTblTijden!$A$16:$X$26,PedTblTijden!R$14,FALSE),"")</f>
        <v/>
      </c>
      <c r="Y5" s="14" t="str">
        <f>IF(OR($D5="1 dd",$D5="2 dd",$D5="3 dd",$D5="4 dd",$D5="6 dd",$D5="8 dd",$D5="12 dd",$D5="an",$D5="1 X"),VLOOKUP($D5,PedTblTijden!$A$16:$X$26,PedTblTijden!S$14,FALSE),"")</f>
        <v/>
      </c>
      <c r="Z5" s="97" t="str">
        <f>IF(OR($D5="1 dd",$D5="2 dd",$D5="3 dd",$D5="4 dd",$D5="6 dd",$D5="8 dd",$D5="12 dd",$D5="an",$D5="1 X"),VLOOKUP($D5,PedTblTijden!$A$16:$X$26,PedTblTijden!T$14,FALSE),"")</f>
        <v/>
      </c>
      <c r="AA5" s="14" t="str">
        <f>IF(OR($D5="1 dd",$D5="2 dd",$D5="3 dd",$D5="4 dd",$D5="6 dd",$D5="8 dd",$D5="12 dd",$D5="an",$D5="1 X"),VLOOKUP($D5,PedTblTijden!$A$16:$X$26,PedTblTijden!U$14,FALSE),"")</f>
        <v/>
      </c>
      <c r="AB5" s="97" t="str">
        <f>IF(OR($D5="1 dd",$D5="2 dd",$D5="3 dd",$D5="4 dd",$D5="6 dd",$D5="8 dd",$D5="12 dd",$D5="an",$D5="1 X"),VLOOKUP($D5,PedTblTijden!$A$16:$X$26,PedTblTijden!V$14,FALSE),"")</f>
        <v/>
      </c>
      <c r="AC5" s="14" t="str">
        <f>IF(OR($D5="1 dd",$D5="2 dd",$D5="3 dd",$D5="4 dd",$D5="6 dd",$D5="8 dd",$D5="12 dd",$D5="an",$D5="1 X"),VLOOKUP($D5,PedTblTijden!$A$16:$X$26,PedTblTijden!W$14,FALSE),"")</f>
        <v/>
      </c>
      <c r="AD5" s="97" t="str">
        <f>IF(OR($D5="1 dd",$D5="2 dd",$D5="3 dd",$D5="4 dd",$D5="6 dd",$D5="8 dd",$D5="12 dd",$D5="an",$D5="1 X"),VLOOKUP($D5,PedTblTijden!$A$16:$X$26,PedTblTijden!X$14,FALSE),"")</f>
        <v/>
      </c>
      <c r="AE5" s="16"/>
      <c r="AF5" s="96"/>
      <c r="AG5" s="16"/>
    </row>
    <row r="6" spans="1:33" ht="26.1" customHeight="1" x14ac:dyDescent="0.2">
      <c r="A6" s="361"/>
      <c r="B6" s="98"/>
      <c r="C6" s="129" t="str">
        <f>IF(GlobBerMedDisc!C5&lt;&gt;"",IF(GlobBerMedDisc!C5&gt;1,TRIM(GlobBerMedDisc!C5)&amp;", "&amp;GlobBerOpm!#REF!&amp;" ("&amp;GlobBerMedDisc!M5&amp;" "&amp;GlobBerMedDisc!F5&amp;"/kg/dag)",TRIM(GlobBerMedDisc!C5)&amp;", "&amp;GlobBerOpm!#REF!),"")</f>
        <v/>
      </c>
      <c r="D6" s="130" t="str">
        <f>IF(GlobGuiMedDisc!I12&lt;&gt;"",GlobGuiMedDisc!I12,"")</f>
        <v/>
      </c>
      <c r="E6" s="131" t="str">
        <f>IF(AND(D6&lt;&gt;"",D6&lt;&gt;"STOP"),GlobBerMedDisc!H5&amp;" "&amp;GlobBerMedDisc!F5,"")</f>
        <v/>
      </c>
      <c r="F6" s="131" t="str">
        <f>IF(AND(D6&lt;&gt;"",D6&lt;&gt;"STOP"),GlobBerMedDisc!L5," ")</f>
        <v xml:space="preserve"> </v>
      </c>
      <c r="G6" s="131" t="str">
        <f>IF(GlobGuiMedDisc!N12&lt;&gt;"",GlobGuiMedDisc!N12&amp;" "&amp;GlobGuiMedDisc!O12&amp;" "&amp;INDEX(GlobBerMedDisc!$B$27:$B$30,GlobBerMedDisc!O5,1)&amp;" in "&amp;GlobGuiMedDisc!$R$12,"")</f>
        <v/>
      </c>
      <c r="H6" s="97" t="str">
        <f>IF(OR($D6="1 dd",$D6="2 dd",$D6="3 dd",$D6="4 dd",$D6="6 dd",$D6="8 dd",$D6="12 dd",$D6="an",$D6="1 X"),VLOOKUP($D6,PedTblTijden!$A$16:$X$26,PedTblTijden!B$14,FALSE),"")</f>
        <v/>
      </c>
      <c r="I6" s="14" t="str">
        <f>IF(OR($D6="1 dd",$D6="2 dd",$D6="3 dd",$D6="4 dd",$D6="6 dd",$D6="8 dd",$D6="12 dd",$D6="an",$D6="1 X"),VLOOKUP($D6,PedTblTijden!$A$16:$X$26,PedTblTijden!C$14,FALSE),"")</f>
        <v/>
      </c>
      <c r="J6" s="97" t="str">
        <f>IF(OR($D6="1 dd",$D6="2 dd",$D6="3 dd",$D6="4 dd",$D6="6 dd",$D6="8 dd",$D6="12 dd",$D6="an",$D6="1 X"),VLOOKUP($D6,PedTblTijden!$A$16:$X$26,PedTblTijden!D$14,FALSE),"")</f>
        <v/>
      </c>
      <c r="K6" s="14" t="str">
        <f>IF(OR($D6="1 dd",$D6="2 dd",$D6="3 dd",$D6="4 dd",$D6="6 dd",$D6="8 dd",$D6="12 dd",$D6="an",$D6="1 X"),VLOOKUP($D6,PedTblTijden!$A$16:$X$26,PedTblTijden!E$14,FALSE),"")</f>
        <v/>
      </c>
      <c r="L6" s="97" t="str">
        <f>IF(OR($D6="1 dd",$D6="2 dd",$D6="3 dd",$D6="4 dd",$D6="6 dd",$D6="8 dd",$D6="12 dd",$D6="an",$D6="1 X"),VLOOKUP($D6,PedTblTijden!$A$16:$X$26,PedTblTijden!F$14,FALSE),"")</f>
        <v/>
      </c>
      <c r="M6" s="14" t="str">
        <f>IF(OR($D6="1 dd",$D6="2 dd",$D6="3 dd",$D6="4 dd",$D6="6 dd",$D6="8 dd",$D6="12 dd",$D6="an",$D6="1 X"),VLOOKUP($D6,PedTblTijden!$A$16:$X$26,PedTblTijden!G$14,FALSE),"")</f>
        <v/>
      </c>
      <c r="N6" s="97" t="str">
        <f>IF(OR($D6="1 dd",$D6="2 dd",$D6="3 dd",$D6="4 dd",$D6="6 dd",$D6="8 dd",$D6="12 dd",$D6="an",$D6="1 X"),VLOOKUP($D6,PedTblTijden!$A$16:$X$26,PedTblTijden!H$14,FALSE),"")</f>
        <v/>
      </c>
      <c r="O6" s="14" t="str">
        <f>IF(OR($D6="1 dd",$D6="2 dd",$D6="3 dd",$D6="4 dd",$D6="6 dd",$D6="8 dd",$D6="12 dd",$D6="an",$D6="1 X"),VLOOKUP($D6,PedTblTijden!$A$16:$X$26,PedTblTijden!I$14,FALSE),"")</f>
        <v/>
      </c>
      <c r="P6" s="97" t="str">
        <f>IF(OR($D6="1 dd",$D6="2 dd",$D6="3 dd",$D6="4 dd",$D6="6 dd",$D6="8 dd",$D6="12 dd",$D6="an",$D6="1 X"),VLOOKUP($D6,PedTblTijden!$A$16:$X$26,PedTblTijden!J$14,FALSE),"")</f>
        <v/>
      </c>
      <c r="Q6" s="14" t="str">
        <f>IF(OR($D6="1 dd",$D6="2 dd",$D6="3 dd",$D6="4 dd",$D6="6 dd",$D6="8 dd",$D6="12 dd",$D6="an",$D6="1 X"),VLOOKUP($D6,PedTblTijden!$A$16:$X$26,PedTblTijden!K$14,FALSE),"")</f>
        <v/>
      </c>
      <c r="R6" s="97" t="str">
        <f>IF(OR($D6="1 dd",$D6="2 dd",$D6="3 dd",$D6="4 dd",$D6="6 dd",$D6="8 dd",$D6="12 dd",$D6="an",$D6="1 X"),VLOOKUP($D6,PedTblTijden!$A$16:$X$26,PedTblTijden!L$14,FALSE),"")</f>
        <v/>
      </c>
      <c r="S6" s="14" t="str">
        <f>IF(OR($D6="1 dd",$D6="2 dd",$D6="3 dd",$D6="4 dd",$D6="6 dd",$D6="8 dd",$D6="12 dd",$D6="an",$D6="1 X"),VLOOKUP($D6,PedTblTijden!$A$16:$X$26,PedTblTijden!M$14,FALSE),"")</f>
        <v/>
      </c>
      <c r="T6" s="97" t="str">
        <f>IF(OR($D6="1 dd",$D6="2 dd",$D6="3 dd",$D6="4 dd",$D6="6 dd",$D6="8 dd",$D6="12 dd",$D6="an",$D6="1 X"),VLOOKUP($D6,PedTblTijden!$A$16:$X$26,PedTblTijden!N$14,FALSE),"")</f>
        <v/>
      </c>
      <c r="U6" s="14" t="str">
        <f>IF(OR($D6="1 dd",$D6="2 dd",$D6="3 dd",$D6="4 dd",$D6="6 dd",$D6="8 dd",$D6="12 dd",$D6="an",$D6="1 X"),VLOOKUP($D6,PedTblTijden!$A$16:$X$26,PedTblTijden!O$14,FALSE),"")</f>
        <v/>
      </c>
      <c r="V6" s="97" t="str">
        <f>IF(OR($D6="1 dd",$D6="2 dd",$D6="3 dd",$D6="4 dd",$D6="6 dd",$D6="8 dd",$D6="12 dd",$D6="an",$D6="1 X"),VLOOKUP($D6,PedTblTijden!$A$16:$X$26,PedTblTijden!P$14,FALSE),"")</f>
        <v/>
      </c>
      <c r="W6" s="14" t="str">
        <f>IF(OR($D6="1 dd",$D6="2 dd",$D6="3 dd",$D6="4 dd",$D6="6 dd",$D6="8 dd",$D6="12 dd",$D6="an",$D6="1 X"),VLOOKUP($D6,PedTblTijden!$A$16:$X$26,PedTblTijden!Q$14,FALSE),"")</f>
        <v/>
      </c>
      <c r="X6" s="97" t="str">
        <f>IF(OR($D6="1 dd",$D6="2 dd",$D6="3 dd",$D6="4 dd",$D6="6 dd",$D6="8 dd",$D6="12 dd",$D6="an",$D6="1 X"),VLOOKUP($D6,PedTblTijden!$A$16:$X$26,PedTblTijden!R$14,FALSE),"")</f>
        <v/>
      </c>
      <c r="Y6" s="14" t="str">
        <f>IF(OR($D6="1 dd",$D6="2 dd",$D6="3 dd",$D6="4 dd",$D6="6 dd",$D6="8 dd",$D6="12 dd",$D6="an",$D6="1 X"),VLOOKUP($D6,PedTblTijden!$A$16:$X$26,PedTblTijden!S$14,FALSE),"")</f>
        <v/>
      </c>
      <c r="Z6" s="97" t="str">
        <f>IF(OR($D6="1 dd",$D6="2 dd",$D6="3 dd",$D6="4 dd",$D6="6 dd",$D6="8 dd",$D6="12 dd",$D6="an",$D6="1 X"),VLOOKUP($D6,PedTblTijden!$A$16:$X$26,PedTblTijden!T$14,FALSE),"")</f>
        <v/>
      </c>
      <c r="AA6" s="14" t="str">
        <f>IF(OR($D6="1 dd",$D6="2 dd",$D6="3 dd",$D6="4 dd",$D6="6 dd",$D6="8 dd",$D6="12 dd",$D6="an",$D6="1 X"),VLOOKUP($D6,PedTblTijden!$A$16:$X$26,PedTblTijden!U$14,FALSE),"")</f>
        <v/>
      </c>
      <c r="AB6" s="97" t="str">
        <f>IF(OR($D6="1 dd",$D6="2 dd",$D6="3 dd",$D6="4 dd",$D6="6 dd",$D6="8 dd",$D6="12 dd",$D6="an",$D6="1 X"),VLOOKUP($D6,PedTblTijden!$A$16:$X$26,PedTblTijden!V$14,FALSE),"")</f>
        <v/>
      </c>
      <c r="AC6" s="14" t="str">
        <f>IF(OR($D6="1 dd",$D6="2 dd",$D6="3 dd",$D6="4 dd",$D6="6 dd",$D6="8 dd",$D6="12 dd",$D6="an",$D6="1 X"),VLOOKUP($D6,PedTblTijden!$A$16:$X$26,PedTblTijden!W$14,FALSE),"")</f>
        <v/>
      </c>
      <c r="AD6" s="97" t="str">
        <f>IF(OR($D6="1 dd",$D6="2 dd",$D6="3 dd",$D6="4 dd",$D6="6 dd",$D6="8 dd",$D6="12 dd",$D6="an",$D6="1 X"),VLOOKUP($D6,PedTblTijden!$A$16:$X$26,PedTblTijden!X$14,FALSE),"")</f>
        <v/>
      </c>
      <c r="AE6" s="16"/>
      <c r="AF6" s="96"/>
      <c r="AG6" s="16"/>
    </row>
    <row r="7" spans="1:33" ht="26.1" customHeight="1" x14ac:dyDescent="0.2">
      <c r="B7" s="98"/>
      <c r="C7" s="129" t="str">
        <f>IF(GlobBerMedDisc!C6&lt;&gt;"",IF(GlobBerMedDisc!C6&gt;1,TRIM(GlobBerMedDisc!C6)&amp;", "&amp;GlobBerOpm!#REF!&amp;" ("&amp;GlobBerMedDisc!M6&amp;" "&amp;GlobBerMedDisc!F6&amp;"/kg/dag)",TRIM(GlobBerMedDisc!C6)&amp;", "&amp;GlobBerOpm!#REF!),"")</f>
        <v/>
      </c>
      <c r="D7" s="130" t="str">
        <f>IF(GlobGuiMedDisc!I13&lt;&gt;"",GlobGuiMedDisc!I13,"")</f>
        <v/>
      </c>
      <c r="E7" s="131" t="str">
        <f>IF(AND(D7&lt;&gt;"",D7&lt;&gt;"STOP"),GlobBerMedDisc!H6&amp;" "&amp;GlobBerMedDisc!F6,"")</f>
        <v/>
      </c>
      <c r="F7" s="131" t="str">
        <f>IF(AND(D7&lt;&gt;"",D7&lt;&gt;"STOP"),GlobBerMedDisc!L6," ")</f>
        <v xml:space="preserve"> </v>
      </c>
      <c r="G7" s="131" t="str">
        <f>IF(GlobGuiMedDisc!N13&lt;&gt;"",GlobGuiMedDisc!N13&amp;" "&amp;GlobGuiMedDisc!O13&amp;" "&amp;INDEX(GlobBerMedDisc!$B$27:$B$30,GlobBerMedDisc!O6,1)&amp;" in "&amp;GlobGuiMedDisc!$R$13,"")</f>
        <v/>
      </c>
      <c r="H7" s="97" t="str">
        <f>IF(OR($D7="1 dd",$D7="2 dd",$D7="3 dd",$D7="4 dd",$D7="6 dd",$D7="8 dd",$D7="12 dd",$D7="an",$D7="1 X"),VLOOKUP($D7,PedTblTijden!$A$16:$X$26,PedTblTijden!B$14,FALSE),"")</f>
        <v/>
      </c>
      <c r="I7" s="14" t="str">
        <f>IF(OR($D7="1 dd",$D7="2 dd",$D7="3 dd",$D7="4 dd",$D7="6 dd",$D7="8 dd",$D7="12 dd",$D7="an",$D7="1 X"),VLOOKUP($D7,PedTblTijden!$A$16:$X$26,PedTblTijden!C$14,FALSE),"")</f>
        <v/>
      </c>
      <c r="J7" s="97" t="str">
        <f>IF(OR($D7="1 dd",$D7="2 dd",$D7="3 dd",$D7="4 dd",$D7="6 dd",$D7="8 dd",$D7="12 dd",$D7="an",$D7="1 X"),VLOOKUP($D7,PedTblTijden!$A$16:$X$26,PedTblTijden!D$14,FALSE),"")</f>
        <v/>
      </c>
      <c r="K7" s="14" t="str">
        <f>IF(OR($D7="1 dd",$D7="2 dd",$D7="3 dd",$D7="4 dd",$D7="6 dd",$D7="8 dd",$D7="12 dd",$D7="an",$D7="1 X"),VLOOKUP($D7,PedTblTijden!$A$16:$X$26,PedTblTijden!E$14,FALSE),"")</f>
        <v/>
      </c>
      <c r="L7" s="97" t="str">
        <f>IF(OR($D7="1 dd",$D7="2 dd",$D7="3 dd",$D7="4 dd",$D7="6 dd",$D7="8 dd",$D7="12 dd",$D7="an",$D7="1 X"),VLOOKUP($D7,PedTblTijden!$A$16:$X$26,PedTblTijden!F$14,FALSE),"")</f>
        <v/>
      </c>
      <c r="M7" s="14" t="str">
        <f>IF(OR($D7="1 dd",$D7="2 dd",$D7="3 dd",$D7="4 dd",$D7="6 dd",$D7="8 dd",$D7="12 dd",$D7="an",$D7="1 X"),VLOOKUP($D7,PedTblTijden!$A$16:$X$26,PedTblTijden!G$14,FALSE),"")</f>
        <v/>
      </c>
      <c r="N7" s="97" t="str">
        <f>IF(OR($D7="1 dd",$D7="2 dd",$D7="3 dd",$D7="4 dd",$D7="6 dd",$D7="8 dd",$D7="12 dd",$D7="an",$D7="1 X"),VLOOKUP($D7,PedTblTijden!$A$16:$X$26,PedTblTijden!H$14,FALSE),"")</f>
        <v/>
      </c>
      <c r="O7" s="14" t="str">
        <f>IF(OR($D7="1 dd",$D7="2 dd",$D7="3 dd",$D7="4 dd",$D7="6 dd",$D7="8 dd",$D7="12 dd",$D7="an",$D7="1 X"),VLOOKUP($D7,PedTblTijden!$A$16:$X$26,PedTblTijden!I$14,FALSE),"")</f>
        <v/>
      </c>
      <c r="P7" s="97" t="str">
        <f>IF(OR($D7="1 dd",$D7="2 dd",$D7="3 dd",$D7="4 dd",$D7="6 dd",$D7="8 dd",$D7="12 dd",$D7="an",$D7="1 X"),VLOOKUP($D7,PedTblTijden!$A$16:$X$26,PedTblTijden!J$14,FALSE),"")</f>
        <v/>
      </c>
      <c r="Q7" s="14" t="str">
        <f>IF(OR($D7="1 dd",$D7="2 dd",$D7="3 dd",$D7="4 dd",$D7="6 dd",$D7="8 dd",$D7="12 dd",$D7="an",$D7="1 X"),VLOOKUP($D7,PedTblTijden!$A$16:$X$26,PedTblTijden!K$14,FALSE),"")</f>
        <v/>
      </c>
      <c r="R7" s="97" t="str">
        <f>IF(OR($D7="1 dd",$D7="2 dd",$D7="3 dd",$D7="4 dd",$D7="6 dd",$D7="8 dd",$D7="12 dd",$D7="an",$D7="1 X"),VLOOKUP($D7,PedTblTijden!$A$16:$X$26,PedTblTijden!L$14,FALSE),"")</f>
        <v/>
      </c>
      <c r="S7" s="14" t="str">
        <f>IF(OR($D7="1 dd",$D7="2 dd",$D7="3 dd",$D7="4 dd",$D7="6 dd",$D7="8 dd",$D7="12 dd",$D7="an",$D7="1 X"),VLOOKUP($D7,PedTblTijden!$A$16:$X$26,PedTblTijden!M$14,FALSE),"")</f>
        <v/>
      </c>
      <c r="T7" s="97" t="str">
        <f>IF(OR($D7="1 dd",$D7="2 dd",$D7="3 dd",$D7="4 dd",$D7="6 dd",$D7="8 dd",$D7="12 dd",$D7="an",$D7="1 X"),VLOOKUP($D7,PedTblTijden!$A$16:$X$26,PedTblTijden!N$14,FALSE),"")</f>
        <v/>
      </c>
      <c r="U7" s="14" t="str">
        <f>IF(OR($D7="1 dd",$D7="2 dd",$D7="3 dd",$D7="4 dd",$D7="6 dd",$D7="8 dd",$D7="12 dd",$D7="an",$D7="1 X"),VLOOKUP($D7,PedTblTijden!$A$16:$X$26,PedTblTijden!O$14,FALSE),"")</f>
        <v/>
      </c>
      <c r="V7" s="97" t="str">
        <f>IF(OR($D7="1 dd",$D7="2 dd",$D7="3 dd",$D7="4 dd",$D7="6 dd",$D7="8 dd",$D7="12 dd",$D7="an",$D7="1 X"),VLOOKUP($D7,PedTblTijden!$A$16:$X$26,PedTblTijden!P$14,FALSE),"")</f>
        <v/>
      </c>
      <c r="W7" s="14" t="str">
        <f>IF(OR($D7="1 dd",$D7="2 dd",$D7="3 dd",$D7="4 dd",$D7="6 dd",$D7="8 dd",$D7="12 dd",$D7="an",$D7="1 X"),VLOOKUP($D7,PedTblTijden!$A$16:$X$26,PedTblTijden!Q$14,FALSE),"")</f>
        <v/>
      </c>
      <c r="X7" s="97" t="str">
        <f>IF(OR($D7="1 dd",$D7="2 dd",$D7="3 dd",$D7="4 dd",$D7="6 dd",$D7="8 dd",$D7="12 dd",$D7="an",$D7="1 X"),VLOOKUP($D7,PedTblTijden!$A$16:$X$26,PedTblTijden!R$14,FALSE),"")</f>
        <v/>
      </c>
      <c r="Y7" s="14" t="str">
        <f>IF(OR($D7="1 dd",$D7="2 dd",$D7="3 dd",$D7="4 dd",$D7="6 dd",$D7="8 dd",$D7="12 dd",$D7="an",$D7="1 X"),VLOOKUP($D7,PedTblTijden!$A$16:$X$26,PedTblTijden!S$14,FALSE),"")</f>
        <v/>
      </c>
      <c r="Z7" s="97" t="str">
        <f>IF(OR($D7="1 dd",$D7="2 dd",$D7="3 dd",$D7="4 dd",$D7="6 dd",$D7="8 dd",$D7="12 dd",$D7="an",$D7="1 X"),VLOOKUP($D7,PedTblTijden!$A$16:$X$26,PedTblTijden!T$14,FALSE),"")</f>
        <v/>
      </c>
      <c r="AA7" s="14" t="str">
        <f>IF(OR($D7="1 dd",$D7="2 dd",$D7="3 dd",$D7="4 dd",$D7="6 dd",$D7="8 dd",$D7="12 dd",$D7="an",$D7="1 X"),VLOOKUP($D7,PedTblTijden!$A$16:$X$26,PedTblTijden!U$14,FALSE),"")</f>
        <v/>
      </c>
      <c r="AB7" s="97" t="str">
        <f>IF(OR($D7="1 dd",$D7="2 dd",$D7="3 dd",$D7="4 dd",$D7="6 dd",$D7="8 dd",$D7="12 dd",$D7="an",$D7="1 X"),VLOOKUP($D7,PedTblTijden!$A$16:$X$26,PedTblTijden!V$14,FALSE),"")</f>
        <v/>
      </c>
      <c r="AC7" s="14" t="str">
        <f>IF(OR($D7="1 dd",$D7="2 dd",$D7="3 dd",$D7="4 dd",$D7="6 dd",$D7="8 dd",$D7="12 dd",$D7="an",$D7="1 X"),VLOOKUP($D7,PedTblTijden!$A$16:$X$26,PedTblTijden!W$14,FALSE),"")</f>
        <v/>
      </c>
      <c r="AD7" s="97" t="str">
        <f>IF(OR($D7="1 dd",$D7="2 dd",$D7="3 dd",$D7="4 dd",$D7="6 dd",$D7="8 dd",$D7="12 dd",$D7="an",$D7="1 X"),VLOOKUP($D7,PedTblTijden!$A$16:$X$26,PedTblTijden!X$14,FALSE),"")</f>
        <v/>
      </c>
      <c r="AE7" s="16"/>
      <c r="AF7" s="96"/>
      <c r="AG7" s="16"/>
    </row>
    <row r="8" spans="1:33" ht="26.1" customHeight="1" x14ac:dyDescent="0.2">
      <c r="B8" s="98"/>
      <c r="C8" s="129" t="str">
        <f>IF(GlobBerMedDisc!C7&lt;&gt;"",IF(GlobBerMedDisc!C7&gt;1,TRIM(GlobBerMedDisc!C7)&amp;", "&amp;GlobBerOpm!#REF!&amp;" ("&amp;GlobBerMedDisc!M7&amp;" "&amp;GlobBerMedDisc!F7&amp;"/kg/dag)",TRIM(GlobBerMedDisc!C7)&amp;", "&amp;GlobBerOpm!#REF!),"")</f>
        <v/>
      </c>
      <c r="D8" s="130" t="str">
        <f>IF(GlobGuiMedDisc!I14&lt;&gt;"",GlobGuiMedDisc!I14,"")</f>
        <v/>
      </c>
      <c r="E8" s="131" t="str">
        <f>IF(AND(D8&lt;&gt;"",D8&lt;&gt;"STOP"),GlobBerMedDisc!H7&amp;" "&amp;GlobBerMedDisc!F7,"")</f>
        <v/>
      </c>
      <c r="F8" s="131" t="str">
        <f>IF(AND(D8&lt;&gt;"",D8&lt;&gt;"STOP"),GlobBerMedDisc!L7," ")</f>
        <v xml:space="preserve"> </v>
      </c>
      <c r="G8" s="131" t="str">
        <f>IF(GlobGuiMedDisc!N14&lt;&gt;"",GlobGuiMedDisc!N14&amp;" "&amp;GlobGuiMedDisc!O14&amp;" "&amp;INDEX(GlobBerMedDisc!$B$27:$B$30,GlobBerMedDisc!O7,1)&amp;" in "&amp;GlobGuiMedDisc!$R$14,"")</f>
        <v/>
      </c>
      <c r="H8" s="97" t="str">
        <f>IF(OR($D8="1 dd",$D8="2 dd",$D8="3 dd",$D8="4 dd",$D8="6 dd",$D8="8 dd",$D8="12 dd",$D8="an",$D8="1 X"),VLOOKUP($D8,PedTblTijden!$A$16:$X$26,PedTblTijden!B$14,FALSE),"")</f>
        <v/>
      </c>
      <c r="I8" s="14" t="str">
        <f>IF(OR($D8="1 dd",$D8="2 dd",$D8="3 dd",$D8="4 dd",$D8="6 dd",$D8="8 dd",$D8="12 dd",$D8="an",$D8="1 X"),VLOOKUP($D8,PedTblTijden!$A$16:$X$26,PedTblTijden!C$14,FALSE),"")</f>
        <v/>
      </c>
      <c r="J8" s="97" t="str">
        <f>IF(OR($D8="1 dd",$D8="2 dd",$D8="3 dd",$D8="4 dd",$D8="6 dd",$D8="8 dd",$D8="12 dd",$D8="an",$D8="1 X"),VLOOKUP($D8,PedTblTijden!$A$16:$X$26,PedTblTijden!D$14,FALSE),"")</f>
        <v/>
      </c>
      <c r="K8" s="14" t="str">
        <f>IF(OR($D8="1 dd",$D8="2 dd",$D8="3 dd",$D8="4 dd",$D8="6 dd",$D8="8 dd",$D8="12 dd",$D8="an",$D8="1 X"),VLOOKUP($D8,PedTblTijden!$A$16:$X$26,PedTblTijden!E$14,FALSE),"")</f>
        <v/>
      </c>
      <c r="L8" s="97" t="str">
        <f>IF(OR($D8="1 dd",$D8="2 dd",$D8="3 dd",$D8="4 dd",$D8="6 dd",$D8="8 dd",$D8="12 dd",$D8="an",$D8="1 X"),VLOOKUP($D8,PedTblTijden!$A$16:$X$26,PedTblTijden!F$14,FALSE),"")</f>
        <v/>
      </c>
      <c r="M8" s="14" t="str">
        <f>IF(OR($D8="1 dd",$D8="2 dd",$D8="3 dd",$D8="4 dd",$D8="6 dd",$D8="8 dd",$D8="12 dd",$D8="an",$D8="1 X"),VLOOKUP($D8,PedTblTijden!$A$16:$X$26,PedTblTijden!G$14,FALSE),"")</f>
        <v/>
      </c>
      <c r="N8" s="97" t="str">
        <f>IF(OR($D8="1 dd",$D8="2 dd",$D8="3 dd",$D8="4 dd",$D8="6 dd",$D8="8 dd",$D8="12 dd",$D8="an",$D8="1 X"),VLOOKUP($D8,PedTblTijden!$A$16:$X$26,PedTblTijden!H$14,FALSE),"")</f>
        <v/>
      </c>
      <c r="O8" s="14" t="str">
        <f>IF(OR($D8="1 dd",$D8="2 dd",$D8="3 dd",$D8="4 dd",$D8="6 dd",$D8="8 dd",$D8="12 dd",$D8="an",$D8="1 X"),VLOOKUP($D8,PedTblTijden!$A$16:$X$26,PedTblTijden!I$14,FALSE),"")</f>
        <v/>
      </c>
      <c r="P8" s="97" t="str">
        <f>IF(OR($D8="1 dd",$D8="2 dd",$D8="3 dd",$D8="4 dd",$D8="6 dd",$D8="8 dd",$D8="12 dd",$D8="an",$D8="1 X"),VLOOKUP($D8,PedTblTijden!$A$16:$X$26,PedTblTijden!J$14,FALSE),"")</f>
        <v/>
      </c>
      <c r="Q8" s="14" t="str">
        <f>IF(OR($D8="1 dd",$D8="2 dd",$D8="3 dd",$D8="4 dd",$D8="6 dd",$D8="8 dd",$D8="12 dd",$D8="an",$D8="1 X"),VLOOKUP($D8,PedTblTijden!$A$16:$X$26,PedTblTijden!K$14,FALSE),"")</f>
        <v/>
      </c>
      <c r="R8" s="97" t="str">
        <f>IF(OR($D8="1 dd",$D8="2 dd",$D8="3 dd",$D8="4 dd",$D8="6 dd",$D8="8 dd",$D8="12 dd",$D8="an",$D8="1 X"),VLOOKUP($D8,PedTblTijden!$A$16:$X$26,PedTblTijden!L$14,FALSE),"")</f>
        <v/>
      </c>
      <c r="S8" s="14" t="str">
        <f>IF(OR($D8="1 dd",$D8="2 dd",$D8="3 dd",$D8="4 dd",$D8="6 dd",$D8="8 dd",$D8="12 dd",$D8="an",$D8="1 X"),VLOOKUP($D8,PedTblTijden!$A$16:$X$26,PedTblTijden!M$14,FALSE),"")</f>
        <v/>
      </c>
      <c r="T8" s="97" t="str">
        <f>IF(OR($D8="1 dd",$D8="2 dd",$D8="3 dd",$D8="4 dd",$D8="6 dd",$D8="8 dd",$D8="12 dd",$D8="an",$D8="1 X"),VLOOKUP($D8,PedTblTijden!$A$16:$X$26,PedTblTijden!N$14,FALSE),"")</f>
        <v/>
      </c>
      <c r="U8" s="14" t="str">
        <f>IF(OR($D8="1 dd",$D8="2 dd",$D8="3 dd",$D8="4 dd",$D8="6 dd",$D8="8 dd",$D8="12 dd",$D8="an",$D8="1 X"),VLOOKUP($D8,PedTblTijden!$A$16:$X$26,PedTblTijden!O$14,FALSE),"")</f>
        <v/>
      </c>
      <c r="V8" s="97" t="str">
        <f>IF(OR($D8="1 dd",$D8="2 dd",$D8="3 dd",$D8="4 dd",$D8="6 dd",$D8="8 dd",$D8="12 dd",$D8="an",$D8="1 X"),VLOOKUP($D8,PedTblTijden!$A$16:$X$26,PedTblTijden!P$14,FALSE),"")</f>
        <v/>
      </c>
      <c r="W8" s="14" t="str">
        <f>IF(OR($D8="1 dd",$D8="2 dd",$D8="3 dd",$D8="4 dd",$D8="6 dd",$D8="8 dd",$D8="12 dd",$D8="an",$D8="1 X"),VLOOKUP($D8,PedTblTijden!$A$16:$X$26,PedTblTijden!Q$14,FALSE),"")</f>
        <v/>
      </c>
      <c r="X8" s="97" t="str">
        <f>IF(OR($D8="1 dd",$D8="2 dd",$D8="3 dd",$D8="4 dd",$D8="6 dd",$D8="8 dd",$D8="12 dd",$D8="an",$D8="1 X"),VLOOKUP($D8,PedTblTijden!$A$16:$X$26,PedTblTijden!R$14,FALSE),"")</f>
        <v/>
      </c>
      <c r="Y8" s="14" t="str">
        <f>IF(OR($D8="1 dd",$D8="2 dd",$D8="3 dd",$D8="4 dd",$D8="6 dd",$D8="8 dd",$D8="12 dd",$D8="an",$D8="1 X"),VLOOKUP($D8,PedTblTijden!$A$16:$X$26,PedTblTijden!S$14,FALSE),"")</f>
        <v/>
      </c>
      <c r="Z8" s="97" t="str">
        <f>IF(OR($D8="1 dd",$D8="2 dd",$D8="3 dd",$D8="4 dd",$D8="6 dd",$D8="8 dd",$D8="12 dd",$D8="an",$D8="1 X"),VLOOKUP($D8,PedTblTijden!$A$16:$X$26,PedTblTijden!T$14,FALSE),"")</f>
        <v/>
      </c>
      <c r="AA8" s="14" t="str">
        <f>IF(OR($D8="1 dd",$D8="2 dd",$D8="3 dd",$D8="4 dd",$D8="6 dd",$D8="8 dd",$D8="12 dd",$D8="an",$D8="1 X"),VLOOKUP($D8,PedTblTijden!$A$16:$X$26,PedTblTijden!U$14,FALSE),"")</f>
        <v/>
      </c>
      <c r="AB8" s="97" t="str">
        <f>IF(OR($D8="1 dd",$D8="2 dd",$D8="3 dd",$D8="4 dd",$D8="6 dd",$D8="8 dd",$D8="12 dd",$D8="an",$D8="1 X"),VLOOKUP($D8,PedTblTijden!$A$16:$X$26,PedTblTijden!V$14,FALSE),"")</f>
        <v/>
      </c>
      <c r="AC8" s="14" t="str">
        <f>IF(OR($D8="1 dd",$D8="2 dd",$D8="3 dd",$D8="4 dd",$D8="6 dd",$D8="8 dd",$D8="12 dd",$D8="an",$D8="1 X"),VLOOKUP($D8,PedTblTijden!$A$16:$X$26,PedTblTijden!W$14,FALSE),"")</f>
        <v/>
      </c>
      <c r="AD8" s="97" t="str">
        <f>IF(OR($D8="1 dd",$D8="2 dd",$D8="3 dd",$D8="4 dd",$D8="6 dd",$D8="8 dd",$D8="12 dd",$D8="an",$D8="1 X"),VLOOKUP($D8,PedTblTijden!$A$16:$X$26,PedTblTijden!X$14,FALSE),"")</f>
        <v/>
      </c>
      <c r="AE8" s="16"/>
      <c r="AF8" s="96"/>
      <c r="AG8" s="16"/>
    </row>
    <row r="9" spans="1:33" ht="26.1" customHeight="1" x14ac:dyDescent="0.2">
      <c r="B9" s="98"/>
      <c r="C9" s="129" t="str">
        <f>IF(GlobBerMedDisc!C8&lt;&gt;"",IF(GlobBerMedDisc!C8&gt;1,TRIM(GlobBerMedDisc!C8)&amp;", "&amp;GlobBerOpm!#REF!&amp;" ("&amp;GlobBerMedDisc!M8&amp;" "&amp;GlobBerMedDisc!F8&amp;"/kg/dag)",TRIM(GlobBerMedDisc!C8)&amp;", "&amp;GlobBerOpm!#REF!),"")</f>
        <v/>
      </c>
      <c r="D9" s="130" t="str">
        <f>IF(GlobGuiMedDisc!I15&lt;&gt;"",GlobGuiMedDisc!I15,"")</f>
        <v/>
      </c>
      <c r="E9" s="131" t="str">
        <f>IF(AND(D9&lt;&gt;"",D9&lt;&gt;"STOP"),GlobBerMedDisc!H8&amp;" "&amp;GlobBerMedDisc!F8,"")</f>
        <v/>
      </c>
      <c r="F9" s="131" t="str">
        <f>IF(AND(D9&lt;&gt;"",D9&lt;&gt;"STOP"),GlobBerMedDisc!L8," ")</f>
        <v xml:space="preserve"> </v>
      </c>
      <c r="G9" s="131" t="str">
        <f>IF(GlobGuiMedDisc!N15&lt;&gt;"",GlobGuiMedDisc!N15&amp;" "&amp;GlobGuiMedDisc!O15&amp;" "&amp;INDEX(GlobBerMedDisc!$B$27:$B$30,GlobBerMedDisc!O8,1)&amp;" in "&amp;GlobGuiMedDisc!$R$15,"")</f>
        <v/>
      </c>
      <c r="H9" s="97" t="str">
        <f>IF(OR($D9="1 dd",$D9="2 dd",$D9="3 dd",$D9="4 dd",$D9="6 dd",$D9="8 dd",$D9="12 dd",$D9="an",$D9="1 X"),VLOOKUP($D9,PedTblTijden!$A$16:$X$26,PedTblTijden!B$14,FALSE),"")</f>
        <v/>
      </c>
      <c r="I9" s="14" t="str">
        <f>IF(OR($D9="1 dd",$D9="2 dd",$D9="3 dd",$D9="4 dd",$D9="6 dd",$D9="8 dd",$D9="12 dd",$D9="an",$D9="1 X"),VLOOKUP($D9,PedTblTijden!$A$16:$X$26,PedTblTijden!C$14,FALSE),"")</f>
        <v/>
      </c>
      <c r="J9" s="97" t="str">
        <f>IF(OR($D9="1 dd",$D9="2 dd",$D9="3 dd",$D9="4 dd",$D9="6 dd",$D9="8 dd",$D9="12 dd",$D9="an",$D9="1 X"),VLOOKUP($D9,PedTblTijden!$A$16:$X$26,PedTblTijden!D$14,FALSE),"")</f>
        <v/>
      </c>
      <c r="K9" s="14" t="str">
        <f>IF(OR($D9="1 dd",$D9="2 dd",$D9="3 dd",$D9="4 dd",$D9="6 dd",$D9="8 dd",$D9="12 dd",$D9="an",$D9="1 X"),VLOOKUP($D9,PedTblTijden!$A$16:$X$26,PedTblTijden!E$14,FALSE),"")</f>
        <v/>
      </c>
      <c r="L9" s="97" t="str">
        <f>IF(OR($D9="1 dd",$D9="2 dd",$D9="3 dd",$D9="4 dd",$D9="6 dd",$D9="8 dd",$D9="12 dd",$D9="an",$D9="1 X"),VLOOKUP($D9,PedTblTijden!$A$16:$X$26,PedTblTijden!F$14,FALSE),"")</f>
        <v/>
      </c>
      <c r="M9" s="14" t="str">
        <f>IF(OR($D9="1 dd",$D9="2 dd",$D9="3 dd",$D9="4 dd",$D9="6 dd",$D9="8 dd",$D9="12 dd",$D9="an",$D9="1 X"),VLOOKUP($D9,PedTblTijden!$A$16:$X$26,PedTblTijden!G$14,FALSE),"")</f>
        <v/>
      </c>
      <c r="N9" s="97" t="str">
        <f>IF(OR($D9="1 dd",$D9="2 dd",$D9="3 dd",$D9="4 dd",$D9="6 dd",$D9="8 dd",$D9="12 dd",$D9="an",$D9="1 X"),VLOOKUP($D9,PedTblTijden!$A$16:$X$26,PedTblTijden!H$14,FALSE),"")</f>
        <v/>
      </c>
      <c r="O9" s="14" t="str">
        <f>IF(OR($D9="1 dd",$D9="2 dd",$D9="3 dd",$D9="4 dd",$D9="6 dd",$D9="8 dd",$D9="12 dd",$D9="an",$D9="1 X"),VLOOKUP($D9,PedTblTijden!$A$16:$X$26,PedTblTijden!I$14,FALSE),"")</f>
        <v/>
      </c>
      <c r="P9" s="97" t="str">
        <f>IF(OR($D9="1 dd",$D9="2 dd",$D9="3 dd",$D9="4 dd",$D9="6 dd",$D9="8 dd",$D9="12 dd",$D9="an",$D9="1 X"),VLOOKUP($D9,PedTblTijden!$A$16:$X$26,PedTblTijden!J$14,FALSE),"")</f>
        <v/>
      </c>
      <c r="Q9" s="14" t="str">
        <f>IF(OR($D9="1 dd",$D9="2 dd",$D9="3 dd",$D9="4 dd",$D9="6 dd",$D9="8 dd",$D9="12 dd",$D9="an",$D9="1 X"),VLOOKUP($D9,PedTblTijden!$A$16:$X$26,PedTblTijden!K$14,FALSE),"")</f>
        <v/>
      </c>
      <c r="R9" s="97" t="str">
        <f>IF(OR($D9="1 dd",$D9="2 dd",$D9="3 dd",$D9="4 dd",$D9="6 dd",$D9="8 dd",$D9="12 dd",$D9="an",$D9="1 X"),VLOOKUP($D9,PedTblTijden!$A$16:$X$26,PedTblTijden!L$14,FALSE),"")</f>
        <v/>
      </c>
      <c r="S9" s="14" t="str">
        <f>IF(OR($D9="1 dd",$D9="2 dd",$D9="3 dd",$D9="4 dd",$D9="6 dd",$D9="8 dd",$D9="12 dd",$D9="an",$D9="1 X"),VLOOKUP($D9,PedTblTijden!$A$16:$X$26,PedTblTijden!M$14,FALSE),"")</f>
        <v/>
      </c>
      <c r="T9" s="97" t="str">
        <f>IF(OR($D9="1 dd",$D9="2 dd",$D9="3 dd",$D9="4 dd",$D9="6 dd",$D9="8 dd",$D9="12 dd",$D9="an",$D9="1 X"),VLOOKUP($D9,PedTblTijden!$A$16:$X$26,PedTblTijden!N$14,FALSE),"")</f>
        <v/>
      </c>
      <c r="U9" s="14" t="str">
        <f>IF(OR($D9="1 dd",$D9="2 dd",$D9="3 dd",$D9="4 dd",$D9="6 dd",$D9="8 dd",$D9="12 dd",$D9="an",$D9="1 X"),VLOOKUP($D9,PedTblTijden!$A$16:$X$26,PedTblTijden!O$14,FALSE),"")</f>
        <v/>
      </c>
      <c r="V9" s="97" t="str">
        <f>IF(OR($D9="1 dd",$D9="2 dd",$D9="3 dd",$D9="4 dd",$D9="6 dd",$D9="8 dd",$D9="12 dd",$D9="an",$D9="1 X"),VLOOKUP($D9,PedTblTijden!$A$16:$X$26,PedTblTijden!P$14,FALSE),"")</f>
        <v/>
      </c>
      <c r="W9" s="14" t="str">
        <f>IF(OR($D9="1 dd",$D9="2 dd",$D9="3 dd",$D9="4 dd",$D9="6 dd",$D9="8 dd",$D9="12 dd",$D9="an",$D9="1 X"),VLOOKUP($D9,PedTblTijden!$A$16:$X$26,PedTblTijden!Q$14,FALSE),"")</f>
        <v/>
      </c>
      <c r="X9" s="97" t="str">
        <f>IF(OR($D9="1 dd",$D9="2 dd",$D9="3 dd",$D9="4 dd",$D9="6 dd",$D9="8 dd",$D9="12 dd",$D9="an",$D9="1 X"),VLOOKUP($D9,PedTblTijden!$A$16:$X$26,PedTblTijden!R$14,FALSE),"")</f>
        <v/>
      </c>
      <c r="Y9" s="14" t="str">
        <f>IF(OR($D9="1 dd",$D9="2 dd",$D9="3 dd",$D9="4 dd",$D9="6 dd",$D9="8 dd",$D9="12 dd",$D9="an",$D9="1 X"),VLOOKUP($D9,PedTblTijden!$A$16:$X$26,PedTblTijden!S$14,FALSE),"")</f>
        <v/>
      </c>
      <c r="Z9" s="97" t="str">
        <f>IF(OR($D9="1 dd",$D9="2 dd",$D9="3 dd",$D9="4 dd",$D9="6 dd",$D9="8 dd",$D9="12 dd",$D9="an",$D9="1 X"),VLOOKUP($D9,PedTblTijden!$A$16:$X$26,PedTblTijden!T$14,FALSE),"")</f>
        <v/>
      </c>
      <c r="AA9" s="14" t="str">
        <f>IF(OR($D9="1 dd",$D9="2 dd",$D9="3 dd",$D9="4 dd",$D9="6 dd",$D9="8 dd",$D9="12 dd",$D9="an",$D9="1 X"),VLOOKUP($D9,PedTblTijden!$A$16:$X$26,PedTblTijden!U$14,FALSE),"")</f>
        <v/>
      </c>
      <c r="AB9" s="97" t="str">
        <f>IF(OR($D9="1 dd",$D9="2 dd",$D9="3 dd",$D9="4 dd",$D9="6 dd",$D9="8 dd",$D9="12 dd",$D9="an",$D9="1 X"),VLOOKUP($D9,PedTblTijden!$A$16:$X$26,PedTblTijden!V$14,FALSE),"")</f>
        <v/>
      </c>
      <c r="AC9" s="14" t="str">
        <f>IF(OR($D9="1 dd",$D9="2 dd",$D9="3 dd",$D9="4 dd",$D9="6 dd",$D9="8 dd",$D9="12 dd",$D9="an",$D9="1 X"),VLOOKUP($D9,PedTblTijden!$A$16:$X$26,PedTblTijden!W$14,FALSE),"")</f>
        <v/>
      </c>
      <c r="AD9" s="97" t="str">
        <f>IF(OR($D9="1 dd",$D9="2 dd",$D9="3 dd",$D9="4 dd",$D9="6 dd",$D9="8 dd",$D9="12 dd",$D9="an",$D9="1 X"),VLOOKUP($D9,PedTblTijden!$A$16:$X$26,PedTblTijden!X$14,FALSE),"")</f>
        <v/>
      </c>
      <c r="AE9" s="16"/>
      <c r="AF9" s="96"/>
      <c r="AG9" s="16"/>
    </row>
    <row r="10" spans="1:33" ht="26.1" customHeight="1" x14ac:dyDescent="0.2">
      <c r="B10" s="98"/>
      <c r="C10" s="129" t="str">
        <f>IF(GlobBerMedDisc!C9&lt;&gt;"",IF(GlobBerMedDisc!C9&gt;1,TRIM(GlobBerMedDisc!C9)&amp;", "&amp;GlobBerOpm!#REF!&amp;" ("&amp;GlobBerMedDisc!M9&amp;" "&amp;GlobBerMedDisc!F9&amp;"/kg/dag)",TRIM(GlobBerMedDisc!C9)&amp;", "&amp;GlobBerOpm!#REF!),"")</f>
        <v/>
      </c>
      <c r="D10" s="130" t="str">
        <f>IF(GlobGuiMedDisc!I16&lt;&gt;"",GlobGuiMedDisc!I16,"")</f>
        <v/>
      </c>
      <c r="E10" s="131" t="str">
        <f>IF(AND(D10&lt;&gt;"",D10&lt;&gt;"STOP"),GlobBerMedDisc!H9&amp;" "&amp;GlobBerMedDisc!F9,"")</f>
        <v/>
      </c>
      <c r="F10" s="131" t="str">
        <f>IF(AND(D10&lt;&gt;"",D10&lt;&gt;"STOP"),GlobBerMedDisc!L9," ")</f>
        <v xml:space="preserve"> </v>
      </c>
      <c r="G10" s="131" t="str">
        <f>IF(GlobGuiMedDisc!N16&lt;&gt;"",GlobGuiMedDisc!N16&amp;" "&amp;GlobGuiMedDisc!O16&amp;" "&amp;INDEX(GlobBerMedDisc!$B$27:$B$30,GlobBerMedDisc!O9,1)&amp;" in "&amp;GlobGuiMedDisc!$R$16,"")</f>
        <v/>
      </c>
      <c r="H10" s="97" t="str">
        <f>IF(OR($D10="1 dd",$D10="2 dd",$D10="3 dd",$D10="4 dd",$D10="6 dd",$D10="8 dd",$D10="12 dd",$D10="an",$D10="1 X"),VLOOKUP($D10,PedTblTijden!$A$16:$X$26,PedTblTijden!B$14,FALSE),"")</f>
        <v/>
      </c>
      <c r="I10" s="14" t="str">
        <f>IF(OR($D10="1 dd",$D10="2 dd",$D10="3 dd",$D10="4 dd",$D10="6 dd",$D10="8 dd",$D10="12 dd",$D10="an",$D10="1 X"),VLOOKUP($D10,PedTblTijden!$A$16:$X$26,PedTblTijden!C$14,FALSE),"")</f>
        <v/>
      </c>
      <c r="J10" s="97" t="str">
        <f>IF(OR($D10="1 dd",$D10="2 dd",$D10="3 dd",$D10="4 dd",$D10="6 dd",$D10="8 dd",$D10="12 dd",$D10="an",$D10="1 X"),VLOOKUP($D10,PedTblTijden!$A$16:$X$26,PedTblTijden!D$14,FALSE),"")</f>
        <v/>
      </c>
      <c r="K10" s="14" t="str">
        <f>IF(OR($D10="1 dd",$D10="2 dd",$D10="3 dd",$D10="4 dd",$D10="6 dd",$D10="8 dd",$D10="12 dd",$D10="an",$D10="1 X"),VLOOKUP($D10,PedTblTijden!$A$16:$X$26,PedTblTijden!E$14,FALSE),"")</f>
        <v/>
      </c>
      <c r="L10" s="97" t="str">
        <f>IF(OR($D10="1 dd",$D10="2 dd",$D10="3 dd",$D10="4 dd",$D10="6 dd",$D10="8 dd",$D10="12 dd",$D10="an",$D10="1 X"),VLOOKUP($D10,PedTblTijden!$A$16:$X$26,PedTblTijden!F$14,FALSE),"")</f>
        <v/>
      </c>
      <c r="M10" s="14" t="str">
        <f>IF(OR($D10="1 dd",$D10="2 dd",$D10="3 dd",$D10="4 dd",$D10="6 dd",$D10="8 dd",$D10="12 dd",$D10="an",$D10="1 X"),VLOOKUP($D10,PedTblTijden!$A$16:$X$26,PedTblTijden!G$14,FALSE),"")</f>
        <v/>
      </c>
      <c r="N10" s="97" t="str">
        <f>IF(OR($D10="1 dd",$D10="2 dd",$D10="3 dd",$D10="4 dd",$D10="6 dd",$D10="8 dd",$D10="12 dd",$D10="an",$D10="1 X"),VLOOKUP($D10,PedTblTijden!$A$16:$X$26,PedTblTijden!H$14,FALSE),"")</f>
        <v/>
      </c>
      <c r="O10" s="14" t="str">
        <f>IF(OR($D10="1 dd",$D10="2 dd",$D10="3 dd",$D10="4 dd",$D10="6 dd",$D10="8 dd",$D10="12 dd",$D10="an",$D10="1 X"),VLOOKUP($D10,PedTblTijden!$A$16:$X$26,PedTblTijden!I$14,FALSE),"")</f>
        <v/>
      </c>
      <c r="P10" s="97" t="str">
        <f>IF(OR($D10="1 dd",$D10="2 dd",$D10="3 dd",$D10="4 dd",$D10="6 dd",$D10="8 dd",$D10="12 dd",$D10="an",$D10="1 X"),VLOOKUP($D10,PedTblTijden!$A$16:$X$26,PedTblTijden!J$14,FALSE),"")</f>
        <v/>
      </c>
      <c r="Q10" s="14" t="str">
        <f>IF(OR($D10="1 dd",$D10="2 dd",$D10="3 dd",$D10="4 dd",$D10="6 dd",$D10="8 dd",$D10="12 dd",$D10="an",$D10="1 X"),VLOOKUP($D10,PedTblTijden!$A$16:$X$26,PedTblTijden!K$14,FALSE),"")</f>
        <v/>
      </c>
      <c r="R10" s="97" t="str">
        <f>IF(OR($D10="1 dd",$D10="2 dd",$D10="3 dd",$D10="4 dd",$D10="6 dd",$D10="8 dd",$D10="12 dd",$D10="an",$D10="1 X"),VLOOKUP($D10,PedTblTijden!$A$16:$X$26,PedTblTijden!L$14,FALSE),"")</f>
        <v/>
      </c>
      <c r="S10" s="14" t="str">
        <f>IF(OR($D10="1 dd",$D10="2 dd",$D10="3 dd",$D10="4 dd",$D10="6 dd",$D10="8 dd",$D10="12 dd",$D10="an",$D10="1 X"),VLOOKUP($D10,PedTblTijden!$A$16:$X$26,PedTblTijden!M$14,FALSE),"")</f>
        <v/>
      </c>
      <c r="T10" s="97" t="str">
        <f>IF(OR($D10="1 dd",$D10="2 dd",$D10="3 dd",$D10="4 dd",$D10="6 dd",$D10="8 dd",$D10="12 dd",$D10="an",$D10="1 X"),VLOOKUP($D10,PedTblTijden!$A$16:$X$26,PedTblTijden!N$14,FALSE),"")</f>
        <v/>
      </c>
      <c r="U10" s="14" t="str">
        <f>IF(OR($D10="1 dd",$D10="2 dd",$D10="3 dd",$D10="4 dd",$D10="6 dd",$D10="8 dd",$D10="12 dd",$D10="an",$D10="1 X"),VLOOKUP($D10,PedTblTijden!$A$16:$X$26,PedTblTijden!O$14,FALSE),"")</f>
        <v/>
      </c>
      <c r="V10" s="97" t="str">
        <f>IF(OR($D10="1 dd",$D10="2 dd",$D10="3 dd",$D10="4 dd",$D10="6 dd",$D10="8 dd",$D10="12 dd",$D10="an",$D10="1 X"),VLOOKUP($D10,PedTblTijden!$A$16:$X$26,PedTblTijden!P$14,FALSE),"")</f>
        <v/>
      </c>
      <c r="W10" s="14" t="str">
        <f>IF(OR($D10="1 dd",$D10="2 dd",$D10="3 dd",$D10="4 dd",$D10="6 dd",$D10="8 dd",$D10="12 dd",$D10="an",$D10="1 X"),VLOOKUP($D10,PedTblTijden!$A$16:$X$26,PedTblTijden!Q$14,FALSE),"")</f>
        <v/>
      </c>
      <c r="X10" s="97" t="str">
        <f>IF(OR($D10="1 dd",$D10="2 dd",$D10="3 dd",$D10="4 dd",$D10="6 dd",$D10="8 dd",$D10="12 dd",$D10="an",$D10="1 X"),VLOOKUP($D10,PedTblTijden!$A$16:$X$26,PedTblTijden!R$14,FALSE),"")</f>
        <v/>
      </c>
      <c r="Y10" s="14" t="str">
        <f>IF(OR($D10="1 dd",$D10="2 dd",$D10="3 dd",$D10="4 dd",$D10="6 dd",$D10="8 dd",$D10="12 dd",$D10="an",$D10="1 X"),VLOOKUP($D10,PedTblTijden!$A$16:$X$26,PedTblTijden!S$14,FALSE),"")</f>
        <v/>
      </c>
      <c r="Z10" s="97" t="str">
        <f>IF(OR($D10="1 dd",$D10="2 dd",$D10="3 dd",$D10="4 dd",$D10="6 dd",$D10="8 dd",$D10="12 dd",$D10="an",$D10="1 X"),VLOOKUP($D10,PedTblTijden!$A$16:$X$26,PedTblTijden!T$14,FALSE),"")</f>
        <v/>
      </c>
      <c r="AA10" s="14" t="str">
        <f>IF(OR($D10="1 dd",$D10="2 dd",$D10="3 dd",$D10="4 dd",$D10="6 dd",$D10="8 dd",$D10="12 dd",$D10="an",$D10="1 X"),VLOOKUP($D10,PedTblTijden!$A$16:$X$26,PedTblTijden!U$14,FALSE),"")</f>
        <v/>
      </c>
      <c r="AB10" s="97" t="str">
        <f>IF(OR($D10="1 dd",$D10="2 dd",$D10="3 dd",$D10="4 dd",$D10="6 dd",$D10="8 dd",$D10="12 dd",$D10="an",$D10="1 X"),VLOOKUP($D10,PedTblTijden!$A$16:$X$26,PedTblTijden!V$14,FALSE),"")</f>
        <v/>
      </c>
      <c r="AC10" s="14" t="str">
        <f>IF(OR($D10="1 dd",$D10="2 dd",$D10="3 dd",$D10="4 dd",$D10="6 dd",$D10="8 dd",$D10="12 dd",$D10="an",$D10="1 X"),VLOOKUP($D10,PedTblTijden!$A$16:$X$26,PedTblTijden!W$14,FALSE),"")</f>
        <v/>
      </c>
      <c r="AD10" s="97" t="str">
        <f>IF(OR($D10="1 dd",$D10="2 dd",$D10="3 dd",$D10="4 dd",$D10="6 dd",$D10="8 dd",$D10="12 dd",$D10="an",$D10="1 X"),VLOOKUP($D10,PedTblTijden!$A$16:$X$26,PedTblTijden!X$14,FALSE),"")</f>
        <v/>
      </c>
      <c r="AE10" s="16"/>
      <c r="AF10" s="96"/>
      <c r="AG10" s="16"/>
    </row>
    <row r="11" spans="1:33" ht="26.1" customHeight="1" x14ac:dyDescent="0.2">
      <c r="B11" s="98"/>
      <c r="C11" s="129" t="str">
        <f>IF(GlobBerMedDisc!C10&lt;&gt;"",IF(GlobBerMedDisc!C10&gt;1,TRIM(GlobBerMedDisc!C10)&amp;", "&amp;GlobBerOpm!#REF!&amp;" ("&amp;GlobBerMedDisc!M10&amp;" "&amp;GlobBerMedDisc!F10&amp;"/kg/dag)",TRIM(GlobBerMedDisc!C10)&amp;", "&amp;GlobBerOpm!#REF!),"")</f>
        <v/>
      </c>
      <c r="D11" s="130" t="str">
        <f>IF(GlobGuiMedDisc!I17&lt;&gt;"",GlobGuiMedDisc!I17,"")</f>
        <v/>
      </c>
      <c r="E11" s="131" t="str">
        <f>IF(AND(D11&lt;&gt;"",D11&lt;&gt;"STOP"),GlobBerMedDisc!H10&amp;" "&amp;GlobBerMedDisc!F10,"")</f>
        <v/>
      </c>
      <c r="F11" s="131" t="str">
        <f>IF(AND(D11&lt;&gt;"",D11&lt;&gt;"STOP"),GlobBerMedDisc!L10," ")</f>
        <v xml:space="preserve"> </v>
      </c>
      <c r="G11" s="131" t="str">
        <f>IF(GlobGuiMedDisc!N17&lt;&gt;"",GlobGuiMedDisc!N17&amp;" "&amp;GlobGuiMedDisc!O17&amp;" "&amp;INDEX(GlobBerMedDisc!$B$27:$B$30,GlobBerMedDisc!O10,1)&amp;" in "&amp;GlobGuiMedDisc!$R$17,"")</f>
        <v/>
      </c>
      <c r="H11" s="97" t="str">
        <f>IF(OR($D11="1 dd",$D11="2 dd",$D11="3 dd",$D11="4 dd",$D11="6 dd",$D11="8 dd",$D11="12 dd",$D11="an",$D11="1 X"),VLOOKUP($D11,PedTblTijden!$A$16:$X$26,PedTblTijden!B$14,FALSE),"")</f>
        <v/>
      </c>
      <c r="I11" s="14" t="str">
        <f>IF(OR($D11="1 dd",$D11="2 dd",$D11="3 dd",$D11="4 dd",$D11="6 dd",$D11="8 dd",$D11="12 dd",$D11="an",$D11="1 X"),VLOOKUP($D11,PedTblTijden!$A$16:$X$26,PedTblTijden!C$14,FALSE),"")</f>
        <v/>
      </c>
      <c r="J11" s="97" t="str">
        <f>IF(OR($D11="1 dd",$D11="2 dd",$D11="3 dd",$D11="4 dd",$D11="6 dd",$D11="8 dd",$D11="12 dd",$D11="an",$D11="1 X"),VLOOKUP($D11,PedTblTijden!$A$16:$X$26,PedTblTijden!D$14,FALSE),"")</f>
        <v/>
      </c>
      <c r="K11" s="14" t="str">
        <f>IF(OR($D11="1 dd",$D11="2 dd",$D11="3 dd",$D11="4 dd",$D11="6 dd",$D11="8 dd",$D11="12 dd",$D11="an",$D11="1 X"),VLOOKUP($D11,PedTblTijden!$A$16:$X$26,PedTblTijden!E$14,FALSE),"")</f>
        <v/>
      </c>
      <c r="L11" s="97" t="str">
        <f>IF(OR($D11="1 dd",$D11="2 dd",$D11="3 dd",$D11="4 dd",$D11="6 dd",$D11="8 dd",$D11="12 dd",$D11="an",$D11="1 X"),VLOOKUP($D11,PedTblTijden!$A$16:$X$26,PedTblTijden!F$14,FALSE),"")</f>
        <v/>
      </c>
      <c r="M11" s="14" t="str">
        <f>IF(OR($D11="1 dd",$D11="2 dd",$D11="3 dd",$D11="4 dd",$D11="6 dd",$D11="8 dd",$D11="12 dd",$D11="an",$D11="1 X"),VLOOKUP($D11,PedTblTijden!$A$16:$X$26,PedTblTijden!G$14,FALSE),"")</f>
        <v/>
      </c>
      <c r="N11" s="97" t="str">
        <f>IF(OR($D11="1 dd",$D11="2 dd",$D11="3 dd",$D11="4 dd",$D11="6 dd",$D11="8 dd",$D11="12 dd",$D11="an",$D11="1 X"),VLOOKUP($D11,PedTblTijden!$A$16:$X$26,PedTblTijden!H$14,FALSE),"")</f>
        <v/>
      </c>
      <c r="O11" s="14" t="str">
        <f>IF(OR($D11="1 dd",$D11="2 dd",$D11="3 dd",$D11="4 dd",$D11="6 dd",$D11="8 dd",$D11="12 dd",$D11="an",$D11="1 X"),VLOOKUP($D11,PedTblTijden!$A$16:$X$26,PedTblTijden!I$14,FALSE),"")</f>
        <v/>
      </c>
      <c r="P11" s="97" t="str">
        <f>IF(OR($D11="1 dd",$D11="2 dd",$D11="3 dd",$D11="4 dd",$D11="6 dd",$D11="8 dd",$D11="12 dd",$D11="an",$D11="1 X"),VLOOKUP($D11,PedTblTijden!$A$16:$X$26,PedTblTijden!J$14,FALSE),"")</f>
        <v/>
      </c>
      <c r="Q11" s="14" t="str">
        <f>IF(OR($D11="1 dd",$D11="2 dd",$D11="3 dd",$D11="4 dd",$D11="6 dd",$D11="8 dd",$D11="12 dd",$D11="an",$D11="1 X"),VLOOKUP($D11,PedTblTijden!$A$16:$X$26,PedTblTijden!K$14,FALSE),"")</f>
        <v/>
      </c>
      <c r="R11" s="97" t="str">
        <f>IF(OR($D11="1 dd",$D11="2 dd",$D11="3 dd",$D11="4 dd",$D11="6 dd",$D11="8 dd",$D11="12 dd",$D11="an",$D11="1 X"),VLOOKUP($D11,PedTblTijden!$A$16:$X$26,PedTblTijden!L$14,FALSE),"")</f>
        <v/>
      </c>
      <c r="S11" s="14" t="str">
        <f>IF(OR($D11="1 dd",$D11="2 dd",$D11="3 dd",$D11="4 dd",$D11="6 dd",$D11="8 dd",$D11="12 dd",$D11="an",$D11="1 X"),VLOOKUP($D11,PedTblTijden!$A$16:$X$26,PedTblTijden!M$14,FALSE),"")</f>
        <v/>
      </c>
      <c r="T11" s="97" t="str">
        <f>IF(OR($D11="1 dd",$D11="2 dd",$D11="3 dd",$D11="4 dd",$D11="6 dd",$D11="8 dd",$D11="12 dd",$D11="an",$D11="1 X"),VLOOKUP($D11,PedTblTijden!$A$16:$X$26,PedTblTijden!N$14,FALSE),"")</f>
        <v/>
      </c>
      <c r="U11" s="14" t="str">
        <f>IF(OR($D11="1 dd",$D11="2 dd",$D11="3 dd",$D11="4 dd",$D11="6 dd",$D11="8 dd",$D11="12 dd",$D11="an",$D11="1 X"),VLOOKUP($D11,PedTblTijden!$A$16:$X$26,PedTblTijden!O$14,FALSE),"")</f>
        <v/>
      </c>
      <c r="V11" s="97" t="str">
        <f>IF(OR($D11="1 dd",$D11="2 dd",$D11="3 dd",$D11="4 dd",$D11="6 dd",$D11="8 dd",$D11="12 dd",$D11="an",$D11="1 X"),VLOOKUP($D11,PedTblTijden!$A$16:$X$26,PedTblTijden!P$14,FALSE),"")</f>
        <v/>
      </c>
      <c r="W11" s="14" t="str">
        <f>IF(OR($D11="1 dd",$D11="2 dd",$D11="3 dd",$D11="4 dd",$D11="6 dd",$D11="8 dd",$D11="12 dd",$D11="an",$D11="1 X"),VLOOKUP($D11,PedTblTijden!$A$16:$X$26,PedTblTijden!Q$14,FALSE),"")</f>
        <v/>
      </c>
      <c r="X11" s="97" t="str">
        <f>IF(OR($D11="1 dd",$D11="2 dd",$D11="3 dd",$D11="4 dd",$D11="6 dd",$D11="8 dd",$D11="12 dd",$D11="an",$D11="1 X"),VLOOKUP($D11,PedTblTijden!$A$16:$X$26,PedTblTijden!R$14,FALSE),"")</f>
        <v/>
      </c>
      <c r="Y11" s="14" t="str">
        <f>IF(OR($D11="1 dd",$D11="2 dd",$D11="3 dd",$D11="4 dd",$D11="6 dd",$D11="8 dd",$D11="12 dd",$D11="an",$D11="1 X"),VLOOKUP($D11,PedTblTijden!$A$16:$X$26,PedTblTijden!S$14,FALSE),"")</f>
        <v/>
      </c>
      <c r="Z11" s="97" t="str">
        <f>IF(OR($D11="1 dd",$D11="2 dd",$D11="3 dd",$D11="4 dd",$D11="6 dd",$D11="8 dd",$D11="12 dd",$D11="an",$D11="1 X"),VLOOKUP($D11,PedTblTijden!$A$16:$X$26,PedTblTijden!T$14,FALSE),"")</f>
        <v/>
      </c>
      <c r="AA11" s="14" t="str">
        <f>IF(OR($D11="1 dd",$D11="2 dd",$D11="3 dd",$D11="4 dd",$D11="6 dd",$D11="8 dd",$D11="12 dd",$D11="an",$D11="1 X"),VLOOKUP($D11,PedTblTijden!$A$16:$X$26,PedTblTijden!U$14,FALSE),"")</f>
        <v/>
      </c>
      <c r="AB11" s="97" t="str">
        <f>IF(OR($D11="1 dd",$D11="2 dd",$D11="3 dd",$D11="4 dd",$D11="6 dd",$D11="8 dd",$D11="12 dd",$D11="an",$D11="1 X"),VLOOKUP($D11,PedTblTijden!$A$16:$X$26,PedTblTijden!V$14,FALSE),"")</f>
        <v/>
      </c>
      <c r="AC11" s="14" t="str">
        <f>IF(OR($D11="1 dd",$D11="2 dd",$D11="3 dd",$D11="4 dd",$D11="6 dd",$D11="8 dd",$D11="12 dd",$D11="an",$D11="1 X"),VLOOKUP($D11,PedTblTijden!$A$16:$X$26,PedTblTijden!W$14,FALSE),"")</f>
        <v/>
      </c>
      <c r="AD11" s="97" t="str">
        <f>IF(OR($D11="1 dd",$D11="2 dd",$D11="3 dd",$D11="4 dd",$D11="6 dd",$D11="8 dd",$D11="12 dd",$D11="an",$D11="1 X"),VLOOKUP($D11,PedTblTijden!$A$16:$X$26,PedTblTijden!X$14,FALSE),"")</f>
        <v/>
      </c>
      <c r="AE11" s="16"/>
      <c r="AF11" s="96"/>
      <c r="AG11" s="16"/>
    </row>
    <row r="12" spans="1:33" ht="26.1" customHeight="1" x14ac:dyDescent="0.2">
      <c r="B12" s="98"/>
      <c r="C12" s="129" t="str">
        <f>IF(GlobBerMedDisc!C11&lt;&gt;"",IF(GlobBerMedDisc!C11&gt;1,TRIM(GlobBerMedDisc!C11)&amp;", "&amp;GlobBerOpm!#REF!&amp;" ("&amp;GlobBerMedDisc!M11&amp;" "&amp;GlobBerMedDisc!F11&amp;"/kg/dag)",TRIM(GlobBerMedDisc!C11)&amp;", "&amp;GlobBerOpm!#REF!),"")</f>
        <v/>
      </c>
      <c r="D12" s="130" t="str">
        <f>IF(GlobGuiMedDisc!I18&lt;&gt;"",GlobGuiMedDisc!I18,"")</f>
        <v/>
      </c>
      <c r="E12" s="131" t="str">
        <f>IF(AND(D12&lt;&gt;"",D12&lt;&gt;"STOP"),GlobBerMedDisc!H11&amp;" "&amp;GlobBerMedDisc!F11,"")</f>
        <v/>
      </c>
      <c r="F12" s="131" t="str">
        <f>IF(AND(D12&lt;&gt;"",D12&lt;&gt;"STOP"),GlobBerMedDisc!L11," ")</f>
        <v xml:space="preserve"> </v>
      </c>
      <c r="G12" s="131" t="str">
        <f>IF(GlobGuiMedDisc!N18&lt;&gt;"",GlobGuiMedDisc!N18&amp;" "&amp;GlobGuiMedDisc!O18&amp;" "&amp;INDEX(GlobBerMedDisc!$B$27:$B$30,GlobBerMedDisc!O11,1)&amp;" in "&amp;GlobGuiMedDisc!$Q$1377,"")</f>
        <v/>
      </c>
      <c r="H12" s="97" t="str">
        <f>IF(OR($D12="1 dd",$D12="2 dd",$D12="3 dd",$D12="4 dd",$D12="6 dd",$D12="8 dd",$D12="12 dd",$D12="an",$D12="1 X"),VLOOKUP($D12,PedTblTijden!$A$16:$X$26,PedTblTijden!B$14,FALSE),"")</f>
        <v/>
      </c>
      <c r="I12" s="14" t="str">
        <f>IF(OR($D12="1 dd",$D12="2 dd",$D12="3 dd",$D12="4 dd",$D12="6 dd",$D12="8 dd",$D12="12 dd",$D12="an",$D12="1 X"),VLOOKUP($D12,PedTblTijden!$A$16:$X$26,PedTblTijden!C$14,FALSE),"")</f>
        <v/>
      </c>
      <c r="J12" s="97" t="str">
        <f>IF(OR($D12="1 dd",$D12="2 dd",$D12="3 dd",$D12="4 dd",$D12="6 dd",$D12="8 dd",$D12="12 dd",$D12="an",$D12="1 X"),VLOOKUP($D12,PedTblTijden!$A$16:$X$26,PedTblTijden!D$14,FALSE),"")</f>
        <v/>
      </c>
      <c r="K12" s="14" t="str">
        <f>IF(OR($D12="1 dd",$D12="2 dd",$D12="3 dd",$D12="4 dd",$D12="6 dd",$D12="8 dd",$D12="12 dd",$D12="an",$D12="1 X"),VLOOKUP($D12,PedTblTijden!$A$16:$X$26,PedTblTijden!E$14,FALSE),"")</f>
        <v/>
      </c>
      <c r="L12" s="97" t="str">
        <f>IF(OR($D12="1 dd",$D12="2 dd",$D12="3 dd",$D12="4 dd",$D12="6 dd",$D12="8 dd",$D12="12 dd",$D12="an",$D12="1 X"),VLOOKUP($D12,PedTblTijden!$A$16:$X$26,PedTblTijden!F$14,FALSE),"")</f>
        <v/>
      </c>
      <c r="M12" s="14" t="str">
        <f>IF(OR($D12="1 dd",$D12="2 dd",$D12="3 dd",$D12="4 dd",$D12="6 dd",$D12="8 dd",$D12="12 dd",$D12="an",$D12="1 X"),VLOOKUP($D12,PedTblTijden!$A$16:$X$26,PedTblTijden!G$14,FALSE),"")</f>
        <v/>
      </c>
      <c r="N12" s="97" t="str">
        <f>IF(OR($D12="1 dd",$D12="2 dd",$D12="3 dd",$D12="4 dd",$D12="6 dd",$D12="8 dd",$D12="12 dd",$D12="an",$D12="1 X"),VLOOKUP($D12,PedTblTijden!$A$16:$X$26,PedTblTijden!H$14,FALSE),"")</f>
        <v/>
      </c>
      <c r="O12" s="14" t="str">
        <f>IF(OR($D12="1 dd",$D12="2 dd",$D12="3 dd",$D12="4 dd",$D12="6 dd",$D12="8 dd",$D12="12 dd",$D12="an",$D12="1 X"),VLOOKUP($D12,PedTblTijden!$A$16:$X$26,PedTblTijden!I$14,FALSE),"")</f>
        <v/>
      </c>
      <c r="P12" s="97" t="str">
        <f>IF(OR($D12="1 dd",$D12="2 dd",$D12="3 dd",$D12="4 dd",$D12="6 dd",$D12="8 dd",$D12="12 dd",$D12="an",$D12="1 X"),VLOOKUP($D12,PedTblTijden!$A$16:$X$26,PedTblTijden!J$14,FALSE),"")</f>
        <v/>
      </c>
      <c r="Q12" s="14" t="str">
        <f>IF(OR($D12="1 dd",$D12="2 dd",$D12="3 dd",$D12="4 dd",$D12="6 dd",$D12="8 dd",$D12="12 dd",$D12="an",$D12="1 X"),VLOOKUP($D12,PedTblTijden!$A$16:$X$26,PedTblTijden!K$14,FALSE),"")</f>
        <v/>
      </c>
      <c r="R12" s="97" t="str">
        <f>IF(OR($D12="1 dd",$D12="2 dd",$D12="3 dd",$D12="4 dd",$D12="6 dd",$D12="8 dd",$D12="12 dd",$D12="an",$D12="1 X"),VLOOKUP($D12,PedTblTijden!$A$16:$X$26,PedTblTijden!L$14,FALSE),"")</f>
        <v/>
      </c>
      <c r="S12" s="14" t="str">
        <f>IF(OR($D12="1 dd",$D12="2 dd",$D12="3 dd",$D12="4 dd",$D12="6 dd",$D12="8 dd",$D12="12 dd",$D12="an",$D12="1 X"),VLOOKUP($D12,PedTblTijden!$A$16:$X$26,PedTblTijden!M$14,FALSE),"")</f>
        <v/>
      </c>
      <c r="T12" s="97" t="str">
        <f>IF(OR($D12="1 dd",$D12="2 dd",$D12="3 dd",$D12="4 dd",$D12="6 dd",$D12="8 dd",$D12="12 dd",$D12="an",$D12="1 X"),VLOOKUP($D12,PedTblTijden!$A$16:$X$26,PedTblTijden!N$14,FALSE),"")</f>
        <v/>
      </c>
      <c r="U12" s="14" t="str">
        <f>IF(OR($D12="1 dd",$D12="2 dd",$D12="3 dd",$D12="4 dd",$D12="6 dd",$D12="8 dd",$D12="12 dd",$D12="an",$D12="1 X"),VLOOKUP($D12,PedTblTijden!$A$16:$X$26,PedTblTijden!O$14,FALSE),"")</f>
        <v/>
      </c>
      <c r="V12" s="97" t="str">
        <f>IF(OR($D12="1 dd",$D12="2 dd",$D12="3 dd",$D12="4 dd",$D12="6 dd",$D12="8 dd",$D12="12 dd",$D12="an",$D12="1 X"),VLOOKUP($D12,PedTblTijden!$A$16:$X$26,PedTblTijden!P$14,FALSE),"")</f>
        <v/>
      </c>
      <c r="W12" s="14" t="str">
        <f>IF(OR($D12="1 dd",$D12="2 dd",$D12="3 dd",$D12="4 dd",$D12="6 dd",$D12="8 dd",$D12="12 dd",$D12="an",$D12="1 X"),VLOOKUP($D12,PedTblTijden!$A$16:$X$26,PedTblTijden!Q$14,FALSE),"")</f>
        <v/>
      </c>
      <c r="X12" s="97" t="str">
        <f>IF(OR($D12="1 dd",$D12="2 dd",$D12="3 dd",$D12="4 dd",$D12="6 dd",$D12="8 dd",$D12="12 dd",$D12="an",$D12="1 X"),VLOOKUP($D12,PedTblTijden!$A$16:$X$26,PedTblTijden!R$14,FALSE),"")</f>
        <v/>
      </c>
      <c r="Y12" s="14" t="str">
        <f>IF(OR($D12="1 dd",$D12="2 dd",$D12="3 dd",$D12="4 dd",$D12="6 dd",$D12="8 dd",$D12="12 dd",$D12="an",$D12="1 X"),VLOOKUP($D12,PedTblTijden!$A$16:$X$26,PedTblTijden!S$14,FALSE),"")</f>
        <v/>
      </c>
      <c r="Z12" s="97" t="str">
        <f>IF(OR($D12="1 dd",$D12="2 dd",$D12="3 dd",$D12="4 dd",$D12="6 dd",$D12="8 dd",$D12="12 dd",$D12="an",$D12="1 X"),VLOOKUP($D12,PedTblTijden!$A$16:$X$26,PedTblTijden!T$14,FALSE),"")</f>
        <v/>
      </c>
      <c r="AA12" s="14" t="str">
        <f>IF(OR($D12="1 dd",$D12="2 dd",$D12="3 dd",$D12="4 dd",$D12="6 dd",$D12="8 dd",$D12="12 dd",$D12="an",$D12="1 X"),VLOOKUP($D12,PedTblTijden!$A$16:$X$26,PedTblTijden!U$14,FALSE),"")</f>
        <v/>
      </c>
      <c r="AB12" s="97" t="str">
        <f>IF(OR($D12="1 dd",$D12="2 dd",$D12="3 dd",$D12="4 dd",$D12="6 dd",$D12="8 dd",$D12="12 dd",$D12="an",$D12="1 X"),VLOOKUP($D12,PedTblTijden!$A$16:$X$26,PedTblTijden!V$14,FALSE),"")</f>
        <v/>
      </c>
      <c r="AC12" s="14" t="str">
        <f>IF(OR($D12="1 dd",$D12="2 dd",$D12="3 dd",$D12="4 dd",$D12="6 dd",$D12="8 dd",$D12="12 dd",$D12="an",$D12="1 X"),VLOOKUP($D12,PedTblTijden!$A$16:$X$26,PedTblTijden!W$14,FALSE),"")</f>
        <v/>
      </c>
      <c r="AD12" s="97" t="str">
        <f>IF(OR($D12="1 dd",$D12="2 dd",$D12="3 dd",$D12="4 dd",$D12="6 dd",$D12="8 dd",$D12="12 dd",$D12="an",$D12="1 X"),VLOOKUP($D12,PedTblTijden!$A$16:$X$26,PedTblTijden!X$14,FALSE),"")</f>
        <v/>
      </c>
      <c r="AE12" s="16"/>
      <c r="AF12" s="96"/>
      <c r="AG12" s="16"/>
    </row>
    <row r="13" spans="1:33" ht="26.1" customHeight="1" x14ac:dyDescent="0.2">
      <c r="B13" s="98"/>
      <c r="C13" s="129" t="str">
        <f>IF(GlobBerMedDisc!C12&lt;&gt;"",IF(GlobBerMedDisc!C12&gt;1,TRIM(GlobBerMedDisc!C12)&amp;", "&amp;GlobBerOpm!#REF!&amp;" ("&amp;GlobBerMedDisc!M12&amp;" "&amp;GlobBerMedDisc!F12&amp;"/kg/dag)",TRIM(GlobBerMedDisc!C12)&amp;", "&amp;GlobBerOpm!#REF!),"")</f>
        <v/>
      </c>
      <c r="D13" s="130" t="str">
        <f>IF(GlobGuiMedDisc!I19&lt;&gt;"",GlobGuiMedDisc!I19,"")</f>
        <v/>
      </c>
      <c r="E13" s="131" t="str">
        <f>IF(AND(D13&lt;&gt;"",D13&lt;&gt;"STOP"),GlobBerMedDisc!H12&amp;" "&amp;GlobBerMedDisc!F12,"")</f>
        <v/>
      </c>
      <c r="F13" s="131" t="str">
        <f>IF(AND(D13&lt;&gt;"",D13&lt;&gt;"STOP"),GlobBerMedDisc!L12," ")</f>
        <v xml:space="preserve"> </v>
      </c>
      <c r="G13" s="131" t="str">
        <f>IF(GlobGuiMedDisc!N19&lt;&gt;"",GlobGuiMedDisc!N19&amp;" "&amp;GlobGuiMedDisc!O19&amp;" "&amp;INDEX(GlobBerMedDisc!$B$27:$B$30,GlobBerMedDisc!O12,1)&amp;" in "&amp;GlobGuiMedDisc!$R$19,"")</f>
        <v/>
      </c>
      <c r="H13" s="97" t="str">
        <f>IF(OR($D13="1 dd",$D13="2 dd",$D13="3 dd",$D13="4 dd",$D13="6 dd",$D13="8 dd",$D13="12 dd",$D13="an",$D13="1 X"),VLOOKUP($D13,PedTblTijden!$A$16:$X$26,PedTblTijden!B$14,FALSE),"")</f>
        <v/>
      </c>
      <c r="I13" s="14" t="str">
        <f>IF(OR($D13="1 dd",$D13="2 dd",$D13="3 dd",$D13="4 dd",$D13="6 dd",$D13="8 dd",$D13="12 dd",$D13="an",$D13="1 X"),VLOOKUP($D13,PedTblTijden!$A$16:$X$26,PedTblTijden!C$14,FALSE),"")</f>
        <v/>
      </c>
      <c r="J13" s="97" t="str">
        <f>IF(OR($D13="1 dd",$D13="2 dd",$D13="3 dd",$D13="4 dd",$D13="6 dd",$D13="8 dd",$D13="12 dd",$D13="an",$D13="1 X"),VLOOKUP($D13,PedTblTijden!$A$16:$X$26,PedTblTijden!D$14,FALSE),"")</f>
        <v/>
      </c>
      <c r="K13" s="14" t="str">
        <f>IF(OR($D13="1 dd",$D13="2 dd",$D13="3 dd",$D13="4 dd",$D13="6 dd",$D13="8 dd",$D13="12 dd",$D13="an",$D13="1 X"),VLOOKUP($D13,PedTblTijden!$A$16:$X$26,PedTblTijden!E$14,FALSE),"")</f>
        <v/>
      </c>
      <c r="L13" s="97" t="str">
        <f>IF(OR($D13="1 dd",$D13="2 dd",$D13="3 dd",$D13="4 dd",$D13="6 dd",$D13="8 dd",$D13="12 dd",$D13="an",$D13="1 X"),VLOOKUP($D13,PedTblTijden!$A$16:$X$26,PedTblTijden!F$14,FALSE),"")</f>
        <v/>
      </c>
      <c r="M13" s="14" t="str">
        <f>IF(OR($D13="1 dd",$D13="2 dd",$D13="3 dd",$D13="4 dd",$D13="6 dd",$D13="8 dd",$D13="12 dd",$D13="an",$D13="1 X"),VLOOKUP($D13,PedTblTijden!$A$16:$X$26,PedTblTijden!G$14,FALSE),"")</f>
        <v/>
      </c>
      <c r="N13" s="97" t="str">
        <f>IF(OR($D13="1 dd",$D13="2 dd",$D13="3 dd",$D13="4 dd",$D13="6 dd",$D13="8 dd",$D13="12 dd",$D13="an",$D13="1 X"),VLOOKUP($D13,PedTblTijden!$A$16:$X$26,PedTblTijden!H$14,FALSE),"")</f>
        <v/>
      </c>
      <c r="O13" s="14" t="str">
        <f>IF(OR($D13="1 dd",$D13="2 dd",$D13="3 dd",$D13="4 dd",$D13="6 dd",$D13="8 dd",$D13="12 dd",$D13="an",$D13="1 X"),VLOOKUP($D13,PedTblTijden!$A$16:$X$26,PedTblTijden!I$14,FALSE),"")</f>
        <v/>
      </c>
      <c r="P13" s="97" t="str">
        <f>IF(OR($D13="1 dd",$D13="2 dd",$D13="3 dd",$D13="4 dd",$D13="6 dd",$D13="8 dd",$D13="12 dd",$D13="an",$D13="1 X"),VLOOKUP($D13,PedTblTijden!$A$16:$X$26,PedTblTijden!J$14,FALSE),"")</f>
        <v/>
      </c>
      <c r="Q13" s="14" t="str">
        <f>IF(OR($D13="1 dd",$D13="2 dd",$D13="3 dd",$D13="4 dd",$D13="6 dd",$D13="8 dd",$D13="12 dd",$D13="an",$D13="1 X"),VLOOKUP($D13,PedTblTijden!$A$16:$X$26,PedTblTijden!K$14,FALSE),"")</f>
        <v/>
      </c>
      <c r="R13" s="97" t="str">
        <f>IF(OR($D13="1 dd",$D13="2 dd",$D13="3 dd",$D13="4 dd",$D13="6 dd",$D13="8 dd",$D13="12 dd",$D13="an",$D13="1 X"),VLOOKUP($D13,PedTblTijden!$A$16:$X$26,PedTblTijden!L$14,FALSE),"")</f>
        <v/>
      </c>
      <c r="S13" s="14" t="str">
        <f>IF(OR($D13="1 dd",$D13="2 dd",$D13="3 dd",$D13="4 dd",$D13="6 dd",$D13="8 dd",$D13="12 dd",$D13="an",$D13="1 X"),VLOOKUP($D13,PedTblTijden!$A$16:$X$26,PedTblTijden!M$14,FALSE),"")</f>
        <v/>
      </c>
      <c r="T13" s="97" t="str">
        <f>IF(OR($D13="1 dd",$D13="2 dd",$D13="3 dd",$D13="4 dd",$D13="6 dd",$D13="8 dd",$D13="12 dd",$D13="an",$D13="1 X"),VLOOKUP($D13,PedTblTijden!$A$16:$X$26,PedTblTijden!N$14,FALSE),"")</f>
        <v/>
      </c>
      <c r="U13" s="14" t="str">
        <f>IF(OR($D13="1 dd",$D13="2 dd",$D13="3 dd",$D13="4 dd",$D13="6 dd",$D13="8 dd",$D13="12 dd",$D13="an",$D13="1 X"),VLOOKUP($D13,PedTblTijden!$A$16:$X$26,PedTblTijden!O$14,FALSE),"")</f>
        <v/>
      </c>
      <c r="V13" s="97" t="str">
        <f>IF(OR($D13="1 dd",$D13="2 dd",$D13="3 dd",$D13="4 dd",$D13="6 dd",$D13="8 dd",$D13="12 dd",$D13="an",$D13="1 X"),VLOOKUP($D13,PedTblTijden!$A$16:$X$26,PedTblTijden!P$14,FALSE),"")</f>
        <v/>
      </c>
      <c r="W13" s="14" t="str">
        <f>IF(OR($D13="1 dd",$D13="2 dd",$D13="3 dd",$D13="4 dd",$D13="6 dd",$D13="8 dd",$D13="12 dd",$D13="an",$D13="1 X"),VLOOKUP($D13,PedTblTijden!$A$16:$X$26,PedTblTijden!Q$14,FALSE),"")</f>
        <v/>
      </c>
      <c r="X13" s="97" t="str">
        <f>IF(OR($D13="1 dd",$D13="2 dd",$D13="3 dd",$D13="4 dd",$D13="6 dd",$D13="8 dd",$D13="12 dd",$D13="an",$D13="1 X"),VLOOKUP($D13,PedTblTijden!$A$16:$X$26,PedTblTijden!R$14,FALSE),"")</f>
        <v/>
      </c>
      <c r="Y13" s="14" t="str">
        <f>IF(OR($D13="1 dd",$D13="2 dd",$D13="3 dd",$D13="4 dd",$D13="6 dd",$D13="8 dd",$D13="12 dd",$D13="an",$D13="1 X"),VLOOKUP($D13,PedTblTijden!$A$16:$X$26,PedTblTijden!S$14,FALSE),"")</f>
        <v/>
      </c>
      <c r="Z13" s="97" t="str">
        <f>IF(OR($D13="1 dd",$D13="2 dd",$D13="3 dd",$D13="4 dd",$D13="6 dd",$D13="8 dd",$D13="12 dd",$D13="an",$D13="1 X"),VLOOKUP($D13,PedTblTijden!$A$16:$X$26,PedTblTijden!T$14,FALSE),"")</f>
        <v/>
      </c>
      <c r="AA13" s="14" t="str">
        <f>IF(OR($D13="1 dd",$D13="2 dd",$D13="3 dd",$D13="4 dd",$D13="6 dd",$D13="8 dd",$D13="12 dd",$D13="an",$D13="1 X"),VLOOKUP($D13,PedTblTijden!$A$16:$X$26,PedTblTijden!U$14,FALSE),"")</f>
        <v/>
      </c>
      <c r="AB13" s="97" t="str">
        <f>IF(OR($D13="1 dd",$D13="2 dd",$D13="3 dd",$D13="4 dd",$D13="6 dd",$D13="8 dd",$D13="12 dd",$D13="an",$D13="1 X"),VLOOKUP($D13,PedTblTijden!$A$16:$X$26,PedTblTijden!V$14,FALSE),"")</f>
        <v/>
      </c>
      <c r="AC13" s="14" t="str">
        <f>IF(OR($D13="1 dd",$D13="2 dd",$D13="3 dd",$D13="4 dd",$D13="6 dd",$D13="8 dd",$D13="12 dd",$D13="an",$D13="1 X"),VLOOKUP($D13,PedTblTijden!$A$16:$X$26,PedTblTijden!W$14,FALSE),"")</f>
        <v/>
      </c>
      <c r="AD13" s="97" t="str">
        <f>IF(OR($D13="1 dd",$D13="2 dd",$D13="3 dd",$D13="4 dd",$D13="6 dd",$D13="8 dd",$D13="12 dd",$D13="an",$D13="1 X"),VLOOKUP($D13,PedTblTijden!$A$16:$X$26,PedTblTijden!X$14,FALSE),"")</f>
        <v/>
      </c>
      <c r="AE13" s="16"/>
      <c r="AF13" s="96"/>
      <c r="AG13" s="16"/>
    </row>
    <row r="14" spans="1:33" ht="26.1" customHeight="1" x14ac:dyDescent="0.2">
      <c r="B14" s="98"/>
      <c r="C14" s="129" t="str">
        <f>IF(GlobBerMedDisc!C13&lt;&gt;"",IF(GlobBerMedDisc!C13&gt;1,TRIM(GlobBerMedDisc!C13)&amp;", "&amp;GlobBerOpm!#REF!&amp;" ("&amp;GlobBerMedDisc!M13&amp;" "&amp;GlobBerMedDisc!F13&amp;"/kg/dag)",TRIM(GlobBerMedDisc!C13)&amp;", "&amp;GlobBerOpm!#REF!),"")</f>
        <v/>
      </c>
      <c r="D14" s="130" t="str">
        <f>IF(GlobGuiMedDisc!I20&lt;&gt;"",GlobGuiMedDisc!I20,"")</f>
        <v/>
      </c>
      <c r="E14" s="131" t="str">
        <f>IF(AND(D14&lt;&gt;"",D14&lt;&gt;"STOP"),GlobBerMedDisc!H13&amp;" "&amp;GlobBerMedDisc!F13,"")</f>
        <v/>
      </c>
      <c r="F14" s="131" t="str">
        <f>IF(AND(D14&lt;&gt;"",D14&lt;&gt;"STOP"),GlobBerMedDisc!L13," ")</f>
        <v xml:space="preserve"> </v>
      </c>
      <c r="G14" s="131" t="str">
        <f>IF(GlobGuiMedDisc!N20&lt;&gt;"",GlobGuiMedDisc!N20&amp;" "&amp;GlobGuiMedDisc!O20&amp;" "&amp;INDEX(GlobBerMedDisc!$B$27:$B$30,GlobBerMedDisc!O13,1)&amp;" in "&amp;GlobGuiMedDisc!$R$20,"")</f>
        <v/>
      </c>
      <c r="H14" s="97" t="str">
        <f>IF(OR($D14="1 dd",$D14="2 dd",$D14="3 dd",$D14="4 dd",$D14="6 dd",$D14="8 dd",$D14="12 dd",$D14="an",$D14="1 X"),VLOOKUP($D14,PedTblTijden!$A$16:$X$26,PedTblTijden!B$14,FALSE),"")</f>
        <v/>
      </c>
      <c r="I14" s="14" t="str">
        <f>IF(OR($D14="1 dd",$D14="2 dd",$D14="3 dd",$D14="4 dd",$D14="6 dd",$D14="8 dd",$D14="12 dd",$D14="an",$D14="1 X"),VLOOKUP($D14,PedTblTijden!$A$16:$X$26,PedTblTijden!C$14,FALSE),"")</f>
        <v/>
      </c>
      <c r="J14" s="97" t="str">
        <f>IF(OR($D14="1 dd",$D14="2 dd",$D14="3 dd",$D14="4 dd",$D14="6 dd",$D14="8 dd",$D14="12 dd",$D14="an",$D14="1 X"),VLOOKUP($D14,PedTblTijden!$A$16:$X$26,PedTblTijden!D$14,FALSE),"")</f>
        <v/>
      </c>
      <c r="K14" s="14" t="str">
        <f>IF(OR($D14="1 dd",$D14="2 dd",$D14="3 dd",$D14="4 dd",$D14="6 dd",$D14="8 dd",$D14="12 dd",$D14="an",$D14="1 X"),VLOOKUP($D14,PedTblTijden!$A$16:$X$26,PedTblTijden!E$14,FALSE),"")</f>
        <v/>
      </c>
      <c r="L14" s="97" t="str">
        <f>IF(OR($D14="1 dd",$D14="2 dd",$D14="3 dd",$D14="4 dd",$D14="6 dd",$D14="8 dd",$D14="12 dd",$D14="an",$D14="1 X"),VLOOKUP($D14,PedTblTijden!$A$16:$X$26,PedTblTijden!F$14,FALSE),"")</f>
        <v/>
      </c>
      <c r="M14" s="14" t="str">
        <f>IF(OR($D14="1 dd",$D14="2 dd",$D14="3 dd",$D14="4 dd",$D14="6 dd",$D14="8 dd",$D14="12 dd",$D14="an",$D14="1 X"),VLOOKUP($D14,PedTblTijden!$A$16:$X$26,PedTblTijden!G$14,FALSE),"")</f>
        <v/>
      </c>
      <c r="N14" s="97" t="str">
        <f>IF(OR($D14="1 dd",$D14="2 dd",$D14="3 dd",$D14="4 dd",$D14="6 dd",$D14="8 dd",$D14="12 dd",$D14="an",$D14="1 X"),VLOOKUP($D14,PedTblTijden!$A$16:$X$26,PedTblTijden!H$14,FALSE),"")</f>
        <v/>
      </c>
      <c r="O14" s="14" t="str">
        <f>IF(OR($D14="1 dd",$D14="2 dd",$D14="3 dd",$D14="4 dd",$D14="6 dd",$D14="8 dd",$D14="12 dd",$D14="an",$D14="1 X"),VLOOKUP($D14,PedTblTijden!$A$16:$X$26,PedTblTijden!I$14,FALSE),"")</f>
        <v/>
      </c>
      <c r="P14" s="97" t="str">
        <f>IF(OR($D14="1 dd",$D14="2 dd",$D14="3 dd",$D14="4 dd",$D14="6 dd",$D14="8 dd",$D14="12 dd",$D14="an",$D14="1 X"),VLOOKUP($D14,PedTblTijden!$A$16:$X$26,PedTblTijden!J$14,FALSE),"")</f>
        <v/>
      </c>
      <c r="Q14" s="14" t="str">
        <f>IF(OR($D14="1 dd",$D14="2 dd",$D14="3 dd",$D14="4 dd",$D14="6 dd",$D14="8 dd",$D14="12 dd",$D14="an",$D14="1 X"),VLOOKUP($D14,PedTblTijden!$A$16:$X$26,PedTblTijden!K$14,FALSE),"")</f>
        <v/>
      </c>
      <c r="R14" s="97" t="str">
        <f>IF(OR($D14="1 dd",$D14="2 dd",$D14="3 dd",$D14="4 dd",$D14="6 dd",$D14="8 dd",$D14="12 dd",$D14="an",$D14="1 X"),VLOOKUP($D14,PedTblTijden!$A$16:$X$26,PedTblTijden!L$14,FALSE),"")</f>
        <v/>
      </c>
      <c r="S14" s="14" t="str">
        <f>IF(OR($D14="1 dd",$D14="2 dd",$D14="3 dd",$D14="4 dd",$D14="6 dd",$D14="8 dd",$D14="12 dd",$D14="an",$D14="1 X"),VLOOKUP($D14,PedTblTijden!$A$16:$X$26,PedTblTijden!M$14,FALSE),"")</f>
        <v/>
      </c>
      <c r="T14" s="97" t="str">
        <f>IF(OR($D14="1 dd",$D14="2 dd",$D14="3 dd",$D14="4 dd",$D14="6 dd",$D14="8 dd",$D14="12 dd",$D14="an",$D14="1 X"),VLOOKUP($D14,PedTblTijden!$A$16:$X$26,PedTblTijden!N$14,FALSE),"")</f>
        <v/>
      </c>
      <c r="U14" s="14" t="str">
        <f>IF(OR($D14="1 dd",$D14="2 dd",$D14="3 dd",$D14="4 dd",$D14="6 dd",$D14="8 dd",$D14="12 dd",$D14="an",$D14="1 X"),VLOOKUP($D14,PedTblTijden!$A$16:$X$26,PedTblTijden!O$14,FALSE),"")</f>
        <v/>
      </c>
      <c r="V14" s="97" t="str">
        <f>IF(OR($D14="1 dd",$D14="2 dd",$D14="3 dd",$D14="4 dd",$D14="6 dd",$D14="8 dd",$D14="12 dd",$D14="an",$D14="1 X"),VLOOKUP($D14,PedTblTijden!$A$16:$X$26,PedTblTijden!P$14,FALSE),"")</f>
        <v/>
      </c>
      <c r="W14" s="14" t="str">
        <f>IF(OR($D14="1 dd",$D14="2 dd",$D14="3 dd",$D14="4 dd",$D14="6 dd",$D14="8 dd",$D14="12 dd",$D14="an",$D14="1 X"),VLOOKUP($D14,PedTblTijden!$A$16:$X$26,PedTblTijden!Q$14,FALSE),"")</f>
        <v/>
      </c>
      <c r="X14" s="97" t="str">
        <f>IF(OR($D14="1 dd",$D14="2 dd",$D14="3 dd",$D14="4 dd",$D14="6 dd",$D14="8 dd",$D14="12 dd",$D14="an",$D14="1 X"),VLOOKUP($D14,PedTblTijden!$A$16:$X$26,PedTblTijden!R$14,FALSE),"")</f>
        <v/>
      </c>
      <c r="Y14" s="14" t="str">
        <f>IF(OR($D14="1 dd",$D14="2 dd",$D14="3 dd",$D14="4 dd",$D14="6 dd",$D14="8 dd",$D14="12 dd",$D14="an",$D14="1 X"),VLOOKUP($D14,PedTblTijden!$A$16:$X$26,PedTblTijden!S$14,FALSE),"")</f>
        <v/>
      </c>
      <c r="Z14" s="97" t="str">
        <f>IF(OR($D14="1 dd",$D14="2 dd",$D14="3 dd",$D14="4 dd",$D14="6 dd",$D14="8 dd",$D14="12 dd",$D14="an",$D14="1 X"),VLOOKUP($D14,PedTblTijden!$A$16:$X$26,PedTblTijden!T$14,FALSE),"")</f>
        <v/>
      </c>
      <c r="AA14" s="14" t="str">
        <f>IF(OR($D14="1 dd",$D14="2 dd",$D14="3 dd",$D14="4 dd",$D14="6 dd",$D14="8 dd",$D14="12 dd",$D14="an",$D14="1 X"),VLOOKUP($D14,PedTblTijden!$A$16:$X$26,PedTblTijden!U$14,FALSE),"")</f>
        <v/>
      </c>
      <c r="AB14" s="97" t="str">
        <f>IF(OR($D14="1 dd",$D14="2 dd",$D14="3 dd",$D14="4 dd",$D14="6 dd",$D14="8 dd",$D14="12 dd",$D14="an",$D14="1 X"),VLOOKUP($D14,PedTblTijden!$A$16:$X$26,PedTblTijden!V$14,FALSE),"")</f>
        <v/>
      </c>
      <c r="AC14" s="14" t="str">
        <f>IF(OR($D14="1 dd",$D14="2 dd",$D14="3 dd",$D14="4 dd",$D14="6 dd",$D14="8 dd",$D14="12 dd",$D14="an",$D14="1 X"),VLOOKUP($D14,PedTblTijden!$A$16:$X$26,PedTblTijden!W$14,FALSE),"")</f>
        <v/>
      </c>
      <c r="AD14" s="97" t="str">
        <f>IF(OR($D14="1 dd",$D14="2 dd",$D14="3 dd",$D14="4 dd",$D14="6 dd",$D14="8 dd",$D14="12 dd",$D14="an",$D14="1 X"),VLOOKUP($D14,PedTblTijden!$A$16:$X$26,PedTblTijden!X$14,FALSE),"")</f>
        <v/>
      </c>
      <c r="AE14" s="16"/>
      <c r="AF14" s="96"/>
      <c r="AG14" s="16"/>
    </row>
    <row r="15" spans="1:33" ht="26.1" customHeight="1" x14ac:dyDescent="0.2">
      <c r="B15" s="98"/>
      <c r="C15" s="129" t="str">
        <f>IF(GlobBerMedDisc!C14&lt;&gt;"",IF(GlobBerMedDisc!C14&gt;1,TRIM(GlobBerMedDisc!C14)&amp;", "&amp;GlobBerOpm!#REF!&amp;" ("&amp;GlobBerMedDisc!M14&amp;" "&amp;GlobBerMedDisc!F14&amp;"/kg/dag)",TRIM(GlobBerMedDisc!C14)&amp;", "&amp;GlobBerOpm!#REF!),"")</f>
        <v/>
      </c>
      <c r="D15" s="130" t="str">
        <f>IF(GlobGuiMedDisc!I21&lt;&gt;"",GlobGuiMedDisc!I21,"")</f>
        <v/>
      </c>
      <c r="E15" s="131" t="str">
        <f>IF(AND(D15&lt;&gt;"",D15&lt;&gt;"STOP"),GlobBerMedDisc!H14&amp;" "&amp;GlobBerMedDisc!F14,"")</f>
        <v/>
      </c>
      <c r="F15" s="131" t="str">
        <f>IF(AND(D15&lt;&gt;"",D15&lt;&gt;"STOP"),GlobBerMedDisc!L14," ")</f>
        <v xml:space="preserve"> </v>
      </c>
      <c r="G15" s="131" t="str">
        <f>IF(GlobGuiMedDisc!N21&lt;&gt;"",GlobGuiMedDisc!N21&amp;" "&amp;GlobGuiMedDisc!O21&amp;" "&amp;INDEX(GlobBerMedDisc!$B$27:$B$30,GlobBerMedDisc!O14,1)&amp;" in "&amp;GlobGuiMedDisc!$R$21,"")</f>
        <v/>
      </c>
      <c r="H15" s="97" t="str">
        <f>IF(OR($D15="1 dd",$D15="2 dd",$D15="3 dd",$D15="4 dd",$D15="6 dd",$D15="8 dd",$D15="12 dd",$D15="an",$D15="1 X"),VLOOKUP($D15,PedTblTijden!$A$16:$X$26,PedTblTijden!B$14,FALSE),"")</f>
        <v/>
      </c>
      <c r="I15" s="14" t="str">
        <f>IF(OR($D15="1 dd",$D15="2 dd",$D15="3 dd",$D15="4 dd",$D15="6 dd",$D15="8 dd",$D15="12 dd",$D15="an",$D15="1 X"),VLOOKUP($D15,PedTblTijden!$A$16:$X$26,PedTblTijden!C$14,FALSE),"")</f>
        <v/>
      </c>
      <c r="J15" s="97" t="str">
        <f>IF(OR($D15="1 dd",$D15="2 dd",$D15="3 dd",$D15="4 dd",$D15="6 dd",$D15="8 dd",$D15="12 dd",$D15="an",$D15="1 X"),VLOOKUP($D15,PedTblTijden!$A$16:$X$26,PedTblTijden!D$14,FALSE),"")</f>
        <v/>
      </c>
      <c r="K15" s="14" t="str">
        <f>IF(OR($D15="1 dd",$D15="2 dd",$D15="3 dd",$D15="4 dd",$D15="6 dd",$D15="8 dd",$D15="12 dd",$D15="an",$D15="1 X"),VLOOKUP($D15,PedTblTijden!$A$16:$X$26,PedTblTijden!E$14,FALSE),"")</f>
        <v/>
      </c>
      <c r="L15" s="97" t="str">
        <f>IF(OR($D15="1 dd",$D15="2 dd",$D15="3 dd",$D15="4 dd",$D15="6 dd",$D15="8 dd",$D15="12 dd",$D15="an",$D15="1 X"),VLOOKUP($D15,PedTblTijden!$A$16:$X$26,PedTblTijden!F$14,FALSE),"")</f>
        <v/>
      </c>
      <c r="M15" s="14" t="str">
        <f>IF(OR($D15="1 dd",$D15="2 dd",$D15="3 dd",$D15="4 dd",$D15="6 dd",$D15="8 dd",$D15="12 dd",$D15="an",$D15="1 X"),VLOOKUP($D15,PedTblTijden!$A$16:$X$26,PedTblTijden!G$14,FALSE),"")</f>
        <v/>
      </c>
      <c r="N15" s="97" t="str">
        <f>IF(OR($D15="1 dd",$D15="2 dd",$D15="3 dd",$D15="4 dd",$D15="6 dd",$D15="8 dd",$D15="12 dd",$D15="an",$D15="1 X"),VLOOKUP($D15,PedTblTijden!$A$16:$X$26,PedTblTijden!H$14,FALSE),"")</f>
        <v/>
      </c>
      <c r="O15" s="14" t="str">
        <f>IF(OR($D15="1 dd",$D15="2 dd",$D15="3 dd",$D15="4 dd",$D15="6 dd",$D15="8 dd",$D15="12 dd",$D15="an",$D15="1 X"),VLOOKUP($D15,PedTblTijden!$A$16:$X$26,PedTblTijden!I$14,FALSE),"")</f>
        <v/>
      </c>
      <c r="P15" s="97" t="str">
        <f>IF(OR($D15="1 dd",$D15="2 dd",$D15="3 dd",$D15="4 dd",$D15="6 dd",$D15="8 dd",$D15="12 dd",$D15="an",$D15="1 X"),VLOOKUP($D15,PedTblTijden!$A$16:$X$26,PedTblTijden!J$14,FALSE),"")</f>
        <v/>
      </c>
      <c r="Q15" s="14" t="str">
        <f>IF(OR($D15="1 dd",$D15="2 dd",$D15="3 dd",$D15="4 dd",$D15="6 dd",$D15="8 dd",$D15="12 dd",$D15="an",$D15="1 X"),VLOOKUP($D15,PedTblTijden!$A$16:$X$26,PedTblTijden!K$14,FALSE),"")</f>
        <v/>
      </c>
      <c r="R15" s="97" t="str">
        <f>IF(OR($D15="1 dd",$D15="2 dd",$D15="3 dd",$D15="4 dd",$D15="6 dd",$D15="8 dd",$D15="12 dd",$D15="an",$D15="1 X"),VLOOKUP($D15,PedTblTijden!$A$16:$X$26,PedTblTijden!L$14,FALSE),"")</f>
        <v/>
      </c>
      <c r="S15" s="14" t="str">
        <f>IF(OR($D15="1 dd",$D15="2 dd",$D15="3 dd",$D15="4 dd",$D15="6 dd",$D15="8 dd",$D15="12 dd",$D15="an",$D15="1 X"),VLOOKUP($D15,PedTblTijden!$A$16:$X$26,PedTblTijden!M$14,FALSE),"")</f>
        <v/>
      </c>
      <c r="T15" s="97" t="str">
        <f>IF(OR($D15="1 dd",$D15="2 dd",$D15="3 dd",$D15="4 dd",$D15="6 dd",$D15="8 dd",$D15="12 dd",$D15="an",$D15="1 X"),VLOOKUP($D15,PedTblTijden!$A$16:$X$26,PedTblTijden!N$14,FALSE),"")</f>
        <v/>
      </c>
      <c r="U15" s="14" t="str">
        <f>IF(OR($D15="1 dd",$D15="2 dd",$D15="3 dd",$D15="4 dd",$D15="6 dd",$D15="8 dd",$D15="12 dd",$D15="an",$D15="1 X"),VLOOKUP($D15,PedTblTijden!$A$16:$X$26,PedTblTijden!O$14,FALSE),"")</f>
        <v/>
      </c>
      <c r="V15" s="97" t="str">
        <f>IF(OR($D15="1 dd",$D15="2 dd",$D15="3 dd",$D15="4 dd",$D15="6 dd",$D15="8 dd",$D15="12 dd",$D15="an",$D15="1 X"),VLOOKUP($D15,PedTblTijden!$A$16:$X$26,PedTblTijden!P$14,FALSE),"")</f>
        <v/>
      </c>
      <c r="W15" s="14" t="str">
        <f>IF(OR($D15="1 dd",$D15="2 dd",$D15="3 dd",$D15="4 dd",$D15="6 dd",$D15="8 dd",$D15="12 dd",$D15="an",$D15="1 X"),VLOOKUP($D15,PedTblTijden!$A$16:$X$26,PedTblTijden!Q$14,FALSE),"")</f>
        <v/>
      </c>
      <c r="X15" s="97" t="str">
        <f>IF(OR($D15="1 dd",$D15="2 dd",$D15="3 dd",$D15="4 dd",$D15="6 dd",$D15="8 dd",$D15="12 dd",$D15="an",$D15="1 X"),VLOOKUP($D15,PedTblTijden!$A$16:$X$26,PedTblTijden!R$14,FALSE),"")</f>
        <v/>
      </c>
      <c r="Y15" s="14" t="str">
        <f>IF(OR($D15="1 dd",$D15="2 dd",$D15="3 dd",$D15="4 dd",$D15="6 dd",$D15="8 dd",$D15="12 dd",$D15="an",$D15="1 X"),VLOOKUP($D15,PedTblTijden!$A$16:$X$26,PedTblTijden!S$14,FALSE),"")</f>
        <v/>
      </c>
      <c r="Z15" s="97" t="str">
        <f>IF(OR($D15="1 dd",$D15="2 dd",$D15="3 dd",$D15="4 dd",$D15="6 dd",$D15="8 dd",$D15="12 dd",$D15="an",$D15="1 X"),VLOOKUP($D15,PedTblTijden!$A$16:$X$26,PedTblTijden!T$14,FALSE),"")</f>
        <v/>
      </c>
      <c r="AA15" s="14" t="str">
        <f>IF(OR($D15="1 dd",$D15="2 dd",$D15="3 dd",$D15="4 dd",$D15="6 dd",$D15="8 dd",$D15="12 dd",$D15="an",$D15="1 X"),VLOOKUP($D15,PedTblTijden!$A$16:$X$26,PedTblTijden!U$14,FALSE),"")</f>
        <v/>
      </c>
      <c r="AB15" s="97" t="str">
        <f>IF(OR($D15="1 dd",$D15="2 dd",$D15="3 dd",$D15="4 dd",$D15="6 dd",$D15="8 dd",$D15="12 dd",$D15="an",$D15="1 X"),VLOOKUP($D15,PedTblTijden!$A$16:$X$26,PedTblTijden!V$14,FALSE),"")</f>
        <v/>
      </c>
      <c r="AC15" s="14" t="str">
        <f>IF(OR($D15="1 dd",$D15="2 dd",$D15="3 dd",$D15="4 dd",$D15="6 dd",$D15="8 dd",$D15="12 dd",$D15="an",$D15="1 X"),VLOOKUP($D15,PedTblTijden!$A$16:$X$26,PedTblTijden!W$14,FALSE),"")</f>
        <v/>
      </c>
      <c r="AD15" s="97" t="str">
        <f>IF(OR($D15="1 dd",$D15="2 dd",$D15="3 dd",$D15="4 dd",$D15="6 dd",$D15="8 dd",$D15="12 dd",$D15="an",$D15="1 X"),VLOOKUP($D15,PedTblTijden!$A$16:$X$26,PedTblTijden!X$14,FALSE),"")</f>
        <v/>
      </c>
      <c r="AE15" s="16"/>
      <c r="AF15" s="96"/>
      <c r="AG15" s="16"/>
    </row>
    <row r="16" spans="1:33" ht="26.1" customHeight="1" x14ac:dyDescent="0.2">
      <c r="B16" s="98"/>
      <c r="C16" s="129" t="str">
        <f>IF(GlobBerMedDisc!C15&lt;&gt;"",IF(GlobBerMedDisc!C15&gt;1,TRIM(GlobBerMedDisc!C15)&amp;", "&amp;GlobBerOpm!#REF!&amp;" ("&amp;GlobBerMedDisc!M15&amp;" "&amp;GlobBerMedDisc!F15&amp;"/kg/dag)",TRIM(GlobBerMedDisc!C15)&amp;", "&amp;GlobBerOpm!#REF!),"")</f>
        <v/>
      </c>
      <c r="D16" s="130" t="str">
        <f>IF(GlobGuiMedDisc!I22&lt;&gt;"",GlobGuiMedDisc!I22,"")</f>
        <v/>
      </c>
      <c r="E16" s="131" t="str">
        <f>IF(AND(D16&lt;&gt;"",D16&lt;&gt;"STOP"),GlobBerMedDisc!H15&amp;" "&amp;GlobBerMedDisc!F15,"")</f>
        <v/>
      </c>
      <c r="F16" s="131" t="str">
        <f>IF(AND(D16&lt;&gt;"",D16&lt;&gt;"STOP"),GlobBerMedDisc!L15," ")</f>
        <v xml:space="preserve"> </v>
      </c>
      <c r="G16" s="131" t="str">
        <f>IF(GlobGuiMedDisc!N22&lt;&gt;"",GlobGuiMedDisc!N22&amp;" "&amp;GlobGuiMedDisc!O22&amp;" "&amp;INDEX(GlobBerMedDisc!$B$27:$B$30,GlobBerMedDisc!O15,1)&amp;" in "&amp;GlobGuiMedDisc!$R$22,"")</f>
        <v/>
      </c>
      <c r="H16" s="97" t="str">
        <f>IF(OR($D16="1 dd",$D16="2 dd",$D16="3 dd",$D16="4 dd",$D16="6 dd",$D16="8 dd",$D16="12 dd",$D16="an",$D16="1 X"),VLOOKUP($D16,PedTblTijden!$A$16:$X$26,PedTblTijden!B$14,FALSE),"")</f>
        <v/>
      </c>
      <c r="I16" s="14" t="str">
        <f>IF(OR($D16="1 dd",$D16="2 dd",$D16="3 dd",$D16="4 dd",$D16="6 dd",$D16="8 dd",$D16="12 dd",$D16="an",$D16="1 X"),VLOOKUP($D16,PedTblTijden!$A$16:$X$26,PedTblTijden!C$14,FALSE),"")</f>
        <v/>
      </c>
      <c r="J16" s="97" t="str">
        <f>IF(OR($D16="1 dd",$D16="2 dd",$D16="3 dd",$D16="4 dd",$D16="6 dd",$D16="8 dd",$D16="12 dd",$D16="an",$D16="1 X"),VLOOKUP($D16,PedTblTijden!$A$16:$X$26,PedTblTijden!D$14,FALSE),"")</f>
        <v/>
      </c>
      <c r="K16" s="14" t="str">
        <f>IF(OR($D16="1 dd",$D16="2 dd",$D16="3 dd",$D16="4 dd",$D16="6 dd",$D16="8 dd",$D16="12 dd",$D16="an",$D16="1 X"),VLOOKUP($D16,PedTblTijden!$A$16:$X$26,PedTblTijden!E$14,FALSE),"")</f>
        <v/>
      </c>
      <c r="L16" s="97" t="str">
        <f>IF(OR($D16="1 dd",$D16="2 dd",$D16="3 dd",$D16="4 dd",$D16="6 dd",$D16="8 dd",$D16="12 dd",$D16="an",$D16="1 X"),VLOOKUP($D16,PedTblTijden!$A$16:$X$26,PedTblTijden!F$14,FALSE),"")</f>
        <v/>
      </c>
      <c r="M16" s="14" t="str">
        <f>IF(OR($D16="1 dd",$D16="2 dd",$D16="3 dd",$D16="4 dd",$D16="6 dd",$D16="8 dd",$D16="12 dd",$D16="an",$D16="1 X"),VLOOKUP($D16,PedTblTijden!$A$16:$X$26,PedTblTijden!G$14,FALSE),"")</f>
        <v/>
      </c>
      <c r="N16" s="97" t="str">
        <f>IF(OR($D16="1 dd",$D16="2 dd",$D16="3 dd",$D16="4 dd",$D16="6 dd",$D16="8 dd",$D16="12 dd",$D16="an",$D16="1 X"),VLOOKUP($D16,PedTblTijden!$A$16:$X$26,PedTblTijden!H$14,FALSE),"")</f>
        <v/>
      </c>
      <c r="O16" s="14" t="str">
        <f>IF(OR($D16="1 dd",$D16="2 dd",$D16="3 dd",$D16="4 dd",$D16="6 dd",$D16="8 dd",$D16="12 dd",$D16="an",$D16="1 X"),VLOOKUP($D16,PedTblTijden!$A$16:$X$26,PedTblTijden!I$14,FALSE),"")</f>
        <v/>
      </c>
      <c r="P16" s="97" t="str">
        <f>IF(OR($D16="1 dd",$D16="2 dd",$D16="3 dd",$D16="4 dd",$D16="6 dd",$D16="8 dd",$D16="12 dd",$D16="an",$D16="1 X"),VLOOKUP($D16,PedTblTijden!$A$16:$X$26,PedTblTijden!J$14,FALSE),"")</f>
        <v/>
      </c>
      <c r="Q16" s="14" t="str">
        <f>IF(OR($D16="1 dd",$D16="2 dd",$D16="3 dd",$D16="4 dd",$D16="6 dd",$D16="8 dd",$D16="12 dd",$D16="an",$D16="1 X"),VLOOKUP($D16,PedTblTijden!$A$16:$X$26,PedTblTijden!K$14,FALSE),"")</f>
        <v/>
      </c>
      <c r="R16" s="97" t="str">
        <f>IF(OR($D16="1 dd",$D16="2 dd",$D16="3 dd",$D16="4 dd",$D16="6 dd",$D16="8 dd",$D16="12 dd",$D16="an",$D16="1 X"),VLOOKUP($D16,PedTblTijden!$A$16:$X$26,PedTblTijden!L$14,FALSE),"")</f>
        <v/>
      </c>
      <c r="S16" s="14" t="str">
        <f>IF(OR($D16="1 dd",$D16="2 dd",$D16="3 dd",$D16="4 dd",$D16="6 dd",$D16="8 dd",$D16="12 dd",$D16="an",$D16="1 X"),VLOOKUP($D16,PedTblTijden!$A$16:$X$26,PedTblTijden!M$14,FALSE),"")</f>
        <v/>
      </c>
      <c r="T16" s="97" t="str">
        <f>IF(OR($D16="1 dd",$D16="2 dd",$D16="3 dd",$D16="4 dd",$D16="6 dd",$D16="8 dd",$D16="12 dd",$D16="an",$D16="1 X"),VLOOKUP($D16,PedTblTijden!$A$16:$X$26,PedTblTijden!N$14,FALSE),"")</f>
        <v/>
      </c>
      <c r="U16" s="14" t="str">
        <f>IF(OR($D16="1 dd",$D16="2 dd",$D16="3 dd",$D16="4 dd",$D16="6 dd",$D16="8 dd",$D16="12 dd",$D16="an",$D16="1 X"),VLOOKUP($D16,PedTblTijden!$A$16:$X$26,PedTblTijden!O$14,FALSE),"")</f>
        <v/>
      </c>
      <c r="V16" s="97" t="str">
        <f>IF(OR($D16="1 dd",$D16="2 dd",$D16="3 dd",$D16="4 dd",$D16="6 dd",$D16="8 dd",$D16="12 dd",$D16="an",$D16="1 X"),VLOOKUP($D16,PedTblTijden!$A$16:$X$26,PedTblTijden!P$14,FALSE),"")</f>
        <v/>
      </c>
      <c r="W16" s="14" t="str">
        <f>IF(OR($D16="1 dd",$D16="2 dd",$D16="3 dd",$D16="4 dd",$D16="6 dd",$D16="8 dd",$D16="12 dd",$D16="an",$D16="1 X"),VLOOKUP($D16,PedTblTijden!$A$16:$X$26,PedTblTijden!Q$14,FALSE),"")</f>
        <v/>
      </c>
      <c r="X16" s="97" t="str">
        <f>IF(OR($D16="1 dd",$D16="2 dd",$D16="3 dd",$D16="4 dd",$D16="6 dd",$D16="8 dd",$D16="12 dd",$D16="an",$D16="1 X"),VLOOKUP($D16,PedTblTijden!$A$16:$X$26,PedTblTijden!R$14,FALSE),"")</f>
        <v/>
      </c>
      <c r="Y16" s="14" t="str">
        <f>IF(OR($D16="1 dd",$D16="2 dd",$D16="3 dd",$D16="4 dd",$D16="6 dd",$D16="8 dd",$D16="12 dd",$D16="an",$D16="1 X"),VLOOKUP($D16,PedTblTijden!$A$16:$X$26,PedTblTijden!S$14,FALSE),"")</f>
        <v/>
      </c>
      <c r="Z16" s="97" t="str">
        <f>IF(OR($D16="1 dd",$D16="2 dd",$D16="3 dd",$D16="4 dd",$D16="6 dd",$D16="8 dd",$D16="12 dd",$D16="an",$D16="1 X"),VLOOKUP($D16,PedTblTijden!$A$16:$X$26,PedTblTijden!T$14,FALSE),"")</f>
        <v/>
      </c>
      <c r="AA16" s="14" t="str">
        <f>IF(OR($D16="1 dd",$D16="2 dd",$D16="3 dd",$D16="4 dd",$D16="6 dd",$D16="8 dd",$D16="12 dd",$D16="an",$D16="1 X"),VLOOKUP($D16,PedTblTijden!$A$16:$X$26,PedTblTijden!U$14,FALSE),"")</f>
        <v/>
      </c>
      <c r="AB16" s="97" t="str">
        <f>IF(OR($D16="1 dd",$D16="2 dd",$D16="3 dd",$D16="4 dd",$D16="6 dd",$D16="8 dd",$D16="12 dd",$D16="an",$D16="1 X"),VLOOKUP($D16,PedTblTijden!$A$16:$X$26,PedTblTijden!V$14,FALSE),"")</f>
        <v/>
      </c>
      <c r="AC16" s="14" t="str">
        <f>IF(OR($D16="1 dd",$D16="2 dd",$D16="3 dd",$D16="4 dd",$D16="6 dd",$D16="8 dd",$D16="12 dd",$D16="an",$D16="1 X"),VLOOKUP($D16,PedTblTijden!$A$16:$X$26,PedTblTijden!W$14,FALSE),"")</f>
        <v/>
      </c>
      <c r="AD16" s="97" t="str">
        <f>IF(OR($D16="1 dd",$D16="2 dd",$D16="3 dd",$D16="4 dd",$D16="6 dd",$D16="8 dd",$D16="12 dd",$D16="an",$D16="1 X"),VLOOKUP($D16,PedTblTijden!$A$16:$X$26,PedTblTijden!X$14,FALSE),"")</f>
        <v/>
      </c>
      <c r="AE16" s="16"/>
      <c r="AF16" s="96"/>
      <c r="AG16" s="16"/>
    </row>
    <row r="17" spans="2:33" ht="26.1" customHeight="1" x14ac:dyDescent="0.2">
      <c r="B17" s="98"/>
      <c r="C17" s="129" t="str">
        <f>IF(GlobBerMedDisc!C16&lt;&gt;"",IF(GlobBerMedDisc!C16&gt;1,TRIM(GlobBerMedDisc!C16)&amp;", "&amp;GlobBerOpm!#REF!&amp;" ("&amp;GlobBerMedDisc!M16&amp;" "&amp;GlobBerMedDisc!F16&amp;"/kg/dag)",TRIM(GlobBerMedDisc!C16)&amp;", "&amp;GlobBerOpm!#REF!),"")</f>
        <v/>
      </c>
      <c r="D17" s="130" t="str">
        <f>IF(GlobGuiMedDisc!I23&lt;&gt;"",GlobGuiMedDisc!I23,"")</f>
        <v/>
      </c>
      <c r="E17" s="131" t="str">
        <f>IF(AND(D17&lt;&gt;"",D17&lt;&gt;"STOP"),GlobBerMedDisc!H16&amp;" "&amp;GlobBerMedDisc!F16,"")</f>
        <v/>
      </c>
      <c r="F17" s="131" t="str">
        <f>IF(AND(D17&lt;&gt;"",D17&lt;&gt;"STOP"),GlobBerMedDisc!L16," ")</f>
        <v xml:space="preserve"> </v>
      </c>
      <c r="G17" s="131" t="str">
        <f>IF(GlobGuiMedDisc!N23&lt;&gt;"",GlobGuiMedDisc!N23&amp;" "&amp;GlobGuiMedDisc!O23&amp;" "&amp;INDEX(GlobBerMedDisc!$B$27:$B$30,GlobBerMedDisc!O16,1)&amp;" in "&amp;GlobGuiMedDisc!$R$23,"")</f>
        <v/>
      </c>
      <c r="H17" s="97" t="str">
        <f>IF(OR($D17="1 dd",$D17="2 dd",$D17="3 dd",$D17="4 dd",$D17="6 dd",$D17="8 dd",$D17="12 dd",$D17="an",$D17="1 X"),VLOOKUP($D17,PedTblTijden!$A$16:$X$26,PedTblTijden!B$14,FALSE),"")</f>
        <v/>
      </c>
      <c r="I17" s="14" t="str">
        <f>IF(OR($D17="1 dd",$D17="2 dd",$D17="3 dd",$D17="4 dd",$D17="6 dd",$D17="8 dd",$D17="12 dd",$D17="an",$D17="1 X"),VLOOKUP($D17,PedTblTijden!$A$16:$X$26,PedTblTijden!C$14,FALSE),"")</f>
        <v/>
      </c>
      <c r="J17" s="97" t="str">
        <f>IF(OR($D17="1 dd",$D17="2 dd",$D17="3 dd",$D17="4 dd",$D17="6 dd",$D17="8 dd",$D17="12 dd",$D17="an",$D17="1 X"),VLOOKUP($D17,PedTblTijden!$A$16:$X$26,PedTblTijden!D$14,FALSE),"")</f>
        <v/>
      </c>
      <c r="K17" s="14" t="str">
        <f>IF(OR($D17="1 dd",$D17="2 dd",$D17="3 dd",$D17="4 dd",$D17="6 dd",$D17="8 dd",$D17="12 dd",$D17="an",$D17="1 X"),VLOOKUP($D17,PedTblTijden!$A$16:$X$26,PedTblTijden!E$14,FALSE),"")</f>
        <v/>
      </c>
      <c r="L17" s="97" t="str">
        <f>IF(OR($D17="1 dd",$D17="2 dd",$D17="3 dd",$D17="4 dd",$D17="6 dd",$D17="8 dd",$D17="12 dd",$D17="an",$D17="1 X"),VLOOKUP($D17,PedTblTijden!$A$16:$X$26,PedTblTijden!F$14,FALSE),"")</f>
        <v/>
      </c>
      <c r="M17" s="14" t="str">
        <f>IF(OR($D17="1 dd",$D17="2 dd",$D17="3 dd",$D17="4 dd",$D17="6 dd",$D17="8 dd",$D17="12 dd",$D17="an",$D17="1 X"),VLOOKUP($D17,PedTblTijden!$A$16:$X$26,PedTblTijden!G$14,FALSE),"")</f>
        <v/>
      </c>
      <c r="N17" s="97" t="str">
        <f>IF(OR($D17="1 dd",$D17="2 dd",$D17="3 dd",$D17="4 dd",$D17="6 dd",$D17="8 dd",$D17="12 dd",$D17="an",$D17="1 X"),VLOOKUP($D17,PedTblTijden!$A$16:$X$26,PedTblTijden!H$14,FALSE),"")</f>
        <v/>
      </c>
      <c r="O17" s="14" t="str">
        <f>IF(OR($D17="1 dd",$D17="2 dd",$D17="3 dd",$D17="4 dd",$D17="6 dd",$D17="8 dd",$D17="12 dd",$D17="an",$D17="1 X"),VLOOKUP($D17,PedTblTijden!$A$16:$X$26,PedTblTijden!I$14,FALSE),"")</f>
        <v/>
      </c>
      <c r="P17" s="97" t="str">
        <f>IF(OR($D17="1 dd",$D17="2 dd",$D17="3 dd",$D17="4 dd",$D17="6 dd",$D17="8 dd",$D17="12 dd",$D17="an",$D17="1 X"),VLOOKUP($D17,PedTblTijden!$A$16:$X$26,PedTblTijden!J$14,FALSE),"")</f>
        <v/>
      </c>
      <c r="Q17" s="14" t="str">
        <f>IF(OR($D17="1 dd",$D17="2 dd",$D17="3 dd",$D17="4 dd",$D17="6 dd",$D17="8 dd",$D17="12 dd",$D17="an",$D17="1 X"),VLOOKUP($D17,PedTblTijden!$A$16:$X$26,PedTblTijden!K$14,FALSE),"")</f>
        <v/>
      </c>
      <c r="R17" s="97" t="str">
        <f>IF(OR($D17="1 dd",$D17="2 dd",$D17="3 dd",$D17="4 dd",$D17="6 dd",$D17="8 dd",$D17="12 dd",$D17="an",$D17="1 X"),VLOOKUP($D17,PedTblTijden!$A$16:$X$26,PedTblTijden!L$14,FALSE),"")</f>
        <v/>
      </c>
      <c r="S17" s="14" t="str">
        <f>IF(OR($D17="1 dd",$D17="2 dd",$D17="3 dd",$D17="4 dd",$D17="6 dd",$D17="8 dd",$D17="12 dd",$D17="an",$D17="1 X"),VLOOKUP($D17,PedTblTijden!$A$16:$X$26,PedTblTijden!M$14,FALSE),"")</f>
        <v/>
      </c>
      <c r="T17" s="97" t="str">
        <f>IF(OR($D17="1 dd",$D17="2 dd",$D17="3 dd",$D17="4 dd",$D17="6 dd",$D17="8 dd",$D17="12 dd",$D17="an",$D17="1 X"),VLOOKUP($D17,PedTblTijden!$A$16:$X$26,PedTblTijden!N$14,FALSE),"")</f>
        <v/>
      </c>
      <c r="U17" s="14" t="str">
        <f>IF(OR($D17="1 dd",$D17="2 dd",$D17="3 dd",$D17="4 dd",$D17="6 dd",$D17="8 dd",$D17="12 dd",$D17="an",$D17="1 X"),VLOOKUP($D17,PedTblTijden!$A$16:$X$26,PedTblTijden!O$14,FALSE),"")</f>
        <v/>
      </c>
      <c r="V17" s="97" t="str">
        <f>IF(OR($D17="1 dd",$D17="2 dd",$D17="3 dd",$D17="4 dd",$D17="6 dd",$D17="8 dd",$D17="12 dd",$D17="an",$D17="1 X"),VLOOKUP($D17,PedTblTijden!$A$16:$X$26,PedTblTijden!P$14,FALSE),"")</f>
        <v/>
      </c>
      <c r="W17" s="14" t="str">
        <f>IF(OR($D17="1 dd",$D17="2 dd",$D17="3 dd",$D17="4 dd",$D17="6 dd",$D17="8 dd",$D17="12 dd",$D17="an",$D17="1 X"),VLOOKUP($D17,PedTblTijden!$A$16:$X$26,PedTblTijden!Q$14,FALSE),"")</f>
        <v/>
      </c>
      <c r="X17" s="97" t="str">
        <f>IF(OR($D17="1 dd",$D17="2 dd",$D17="3 dd",$D17="4 dd",$D17="6 dd",$D17="8 dd",$D17="12 dd",$D17="an",$D17="1 X"),VLOOKUP($D17,PedTblTijden!$A$16:$X$26,PedTblTijden!R$14,FALSE),"")</f>
        <v/>
      </c>
      <c r="Y17" s="14" t="str">
        <f>IF(OR($D17="1 dd",$D17="2 dd",$D17="3 dd",$D17="4 dd",$D17="6 dd",$D17="8 dd",$D17="12 dd",$D17="an",$D17="1 X"),VLOOKUP($D17,PedTblTijden!$A$16:$X$26,PedTblTijden!S$14,FALSE),"")</f>
        <v/>
      </c>
      <c r="Z17" s="97" t="str">
        <f>IF(OR($D17="1 dd",$D17="2 dd",$D17="3 dd",$D17="4 dd",$D17="6 dd",$D17="8 dd",$D17="12 dd",$D17="an",$D17="1 X"),VLOOKUP($D17,PedTblTijden!$A$16:$X$26,PedTblTijden!T$14,FALSE),"")</f>
        <v/>
      </c>
      <c r="AA17" s="14" t="str">
        <f>IF(OR($D17="1 dd",$D17="2 dd",$D17="3 dd",$D17="4 dd",$D17="6 dd",$D17="8 dd",$D17="12 dd",$D17="an",$D17="1 X"),VLOOKUP($D17,PedTblTijden!$A$16:$X$26,PedTblTijden!U$14,FALSE),"")</f>
        <v/>
      </c>
      <c r="AB17" s="97" t="str">
        <f>IF(OR($D17="1 dd",$D17="2 dd",$D17="3 dd",$D17="4 dd",$D17="6 dd",$D17="8 dd",$D17="12 dd",$D17="an",$D17="1 X"),VLOOKUP($D17,PedTblTijden!$A$16:$X$26,PedTblTijden!V$14,FALSE),"")</f>
        <v/>
      </c>
      <c r="AC17" s="14" t="str">
        <f>IF(OR($D17="1 dd",$D17="2 dd",$D17="3 dd",$D17="4 dd",$D17="6 dd",$D17="8 dd",$D17="12 dd",$D17="an",$D17="1 X"),VLOOKUP($D17,PedTblTijden!$A$16:$X$26,PedTblTijden!W$14,FALSE),"")</f>
        <v/>
      </c>
      <c r="AD17" s="97" t="str">
        <f>IF(OR($D17="1 dd",$D17="2 dd",$D17="3 dd",$D17="4 dd",$D17="6 dd",$D17="8 dd",$D17="12 dd",$D17="an",$D17="1 X"),VLOOKUP($D17,PedTblTijden!$A$16:$X$26,PedTblTijden!X$14,FALSE),"")</f>
        <v/>
      </c>
      <c r="AE17" s="16"/>
      <c r="AF17" s="96"/>
      <c r="AG17" s="16"/>
    </row>
    <row r="18" spans="2:33" ht="26.1" customHeight="1" x14ac:dyDescent="0.2">
      <c r="B18" s="98"/>
      <c r="C18" s="129" t="str">
        <f>IF(GlobBerMedDisc!C17&lt;&gt;"",IF(GlobBerMedDisc!C17&gt;1,TRIM(GlobBerMedDisc!C17)&amp;", "&amp;GlobBerOpm!#REF!&amp;" ("&amp;GlobBerMedDisc!M17&amp;" "&amp;GlobBerMedDisc!F17&amp;"/kg/dag)",TRIM(GlobBerMedDisc!C17)&amp;", "&amp;GlobBerOpm!#REF!),"")</f>
        <v/>
      </c>
      <c r="D18" s="130" t="str">
        <f>IF(GlobGuiMedDisc!I24&lt;&gt;"",GlobGuiMedDisc!I24,"")</f>
        <v/>
      </c>
      <c r="E18" s="131" t="str">
        <f>IF(AND(D18&lt;&gt;"",D18&lt;&gt;"STOP"),GlobBerMedDisc!H17&amp;" "&amp;GlobBerMedDisc!F17,"")</f>
        <v/>
      </c>
      <c r="F18" s="131" t="str">
        <f>IF(AND(D18&lt;&gt;"",D18&lt;&gt;"STOP"),GlobBerMedDisc!L17," ")</f>
        <v xml:space="preserve"> </v>
      </c>
      <c r="G18" s="131" t="str">
        <f>IF(GlobGuiMedDisc!N24&lt;&gt;"",GlobGuiMedDisc!N24&amp;" "&amp;GlobGuiMedDisc!O24&amp;" "&amp;INDEX(GlobBerMedDisc!$B$27:$B$30,GlobBerMedDisc!O17,1)&amp;" in "&amp;GlobGuiMedDisc!$R$24,"")</f>
        <v/>
      </c>
      <c r="H18" s="97" t="str">
        <f>IF(OR($D18="1 dd",$D18="2 dd",$D18="3 dd",$D18="4 dd",$D18="6 dd",$D18="8 dd",$D18="12 dd",$D18="an",$D18="1 X"),VLOOKUP($D18,PedTblTijden!$A$16:$X$26,PedTblTijden!B$14,FALSE),"")</f>
        <v/>
      </c>
      <c r="I18" s="14" t="str">
        <f>IF(OR($D18="1 dd",$D18="2 dd",$D18="3 dd",$D18="4 dd",$D18="6 dd",$D18="8 dd",$D18="12 dd",$D18="an",$D18="1 X"),VLOOKUP($D18,PedTblTijden!$A$16:$X$26,PedTblTijden!C$14,FALSE),"")</f>
        <v/>
      </c>
      <c r="J18" s="97" t="str">
        <f>IF(OR($D18="1 dd",$D18="2 dd",$D18="3 dd",$D18="4 dd",$D18="6 dd",$D18="8 dd",$D18="12 dd",$D18="an",$D18="1 X"),VLOOKUP($D18,PedTblTijden!$A$16:$X$26,PedTblTijden!D$14,FALSE),"")</f>
        <v/>
      </c>
      <c r="K18" s="14" t="str">
        <f>IF(OR($D18="1 dd",$D18="2 dd",$D18="3 dd",$D18="4 dd",$D18="6 dd",$D18="8 dd",$D18="12 dd",$D18="an",$D18="1 X"),VLOOKUP($D18,PedTblTijden!$A$16:$X$26,PedTblTijden!E$14,FALSE),"")</f>
        <v/>
      </c>
      <c r="L18" s="97" t="str">
        <f>IF(OR($D18="1 dd",$D18="2 dd",$D18="3 dd",$D18="4 dd",$D18="6 dd",$D18="8 dd",$D18="12 dd",$D18="an",$D18="1 X"),VLOOKUP($D18,PedTblTijden!$A$16:$X$26,PedTblTijden!F$14,FALSE),"")</f>
        <v/>
      </c>
      <c r="M18" s="14" t="str">
        <f>IF(OR($D18="1 dd",$D18="2 dd",$D18="3 dd",$D18="4 dd",$D18="6 dd",$D18="8 dd",$D18="12 dd",$D18="an",$D18="1 X"),VLOOKUP($D18,PedTblTijden!$A$16:$X$26,PedTblTijden!G$14,FALSE),"")</f>
        <v/>
      </c>
      <c r="N18" s="97" t="str">
        <f>IF(OR($D18="1 dd",$D18="2 dd",$D18="3 dd",$D18="4 dd",$D18="6 dd",$D18="8 dd",$D18="12 dd",$D18="an",$D18="1 X"),VLOOKUP($D18,PedTblTijden!$A$16:$X$26,PedTblTijden!H$14,FALSE),"")</f>
        <v/>
      </c>
      <c r="O18" s="14" t="str">
        <f>IF(OR($D18="1 dd",$D18="2 dd",$D18="3 dd",$D18="4 dd",$D18="6 dd",$D18="8 dd",$D18="12 dd",$D18="an",$D18="1 X"),VLOOKUP($D18,PedTblTijden!$A$16:$X$26,PedTblTijden!I$14,FALSE),"")</f>
        <v/>
      </c>
      <c r="P18" s="97" t="str">
        <f>IF(OR($D18="1 dd",$D18="2 dd",$D18="3 dd",$D18="4 dd",$D18="6 dd",$D18="8 dd",$D18="12 dd",$D18="an",$D18="1 X"),VLOOKUP($D18,PedTblTijden!$A$16:$X$26,PedTblTijden!J$14,FALSE),"")</f>
        <v/>
      </c>
      <c r="Q18" s="14" t="str">
        <f>IF(OR($D18="1 dd",$D18="2 dd",$D18="3 dd",$D18="4 dd",$D18="6 dd",$D18="8 dd",$D18="12 dd",$D18="an",$D18="1 X"),VLOOKUP($D18,PedTblTijden!$A$16:$X$26,PedTblTijden!K$14,FALSE),"")</f>
        <v/>
      </c>
      <c r="R18" s="97" t="str">
        <f>IF(OR($D18="1 dd",$D18="2 dd",$D18="3 dd",$D18="4 dd",$D18="6 dd",$D18="8 dd",$D18="12 dd",$D18="an",$D18="1 X"),VLOOKUP($D18,PedTblTijden!$A$16:$X$26,PedTblTijden!L$14,FALSE),"")</f>
        <v/>
      </c>
      <c r="S18" s="14" t="str">
        <f>IF(OR($D18="1 dd",$D18="2 dd",$D18="3 dd",$D18="4 dd",$D18="6 dd",$D18="8 dd",$D18="12 dd",$D18="an",$D18="1 X"),VLOOKUP($D18,PedTblTijden!$A$16:$X$26,PedTblTijden!M$14,FALSE),"")</f>
        <v/>
      </c>
      <c r="T18" s="97" t="str">
        <f>IF(OR($D18="1 dd",$D18="2 dd",$D18="3 dd",$D18="4 dd",$D18="6 dd",$D18="8 dd",$D18="12 dd",$D18="an",$D18="1 X"),VLOOKUP($D18,PedTblTijden!$A$16:$X$26,PedTblTijden!N$14,FALSE),"")</f>
        <v/>
      </c>
      <c r="U18" s="14" t="str">
        <f>IF(OR($D18="1 dd",$D18="2 dd",$D18="3 dd",$D18="4 dd",$D18="6 dd",$D18="8 dd",$D18="12 dd",$D18="an",$D18="1 X"),VLOOKUP($D18,PedTblTijden!$A$16:$X$26,PedTblTijden!O$14,FALSE),"")</f>
        <v/>
      </c>
      <c r="V18" s="97" t="str">
        <f>IF(OR($D18="1 dd",$D18="2 dd",$D18="3 dd",$D18="4 dd",$D18="6 dd",$D18="8 dd",$D18="12 dd",$D18="an",$D18="1 X"),VLOOKUP($D18,PedTblTijden!$A$16:$X$26,PedTblTijden!P$14,FALSE),"")</f>
        <v/>
      </c>
      <c r="W18" s="14" t="str">
        <f>IF(OR($D18="1 dd",$D18="2 dd",$D18="3 dd",$D18="4 dd",$D18="6 dd",$D18="8 dd",$D18="12 dd",$D18="an",$D18="1 X"),VLOOKUP($D18,PedTblTijden!$A$16:$X$26,PedTblTijden!Q$14,FALSE),"")</f>
        <v/>
      </c>
      <c r="X18" s="97" t="str">
        <f>IF(OR($D18="1 dd",$D18="2 dd",$D18="3 dd",$D18="4 dd",$D18="6 dd",$D18="8 dd",$D18="12 dd",$D18="an",$D18="1 X"),VLOOKUP($D18,PedTblTijden!$A$16:$X$26,PedTblTijden!R$14,FALSE),"")</f>
        <v/>
      </c>
      <c r="Y18" s="14" t="str">
        <f>IF(OR($D18="1 dd",$D18="2 dd",$D18="3 dd",$D18="4 dd",$D18="6 dd",$D18="8 dd",$D18="12 dd",$D18="an",$D18="1 X"),VLOOKUP($D18,PedTblTijden!$A$16:$X$26,PedTblTijden!S$14,FALSE),"")</f>
        <v/>
      </c>
      <c r="Z18" s="97" t="str">
        <f>IF(OR($D18="1 dd",$D18="2 dd",$D18="3 dd",$D18="4 dd",$D18="6 dd",$D18="8 dd",$D18="12 dd",$D18="an",$D18="1 X"),VLOOKUP($D18,PedTblTijden!$A$16:$X$26,PedTblTijden!T$14,FALSE),"")</f>
        <v/>
      </c>
      <c r="AA18" s="14" t="str">
        <f>IF(OR($D18="1 dd",$D18="2 dd",$D18="3 dd",$D18="4 dd",$D18="6 dd",$D18="8 dd",$D18="12 dd",$D18="an",$D18="1 X"),VLOOKUP($D18,PedTblTijden!$A$16:$X$26,PedTblTijden!U$14,FALSE),"")</f>
        <v/>
      </c>
      <c r="AB18" s="97" t="str">
        <f>IF(OR($D18="1 dd",$D18="2 dd",$D18="3 dd",$D18="4 dd",$D18="6 dd",$D18="8 dd",$D18="12 dd",$D18="an",$D18="1 X"),VLOOKUP($D18,PedTblTijden!$A$16:$X$26,PedTblTijden!V$14,FALSE),"")</f>
        <v/>
      </c>
      <c r="AC18" s="14" t="str">
        <f>IF(OR($D18="1 dd",$D18="2 dd",$D18="3 dd",$D18="4 dd",$D18="6 dd",$D18="8 dd",$D18="12 dd",$D18="an",$D18="1 X"),VLOOKUP($D18,PedTblTijden!$A$16:$X$26,PedTblTijden!W$14,FALSE),"")</f>
        <v/>
      </c>
      <c r="AD18" s="97" t="str">
        <f>IF(OR($D18="1 dd",$D18="2 dd",$D18="3 dd",$D18="4 dd",$D18="6 dd",$D18="8 dd",$D18="12 dd",$D18="an",$D18="1 X"),VLOOKUP($D18,PedTblTijden!$A$16:$X$26,PedTblTijden!X$14,FALSE),"")</f>
        <v/>
      </c>
      <c r="AE18" s="16"/>
      <c r="AF18" s="96"/>
      <c r="AG18" s="16"/>
    </row>
    <row r="19" spans="2:33" ht="26.1" customHeight="1" x14ac:dyDescent="0.2">
      <c r="B19" s="98"/>
      <c r="C19" s="129" t="str">
        <f>IF(GlobBerMedDisc!C18&lt;&gt;"",IF(GlobBerMedDisc!C18&gt;1,TRIM(GlobBerMedDisc!C18)&amp;", "&amp;GlobBerOpm!#REF!&amp;" ("&amp;GlobBerMedDisc!M18&amp;" "&amp;GlobBerMedDisc!F18&amp;"/kg/dag)",TRIM(GlobBerMedDisc!C18)&amp;", "&amp;GlobBerOpm!#REF!),"")</f>
        <v/>
      </c>
      <c r="D19" s="130" t="str">
        <f>IF(GlobGuiMedDisc!I25&lt;&gt;"",GlobGuiMedDisc!I25,"")</f>
        <v/>
      </c>
      <c r="E19" s="131" t="str">
        <f>IF(AND(D19&lt;&gt;"",D19&lt;&gt;"STOP"),GlobBerMedDisc!H18&amp;" "&amp;GlobBerMedDisc!F18,"")</f>
        <v/>
      </c>
      <c r="F19" s="131" t="str">
        <f>IF(AND(D19&lt;&gt;"",D19&lt;&gt;"STOP"),GlobBerMedDisc!L18," ")</f>
        <v xml:space="preserve"> </v>
      </c>
      <c r="G19" s="131" t="str">
        <f>IF(GlobGuiMedDisc!N25&lt;&gt;"",GlobGuiMedDisc!N25&amp;" "&amp;GlobGuiMedDisc!O25&amp;" "&amp;INDEX(GlobBerMedDisc!$B$27:$B$30,GlobBerMedDisc!O18,1)&amp;" in "&amp;GlobGuiMedDisc!$R$25,"")</f>
        <v/>
      </c>
      <c r="H19" s="97" t="str">
        <f>IF(OR($D19="1 dd",$D19="2 dd",$D19="3 dd",$D19="4 dd",$D19="6 dd",$D19="8 dd",$D19="12 dd",$D19="an",$D19="1 X"),VLOOKUP($D19,PedTblTijden!$A$16:$X$26,PedTblTijden!B$14,FALSE),"")</f>
        <v/>
      </c>
      <c r="I19" s="14" t="str">
        <f>IF(OR($D19="1 dd",$D19="2 dd",$D19="3 dd",$D19="4 dd",$D19="6 dd",$D19="8 dd",$D19="12 dd",$D19="an",$D19="1 X"),VLOOKUP($D19,PedTblTijden!$A$16:$X$26,PedTblTijden!C$14,FALSE),"")</f>
        <v/>
      </c>
      <c r="J19" s="97" t="str">
        <f>IF(OR($D19="1 dd",$D19="2 dd",$D19="3 dd",$D19="4 dd",$D19="6 dd",$D19="8 dd",$D19="12 dd",$D19="an",$D19="1 X"),VLOOKUP($D19,PedTblTijden!$A$16:$X$26,PedTblTijden!D$14,FALSE),"")</f>
        <v/>
      </c>
      <c r="K19" s="14" t="str">
        <f>IF(OR($D19="1 dd",$D19="2 dd",$D19="3 dd",$D19="4 dd",$D19="6 dd",$D19="8 dd",$D19="12 dd",$D19="an",$D19="1 X"),VLOOKUP($D19,PedTblTijden!$A$16:$X$26,PedTblTijden!E$14,FALSE),"")</f>
        <v/>
      </c>
      <c r="L19" s="97" t="str">
        <f>IF(OR($D19="1 dd",$D19="2 dd",$D19="3 dd",$D19="4 dd",$D19="6 dd",$D19="8 dd",$D19="12 dd",$D19="an",$D19="1 X"),VLOOKUP($D19,PedTblTijden!$A$16:$X$26,PedTblTijden!F$14,FALSE),"")</f>
        <v/>
      </c>
      <c r="M19" s="14" t="str">
        <f>IF(OR($D19="1 dd",$D19="2 dd",$D19="3 dd",$D19="4 dd",$D19="6 dd",$D19="8 dd",$D19="12 dd",$D19="an",$D19="1 X"),VLOOKUP($D19,PedTblTijden!$A$16:$X$26,PedTblTijden!G$14,FALSE),"")</f>
        <v/>
      </c>
      <c r="N19" s="97" t="str">
        <f>IF(OR($D19="1 dd",$D19="2 dd",$D19="3 dd",$D19="4 dd",$D19="6 dd",$D19="8 dd",$D19="12 dd",$D19="an",$D19="1 X"),VLOOKUP($D19,PedTblTijden!$A$16:$X$26,PedTblTijden!H$14,FALSE),"")</f>
        <v/>
      </c>
      <c r="O19" s="14" t="str">
        <f>IF(OR($D19="1 dd",$D19="2 dd",$D19="3 dd",$D19="4 dd",$D19="6 dd",$D19="8 dd",$D19="12 dd",$D19="an",$D19="1 X"),VLOOKUP($D19,PedTblTijden!$A$16:$X$26,PedTblTijden!I$14,FALSE),"")</f>
        <v/>
      </c>
      <c r="P19" s="97" t="str">
        <f>IF(OR($D19="1 dd",$D19="2 dd",$D19="3 dd",$D19="4 dd",$D19="6 dd",$D19="8 dd",$D19="12 dd",$D19="an",$D19="1 X"),VLOOKUP($D19,PedTblTijden!$A$16:$X$26,PedTblTijden!J$14,FALSE),"")</f>
        <v/>
      </c>
      <c r="Q19" s="14" t="str">
        <f>IF(OR($D19="1 dd",$D19="2 dd",$D19="3 dd",$D19="4 dd",$D19="6 dd",$D19="8 dd",$D19="12 dd",$D19="an",$D19="1 X"),VLOOKUP($D19,PedTblTijden!$A$16:$X$26,PedTblTijden!K$14,FALSE),"")</f>
        <v/>
      </c>
      <c r="R19" s="97" t="str">
        <f>IF(OR($D19="1 dd",$D19="2 dd",$D19="3 dd",$D19="4 dd",$D19="6 dd",$D19="8 dd",$D19="12 dd",$D19="an",$D19="1 X"),VLOOKUP($D19,PedTblTijden!$A$16:$X$26,PedTblTijden!L$14,FALSE),"")</f>
        <v/>
      </c>
      <c r="S19" s="14" t="str">
        <f>IF(OR($D19="1 dd",$D19="2 dd",$D19="3 dd",$D19="4 dd",$D19="6 dd",$D19="8 dd",$D19="12 dd",$D19="an",$D19="1 X"),VLOOKUP($D19,PedTblTijden!$A$16:$X$26,PedTblTijden!M$14,FALSE),"")</f>
        <v/>
      </c>
      <c r="T19" s="97" t="str">
        <f>IF(OR($D19="1 dd",$D19="2 dd",$D19="3 dd",$D19="4 dd",$D19="6 dd",$D19="8 dd",$D19="12 dd",$D19="an",$D19="1 X"),VLOOKUP($D19,PedTblTijden!$A$16:$X$26,PedTblTijden!N$14,FALSE),"")</f>
        <v/>
      </c>
      <c r="U19" s="14" t="str">
        <f>IF(OR($D19="1 dd",$D19="2 dd",$D19="3 dd",$D19="4 dd",$D19="6 dd",$D19="8 dd",$D19="12 dd",$D19="an",$D19="1 X"),VLOOKUP($D19,PedTblTijden!$A$16:$X$26,PedTblTijden!O$14,FALSE),"")</f>
        <v/>
      </c>
      <c r="V19" s="97" t="str">
        <f>IF(OR($D19="1 dd",$D19="2 dd",$D19="3 dd",$D19="4 dd",$D19="6 dd",$D19="8 dd",$D19="12 dd",$D19="an",$D19="1 X"),VLOOKUP($D19,PedTblTijden!$A$16:$X$26,PedTblTijden!P$14,FALSE),"")</f>
        <v/>
      </c>
      <c r="W19" s="14" t="str">
        <f>IF(OR($D19="1 dd",$D19="2 dd",$D19="3 dd",$D19="4 dd",$D19="6 dd",$D19="8 dd",$D19="12 dd",$D19="an",$D19="1 X"),VLOOKUP($D19,PedTblTijden!$A$16:$X$26,PedTblTijden!Q$14,FALSE),"")</f>
        <v/>
      </c>
      <c r="X19" s="97" t="str">
        <f>IF(OR($D19="1 dd",$D19="2 dd",$D19="3 dd",$D19="4 dd",$D19="6 dd",$D19="8 dd",$D19="12 dd",$D19="an",$D19="1 X"),VLOOKUP($D19,PedTblTijden!$A$16:$X$26,PedTblTijden!R$14,FALSE),"")</f>
        <v/>
      </c>
      <c r="Y19" s="14" t="str">
        <f>IF(OR($D19="1 dd",$D19="2 dd",$D19="3 dd",$D19="4 dd",$D19="6 dd",$D19="8 dd",$D19="12 dd",$D19="an",$D19="1 X"),VLOOKUP($D19,PedTblTijden!$A$16:$X$26,PedTblTijden!S$14,FALSE),"")</f>
        <v/>
      </c>
      <c r="Z19" s="97" t="str">
        <f>IF(OR($D19="1 dd",$D19="2 dd",$D19="3 dd",$D19="4 dd",$D19="6 dd",$D19="8 dd",$D19="12 dd",$D19="an",$D19="1 X"),VLOOKUP($D19,PedTblTijden!$A$16:$X$26,PedTblTijden!T$14,FALSE),"")</f>
        <v/>
      </c>
      <c r="AA19" s="14" t="str">
        <f>IF(OR($D19="1 dd",$D19="2 dd",$D19="3 dd",$D19="4 dd",$D19="6 dd",$D19="8 dd",$D19="12 dd",$D19="an",$D19="1 X"),VLOOKUP($D19,PedTblTijden!$A$16:$X$26,PedTblTijden!U$14,FALSE),"")</f>
        <v/>
      </c>
      <c r="AB19" s="97" t="str">
        <f>IF(OR($D19="1 dd",$D19="2 dd",$D19="3 dd",$D19="4 dd",$D19="6 dd",$D19="8 dd",$D19="12 dd",$D19="an",$D19="1 X"),VLOOKUP($D19,PedTblTijden!$A$16:$X$26,PedTblTijden!V$14,FALSE),"")</f>
        <v/>
      </c>
      <c r="AC19" s="14" t="str">
        <f>IF(OR($D19="1 dd",$D19="2 dd",$D19="3 dd",$D19="4 dd",$D19="6 dd",$D19="8 dd",$D19="12 dd",$D19="an",$D19="1 X"),VLOOKUP($D19,PedTblTijden!$A$16:$X$26,PedTblTijden!W$14,FALSE),"")</f>
        <v/>
      </c>
      <c r="AD19" s="97" t="str">
        <f>IF(OR($D19="1 dd",$D19="2 dd",$D19="3 dd",$D19="4 dd",$D19="6 dd",$D19="8 dd",$D19="12 dd",$D19="an",$D19="1 X"),VLOOKUP($D19,PedTblTijden!$A$16:$X$26,PedTblTijden!X$14,FALSE),"")</f>
        <v/>
      </c>
      <c r="AE19" s="16"/>
      <c r="AF19" s="96"/>
      <c r="AG19" s="16"/>
    </row>
    <row r="20" spans="2:33" ht="26.1" customHeight="1" x14ac:dyDescent="0.2">
      <c r="B20" s="98"/>
      <c r="C20" s="129" t="str">
        <f>IF(GlobBerMedDisc!C19&lt;&gt;"",IF(GlobBerMedDisc!C19&gt;1,TRIM(GlobBerMedDisc!C19)&amp;", "&amp;GlobBerOpm!#REF!&amp;" ("&amp;GlobBerMedDisc!M19&amp;" "&amp;GlobBerMedDisc!F19&amp;"/kg/dag)",TRIM(GlobBerMedDisc!C19)&amp;", "&amp;GlobBerOpm!#REF!),"")</f>
        <v/>
      </c>
      <c r="D20" s="130" t="str">
        <f>IF(GlobGuiMedDisc!I26&lt;&gt;"",GlobGuiMedDisc!I26,"")</f>
        <v/>
      </c>
      <c r="E20" s="131" t="str">
        <f>IF(AND(D20&lt;&gt;"",D20&lt;&gt;"STOP"),GlobBerMedDisc!H19&amp;" "&amp;GlobBerMedDisc!F19,"")</f>
        <v/>
      </c>
      <c r="F20" s="131" t="str">
        <f>IF(AND(D20&lt;&gt;"",D20&lt;&gt;"STOP"),GlobBerMedDisc!L19," ")</f>
        <v xml:space="preserve"> </v>
      </c>
      <c r="G20" s="131" t="str">
        <f>IF(GlobGuiMedDisc!N26&lt;&gt;"",GlobGuiMedDisc!N26&amp;" "&amp;GlobGuiMedDisc!O26&amp;" "&amp;INDEX(GlobBerMedDisc!$B$27:$B$30,GlobBerMedDisc!O19,1)&amp;" in "&amp;GlobGuiMedDisc!$R$26,"")</f>
        <v/>
      </c>
      <c r="H20" s="97" t="str">
        <f>IF(OR($D20="1 dd",$D20="2 dd",$D20="3 dd",$D20="4 dd",$D20="6 dd",$D20="8 dd",$D20="12 dd",$D20="an",$D20="1 X"),VLOOKUP($D20,PedTblTijden!$A$16:$X$26,PedTblTijden!B$14,FALSE),"")</f>
        <v/>
      </c>
      <c r="I20" s="14" t="str">
        <f>IF(OR($D20="1 dd",$D20="2 dd",$D20="3 dd",$D20="4 dd",$D20="6 dd",$D20="8 dd",$D20="12 dd",$D20="an",$D20="1 X"),VLOOKUP($D20,PedTblTijden!$A$16:$X$26,PedTblTijden!C$14,FALSE),"")</f>
        <v/>
      </c>
      <c r="J20" s="97" t="str">
        <f>IF(OR($D20="1 dd",$D20="2 dd",$D20="3 dd",$D20="4 dd",$D20="6 dd",$D20="8 dd",$D20="12 dd",$D20="an",$D20="1 X"),VLOOKUP($D20,PedTblTijden!$A$16:$X$26,PedTblTijden!D$14,FALSE),"")</f>
        <v/>
      </c>
      <c r="K20" s="14" t="str">
        <f>IF(OR($D20="1 dd",$D20="2 dd",$D20="3 dd",$D20="4 dd",$D20="6 dd",$D20="8 dd",$D20="12 dd",$D20="an",$D20="1 X"),VLOOKUP($D20,PedTblTijden!$A$16:$X$26,PedTblTijden!E$14,FALSE),"")</f>
        <v/>
      </c>
      <c r="L20" s="97" t="str">
        <f>IF(OR($D20="1 dd",$D20="2 dd",$D20="3 dd",$D20="4 dd",$D20="6 dd",$D20="8 dd",$D20="12 dd",$D20="an",$D20="1 X"),VLOOKUP($D20,PedTblTijden!$A$16:$X$26,PedTblTijden!F$14,FALSE),"")</f>
        <v/>
      </c>
      <c r="M20" s="14" t="str">
        <f>IF(OR($D20="1 dd",$D20="2 dd",$D20="3 dd",$D20="4 dd",$D20="6 dd",$D20="8 dd",$D20="12 dd",$D20="an",$D20="1 X"),VLOOKUP($D20,PedTblTijden!$A$16:$X$26,PedTblTijden!G$14,FALSE),"")</f>
        <v/>
      </c>
      <c r="N20" s="97" t="str">
        <f>IF(OR($D20="1 dd",$D20="2 dd",$D20="3 dd",$D20="4 dd",$D20="6 dd",$D20="8 dd",$D20="12 dd",$D20="an",$D20="1 X"),VLOOKUP($D20,PedTblTijden!$A$16:$X$26,PedTblTijden!H$14,FALSE),"")</f>
        <v/>
      </c>
      <c r="O20" s="14" t="str">
        <f>IF(OR($D20="1 dd",$D20="2 dd",$D20="3 dd",$D20="4 dd",$D20="6 dd",$D20="8 dd",$D20="12 dd",$D20="an",$D20="1 X"),VLOOKUP($D20,PedTblTijden!$A$16:$X$26,PedTblTijden!I$14,FALSE),"")</f>
        <v/>
      </c>
      <c r="P20" s="97" t="str">
        <f>IF(OR($D20="1 dd",$D20="2 dd",$D20="3 dd",$D20="4 dd",$D20="6 dd",$D20="8 dd",$D20="12 dd",$D20="an",$D20="1 X"),VLOOKUP($D20,PedTblTijden!$A$16:$X$26,PedTblTijden!J$14,FALSE),"")</f>
        <v/>
      </c>
      <c r="Q20" s="14" t="str">
        <f>IF(OR($D20="1 dd",$D20="2 dd",$D20="3 dd",$D20="4 dd",$D20="6 dd",$D20="8 dd",$D20="12 dd",$D20="an",$D20="1 X"),VLOOKUP($D20,PedTblTijden!$A$16:$X$26,PedTblTijden!K$14,FALSE),"")</f>
        <v/>
      </c>
      <c r="R20" s="97" t="str">
        <f>IF(OR($D20="1 dd",$D20="2 dd",$D20="3 dd",$D20="4 dd",$D20="6 dd",$D20="8 dd",$D20="12 dd",$D20="an",$D20="1 X"),VLOOKUP($D20,PedTblTijden!$A$16:$X$26,PedTblTijden!L$14,FALSE),"")</f>
        <v/>
      </c>
      <c r="S20" s="14" t="str">
        <f>IF(OR($D20="1 dd",$D20="2 dd",$D20="3 dd",$D20="4 dd",$D20="6 dd",$D20="8 dd",$D20="12 dd",$D20="an",$D20="1 X"),VLOOKUP($D20,PedTblTijden!$A$16:$X$26,PedTblTijden!M$14,FALSE),"")</f>
        <v/>
      </c>
      <c r="T20" s="97" t="str">
        <f>IF(OR($D20="1 dd",$D20="2 dd",$D20="3 dd",$D20="4 dd",$D20="6 dd",$D20="8 dd",$D20="12 dd",$D20="an",$D20="1 X"),VLOOKUP($D20,PedTblTijden!$A$16:$X$26,PedTblTijden!N$14,FALSE),"")</f>
        <v/>
      </c>
      <c r="U20" s="14" t="str">
        <f>IF(OR($D20="1 dd",$D20="2 dd",$D20="3 dd",$D20="4 dd",$D20="6 dd",$D20="8 dd",$D20="12 dd",$D20="an",$D20="1 X"),VLOOKUP($D20,PedTblTijden!$A$16:$X$26,PedTblTijden!O$14,FALSE),"")</f>
        <v/>
      </c>
      <c r="V20" s="97" t="str">
        <f>IF(OR($D20="1 dd",$D20="2 dd",$D20="3 dd",$D20="4 dd",$D20="6 dd",$D20="8 dd",$D20="12 dd",$D20="an",$D20="1 X"),VLOOKUP($D20,PedTblTijden!$A$16:$X$26,PedTblTijden!P$14,FALSE),"")</f>
        <v/>
      </c>
      <c r="W20" s="14" t="str">
        <f>IF(OR($D20="1 dd",$D20="2 dd",$D20="3 dd",$D20="4 dd",$D20="6 dd",$D20="8 dd",$D20="12 dd",$D20="an",$D20="1 X"),VLOOKUP($D20,PedTblTijden!$A$16:$X$26,PedTblTijden!Q$14,FALSE),"")</f>
        <v/>
      </c>
      <c r="X20" s="97" t="str">
        <f>IF(OR($D20="1 dd",$D20="2 dd",$D20="3 dd",$D20="4 dd",$D20="6 dd",$D20="8 dd",$D20="12 dd",$D20="an",$D20="1 X"),VLOOKUP($D20,PedTblTijden!$A$16:$X$26,PedTblTijden!R$14,FALSE),"")</f>
        <v/>
      </c>
      <c r="Y20" s="14" t="str">
        <f>IF(OR($D20="1 dd",$D20="2 dd",$D20="3 dd",$D20="4 dd",$D20="6 dd",$D20="8 dd",$D20="12 dd",$D20="an",$D20="1 X"),VLOOKUP($D20,PedTblTijden!$A$16:$X$26,PedTblTijden!S$14,FALSE),"")</f>
        <v/>
      </c>
      <c r="Z20" s="97" t="str">
        <f>IF(OR($D20="1 dd",$D20="2 dd",$D20="3 dd",$D20="4 dd",$D20="6 dd",$D20="8 dd",$D20="12 dd",$D20="an",$D20="1 X"),VLOOKUP($D20,PedTblTijden!$A$16:$X$26,PedTblTijden!T$14,FALSE),"")</f>
        <v/>
      </c>
      <c r="AA20" s="14" t="str">
        <f>IF(OR($D20="1 dd",$D20="2 dd",$D20="3 dd",$D20="4 dd",$D20="6 dd",$D20="8 dd",$D20="12 dd",$D20="an",$D20="1 X"),VLOOKUP($D20,PedTblTijden!$A$16:$X$26,PedTblTijden!U$14,FALSE),"")</f>
        <v/>
      </c>
      <c r="AB20" s="97" t="str">
        <f>IF(OR($D20="1 dd",$D20="2 dd",$D20="3 dd",$D20="4 dd",$D20="6 dd",$D20="8 dd",$D20="12 dd",$D20="an",$D20="1 X"),VLOOKUP($D20,PedTblTijden!$A$16:$X$26,PedTblTijden!V$14,FALSE),"")</f>
        <v/>
      </c>
      <c r="AC20" s="14" t="str">
        <f>IF(OR($D20="1 dd",$D20="2 dd",$D20="3 dd",$D20="4 dd",$D20="6 dd",$D20="8 dd",$D20="12 dd",$D20="an",$D20="1 X"),VLOOKUP($D20,PedTblTijden!$A$16:$X$26,PedTblTijden!W$14,FALSE),"")</f>
        <v/>
      </c>
      <c r="AD20" s="97" t="str">
        <f>IF(OR($D20="1 dd",$D20="2 dd",$D20="3 dd",$D20="4 dd",$D20="6 dd",$D20="8 dd",$D20="12 dd",$D20="an",$D20="1 X"),VLOOKUP($D20,PedTblTijden!$A$16:$X$26,PedTblTijden!X$14,FALSE),"")</f>
        <v/>
      </c>
      <c r="AE20" s="16"/>
      <c r="AF20" s="96"/>
      <c r="AG20" s="16"/>
    </row>
    <row r="21" spans="2:33" ht="26.1" customHeight="1" x14ac:dyDescent="0.2">
      <c r="B21" s="98"/>
      <c r="C21" s="129" t="str">
        <f>IF(GlobBerMedDisc!C20&lt;&gt;"",IF(GlobBerMedDisc!C20&gt;1,TRIM(GlobBerMedDisc!C20)&amp;", "&amp;GlobBerOpm!#REF!&amp;" ("&amp;GlobBerMedDisc!M20&amp;" "&amp;GlobBerMedDisc!F20&amp;"/kg/dag)",TRIM(GlobBerMedDisc!C20)&amp;", "&amp;GlobBerOpm!#REF!),"")</f>
        <v/>
      </c>
      <c r="D21" s="130" t="str">
        <f>IF(GlobGuiMedDisc!I27&lt;&gt;"",GlobGuiMedDisc!I27,"")</f>
        <v/>
      </c>
      <c r="E21" s="131" t="str">
        <f>IF(AND(D21&lt;&gt;"",D21&lt;&gt;"STOP"),GlobBerMedDisc!H20&amp;" "&amp;GlobBerMedDisc!F20,"")</f>
        <v/>
      </c>
      <c r="F21" s="131" t="str">
        <f>IF(AND(D21&lt;&gt;"",D21&lt;&gt;"STOP"),GlobBerMedDisc!L20," ")</f>
        <v xml:space="preserve"> </v>
      </c>
      <c r="G21" s="131" t="str">
        <f>IF(GlobGuiMedDisc!N27&lt;&gt;"",GlobGuiMedDisc!N27&amp;" "&amp;GlobGuiMedDisc!O27&amp;" "&amp;INDEX(GlobBerMedDisc!$B$27:$B$30,GlobBerMedDisc!O20,1)&amp;" in "&amp;GlobGuiMedDisc!$R$27,"")</f>
        <v/>
      </c>
      <c r="H21" s="97" t="str">
        <f>IF(OR($D21="1 dd",$D21="2 dd",$D21="3 dd",$D21="4 dd",$D21="6 dd",$D21="8 dd",$D21="12 dd",$D21="an",$D21="1 X"),VLOOKUP($D21,PedTblTijden!$A$16:$X$26,PedTblTijden!B$14,FALSE),"")</f>
        <v/>
      </c>
      <c r="I21" s="14" t="str">
        <f>IF(OR($D21="1 dd",$D21="2 dd",$D21="3 dd",$D21="4 dd",$D21="6 dd",$D21="8 dd",$D21="12 dd",$D21="an",$D21="1 X"),VLOOKUP($D21,PedTblTijden!$A$16:$X$26,PedTblTijden!C$14,FALSE),"")</f>
        <v/>
      </c>
      <c r="J21" s="97" t="str">
        <f>IF(OR($D21="1 dd",$D21="2 dd",$D21="3 dd",$D21="4 dd",$D21="6 dd",$D21="8 dd",$D21="12 dd",$D21="an",$D21="1 X"),VLOOKUP($D21,PedTblTijden!$A$16:$X$26,PedTblTijden!D$14,FALSE),"")</f>
        <v/>
      </c>
      <c r="K21" s="14" t="str">
        <f>IF(OR($D21="1 dd",$D21="2 dd",$D21="3 dd",$D21="4 dd",$D21="6 dd",$D21="8 dd",$D21="12 dd",$D21="an",$D21="1 X"),VLOOKUP($D21,PedTblTijden!$A$16:$X$26,PedTblTijden!E$14,FALSE),"")</f>
        <v/>
      </c>
      <c r="L21" s="97" t="str">
        <f>IF(OR($D21="1 dd",$D21="2 dd",$D21="3 dd",$D21="4 dd",$D21="6 dd",$D21="8 dd",$D21="12 dd",$D21="an",$D21="1 X"),VLOOKUP($D21,PedTblTijden!$A$16:$X$26,PedTblTijden!F$14,FALSE),"")</f>
        <v/>
      </c>
      <c r="M21" s="14" t="str">
        <f>IF(OR($D21="1 dd",$D21="2 dd",$D21="3 dd",$D21="4 dd",$D21="6 dd",$D21="8 dd",$D21="12 dd",$D21="an",$D21="1 X"),VLOOKUP($D21,PedTblTijden!$A$16:$X$26,PedTblTijden!G$14,FALSE),"")</f>
        <v/>
      </c>
      <c r="N21" s="97" t="str">
        <f>IF(OR($D21="1 dd",$D21="2 dd",$D21="3 dd",$D21="4 dd",$D21="6 dd",$D21="8 dd",$D21="12 dd",$D21="an",$D21="1 X"),VLOOKUP($D21,PedTblTijden!$A$16:$X$26,PedTblTijden!H$14,FALSE),"")</f>
        <v/>
      </c>
      <c r="O21" s="14" t="str">
        <f>IF(OR($D21="1 dd",$D21="2 dd",$D21="3 dd",$D21="4 dd",$D21="6 dd",$D21="8 dd",$D21="12 dd",$D21="an",$D21="1 X"),VLOOKUP($D21,PedTblTijden!$A$16:$X$26,PedTblTijden!I$14,FALSE),"")</f>
        <v/>
      </c>
      <c r="P21" s="97" t="str">
        <f>IF(OR($D21="1 dd",$D21="2 dd",$D21="3 dd",$D21="4 dd",$D21="6 dd",$D21="8 dd",$D21="12 dd",$D21="an",$D21="1 X"),VLOOKUP($D21,PedTblTijden!$A$16:$X$26,PedTblTijden!J$14,FALSE),"")</f>
        <v/>
      </c>
      <c r="Q21" s="14" t="str">
        <f>IF(OR($D21="1 dd",$D21="2 dd",$D21="3 dd",$D21="4 dd",$D21="6 dd",$D21="8 dd",$D21="12 dd",$D21="an",$D21="1 X"),VLOOKUP($D21,PedTblTijden!$A$16:$X$26,PedTblTijden!K$14,FALSE),"")</f>
        <v/>
      </c>
      <c r="R21" s="97" t="str">
        <f>IF(OR($D21="1 dd",$D21="2 dd",$D21="3 dd",$D21="4 dd",$D21="6 dd",$D21="8 dd",$D21="12 dd",$D21="an",$D21="1 X"),VLOOKUP($D21,PedTblTijden!$A$16:$X$26,PedTblTijden!L$14,FALSE),"")</f>
        <v/>
      </c>
      <c r="S21" s="14" t="str">
        <f>IF(OR($D21="1 dd",$D21="2 dd",$D21="3 dd",$D21="4 dd",$D21="6 dd",$D21="8 dd",$D21="12 dd",$D21="an",$D21="1 X"),VLOOKUP($D21,PedTblTijden!$A$16:$X$26,PedTblTijden!M$14,FALSE),"")</f>
        <v/>
      </c>
      <c r="T21" s="97" t="str">
        <f>IF(OR($D21="1 dd",$D21="2 dd",$D21="3 dd",$D21="4 dd",$D21="6 dd",$D21="8 dd",$D21="12 dd",$D21="an",$D21="1 X"),VLOOKUP($D21,PedTblTijden!$A$16:$X$26,PedTblTijden!N$14,FALSE),"")</f>
        <v/>
      </c>
      <c r="U21" s="14" t="str">
        <f>IF(OR($D21="1 dd",$D21="2 dd",$D21="3 dd",$D21="4 dd",$D21="6 dd",$D21="8 dd",$D21="12 dd",$D21="an",$D21="1 X"),VLOOKUP($D21,PedTblTijden!$A$16:$X$26,PedTblTijden!O$14,FALSE),"")</f>
        <v/>
      </c>
      <c r="V21" s="97" t="str">
        <f>IF(OR($D21="1 dd",$D21="2 dd",$D21="3 dd",$D21="4 dd",$D21="6 dd",$D21="8 dd",$D21="12 dd",$D21="an",$D21="1 X"),VLOOKUP($D21,PedTblTijden!$A$16:$X$26,PedTblTijden!P$14,FALSE),"")</f>
        <v/>
      </c>
      <c r="W21" s="14" t="str">
        <f>IF(OR($D21="1 dd",$D21="2 dd",$D21="3 dd",$D21="4 dd",$D21="6 dd",$D21="8 dd",$D21="12 dd",$D21="an",$D21="1 X"),VLOOKUP($D21,PedTblTijden!$A$16:$X$26,PedTblTijden!Q$14,FALSE),"")</f>
        <v/>
      </c>
      <c r="X21" s="97" t="str">
        <f>IF(OR($D21="1 dd",$D21="2 dd",$D21="3 dd",$D21="4 dd",$D21="6 dd",$D21="8 dd",$D21="12 dd",$D21="an",$D21="1 X"),VLOOKUP($D21,PedTblTijden!$A$16:$X$26,PedTblTijden!R$14,FALSE),"")</f>
        <v/>
      </c>
      <c r="Y21" s="14" t="str">
        <f>IF(OR($D21="1 dd",$D21="2 dd",$D21="3 dd",$D21="4 dd",$D21="6 dd",$D21="8 dd",$D21="12 dd",$D21="an",$D21="1 X"),VLOOKUP($D21,PedTblTijden!$A$16:$X$26,PedTblTijden!S$14,FALSE),"")</f>
        <v/>
      </c>
      <c r="Z21" s="97" t="str">
        <f>IF(OR($D21="1 dd",$D21="2 dd",$D21="3 dd",$D21="4 dd",$D21="6 dd",$D21="8 dd",$D21="12 dd",$D21="an",$D21="1 X"),VLOOKUP($D21,PedTblTijden!$A$16:$X$26,PedTblTijden!T$14,FALSE),"")</f>
        <v/>
      </c>
      <c r="AA21" s="14" t="str">
        <f>IF(OR($D21="1 dd",$D21="2 dd",$D21="3 dd",$D21="4 dd",$D21="6 dd",$D21="8 dd",$D21="12 dd",$D21="an",$D21="1 X"),VLOOKUP($D21,PedTblTijden!$A$16:$X$26,PedTblTijden!U$14,FALSE),"")</f>
        <v/>
      </c>
      <c r="AB21" s="97" t="str">
        <f>IF(OR($D21="1 dd",$D21="2 dd",$D21="3 dd",$D21="4 dd",$D21="6 dd",$D21="8 dd",$D21="12 dd",$D21="an",$D21="1 X"),VLOOKUP($D21,PedTblTijden!$A$16:$X$26,PedTblTijden!V$14,FALSE),"")</f>
        <v/>
      </c>
      <c r="AC21" s="14" t="str">
        <f>IF(OR($D21="1 dd",$D21="2 dd",$D21="3 dd",$D21="4 dd",$D21="6 dd",$D21="8 dd",$D21="12 dd",$D21="an",$D21="1 X"),VLOOKUP($D21,PedTblTijden!$A$16:$X$26,PedTblTijden!W$14,FALSE),"")</f>
        <v/>
      </c>
      <c r="AD21" s="97" t="str">
        <f>IF(OR($D21="1 dd",$D21="2 dd",$D21="3 dd",$D21="4 dd",$D21="6 dd",$D21="8 dd",$D21="12 dd",$D21="an",$D21="1 X"),VLOOKUP($D21,PedTblTijden!$A$16:$X$26,PedTblTijden!X$14,FALSE),"")</f>
        <v/>
      </c>
      <c r="AE21" s="16"/>
      <c r="AF21" s="96"/>
      <c r="AG21" s="16"/>
    </row>
    <row r="22" spans="2:33" ht="26.1" customHeight="1" x14ac:dyDescent="0.2">
      <c r="B22" s="98"/>
      <c r="C22" s="129" t="str">
        <f>IF(GlobBerMedDisc!C21&lt;&gt;"",IF(GlobBerMedDisc!C21&gt;1,TRIM(GlobBerMedDisc!C21)&amp;", "&amp;GlobBerOpm!#REF!&amp;" ("&amp;GlobBerMedDisc!M21&amp;" "&amp;GlobBerMedDisc!F21&amp;"/kg/dag)",TRIM(GlobBerMedDisc!C21)&amp;", "&amp;GlobBerOpm!#REF!),"")</f>
        <v/>
      </c>
      <c r="D22" s="130" t="str">
        <f>IF(GlobGuiMedDisc!I28&lt;&gt;"",GlobGuiMedDisc!I28,"")</f>
        <v/>
      </c>
      <c r="E22" s="131" t="str">
        <f>IF(AND(D22&lt;&gt;"",D22&lt;&gt;"STOP"),GlobBerMedDisc!H21&amp;" "&amp;GlobBerMedDisc!F21,"")</f>
        <v/>
      </c>
      <c r="F22" s="131" t="str">
        <f>IF(AND(D22&lt;&gt;"",D22&lt;&gt;"STOP"),GlobBerMedDisc!L21," ")</f>
        <v xml:space="preserve"> </v>
      </c>
      <c r="G22" s="131" t="str">
        <f>IF(GlobGuiMedDisc!N28&lt;&gt;"",GlobGuiMedDisc!N28&amp;" "&amp;GlobGuiMedDisc!O28&amp;" "&amp;INDEX(GlobBerMedDisc!$B$27:$B$30,GlobBerMedDisc!O21,1)&amp;" in "&amp;GlobGuiMedDisc!$R$28,"")</f>
        <v/>
      </c>
      <c r="H22" s="97" t="str">
        <f>IF(OR($D22="1 dd",$D22="2 dd",$D22="3 dd",$D22="4 dd",$D22="6 dd",$D22="8 dd",$D22="12 dd",$D22="an",$D22="1 X"),VLOOKUP($D22,PedTblTijden!$A$16:$X$26,PedTblTijden!B$14,FALSE),"")</f>
        <v/>
      </c>
      <c r="I22" s="14" t="str">
        <f>IF(OR($D22="1 dd",$D22="2 dd",$D22="3 dd",$D22="4 dd",$D22="6 dd",$D22="8 dd",$D22="12 dd",$D22="an",$D22="1 X"),VLOOKUP($D22,PedTblTijden!$A$16:$X$26,PedTblTijden!C$14,FALSE),"")</f>
        <v/>
      </c>
      <c r="J22" s="97" t="str">
        <f>IF(OR($D22="1 dd",$D22="2 dd",$D22="3 dd",$D22="4 dd",$D22="6 dd",$D22="8 dd",$D22="12 dd",$D22="an",$D22="1 X"),VLOOKUP($D22,PedTblTijden!$A$16:$X$26,PedTblTijden!D$14,FALSE),"")</f>
        <v/>
      </c>
      <c r="K22" s="14" t="str">
        <f>IF(OR($D22="1 dd",$D22="2 dd",$D22="3 dd",$D22="4 dd",$D22="6 dd",$D22="8 dd",$D22="12 dd",$D22="an",$D22="1 X"),VLOOKUP($D22,PedTblTijden!$A$16:$X$26,PedTblTijden!E$14,FALSE),"")</f>
        <v/>
      </c>
      <c r="L22" s="97" t="str">
        <f>IF(OR($D22="1 dd",$D22="2 dd",$D22="3 dd",$D22="4 dd",$D22="6 dd",$D22="8 dd",$D22="12 dd",$D22="an",$D22="1 X"),VLOOKUP($D22,PedTblTijden!$A$16:$X$26,PedTblTijden!F$14,FALSE),"")</f>
        <v/>
      </c>
      <c r="M22" s="14" t="str">
        <f>IF(OR($D22="1 dd",$D22="2 dd",$D22="3 dd",$D22="4 dd",$D22="6 dd",$D22="8 dd",$D22="12 dd",$D22="an",$D22="1 X"),VLOOKUP($D22,PedTblTijden!$A$16:$X$26,PedTblTijden!G$14,FALSE),"")</f>
        <v/>
      </c>
      <c r="N22" s="97" t="str">
        <f>IF(OR($D22="1 dd",$D22="2 dd",$D22="3 dd",$D22="4 dd",$D22="6 dd",$D22="8 dd",$D22="12 dd",$D22="an",$D22="1 X"),VLOOKUP($D22,PedTblTijden!$A$16:$X$26,PedTblTijden!H$14,FALSE),"")</f>
        <v/>
      </c>
      <c r="O22" s="14" t="str">
        <f>IF(OR($D22="1 dd",$D22="2 dd",$D22="3 dd",$D22="4 dd",$D22="6 dd",$D22="8 dd",$D22="12 dd",$D22="an",$D22="1 X"),VLOOKUP($D22,PedTblTijden!$A$16:$X$26,PedTblTijden!I$14,FALSE),"")</f>
        <v/>
      </c>
      <c r="P22" s="97" t="str">
        <f>IF(OR($D22="1 dd",$D22="2 dd",$D22="3 dd",$D22="4 dd",$D22="6 dd",$D22="8 dd",$D22="12 dd",$D22="an",$D22="1 X"),VLOOKUP($D22,PedTblTijden!$A$16:$X$26,PedTblTijden!J$14,FALSE),"")</f>
        <v/>
      </c>
      <c r="Q22" s="14" t="str">
        <f>IF(OR($D22="1 dd",$D22="2 dd",$D22="3 dd",$D22="4 dd",$D22="6 dd",$D22="8 dd",$D22="12 dd",$D22="an",$D22="1 X"),VLOOKUP($D22,PedTblTijden!$A$16:$X$26,PedTblTijden!K$14,FALSE),"")</f>
        <v/>
      </c>
      <c r="R22" s="97" t="str">
        <f>IF(OR($D22="1 dd",$D22="2 dd",$D22="3 dd",$D22="4 dd",$D22="6 dd",$D22="8 dd",$D22="12 dd",$D22="an",$D22="1 X"),VLOOKUP($D22,PedTblTijden!$A$16:$X$26,PedTblTijden!L$14,FALSE),"")</f>
        <v/>
      </c>
      <c r="S22" s="14" t="str">
        <f>IF(OR($D22="1 dd",$D22="2 dd",$D22="3 dd",$D22="4 dd",$D22="6 dd",$D22="8 dd",$D22="12 dd",$D22="an",$D22="1 X"),VLOOKUP($D22,PedTblTijden!$A$16:$X$26,PedTblTijden!M$14,FALSE),"")</f>
        <v/>
      </c>
      <c r="T22" s="97" t="str">
        <f>IF(OR($D22="1 dd",$D22="2 dd",$D22="3 dd",$D22="4 dd",$D22="6 dd",$D22="8 dd",$D22="12 dd",$D22="an",$D22="1 X"),VLOOKUP($D22,PedTblTijden!$A$16:$X$26,PedTblTijden!N$14,FALSE),"")</f>
        <v/>
      </c>
      <c r="U22" s="14" t="str">
        <f>IF(OR($D22="1 dd",$D22="2 dd",$D22="3 dd",$D22="4 dd",$D22="6 dd",$D22="8 dd",$D22="12 dd",$D22="an",$D22="1 X"),VLOOKUP($D22,PedTblTijden!$A$16:$X$26,PedTblTijden!O$14,FALSE),"")</f>
        <v/>
      </c>
      <c r="V22" s="97" t="str">
        <f>IF(OR($D22="1 dd",$D22="2 dd",$D22="3 dd",$D22="4 dd",$D22="6 dd",$D22="8 dd",$D22="12 dd",$D22="an",$D22="1 X"),VLOOKUP($D22,PedTblTijden!$A$16:$X$26,PedTblTijden!P$14,FALSE),"")</f>
        <v/>
      </c>
      <c r="W22" s="14" t="str">
        <f>IF(OR($D22="1 dd",$D22="2 dd",$D22="3 dd",$D22="4 dd",$D22="6 dd",$D22="8 dd",$D22="12 dd",$D22="an",$D22="1 X"),VLOOKUP($D22,PedTblTijden!$A$16:$X$26,PedTblTijden!Q$14,FALSE),"")</f>
        <v/>
      </c>
      <c r="X22" s="97" t="str">
        <f>IF(OR($D22="1 dd",$D22="2 dd",$D22="3 dd",$D22="4 dd",$D22="6 dd",$D22="8 dd",$D22="12 dd",$D22="an",$D22="1 X"),VLOOKUP($D22,PedTblTijden!$A$16:$X$26,PedTblTijden!R$14,FALSE),"")</f>
        <v/>
      </c>
      <c r="Y22" s="14" t="str">
        <f>IF(OR($D22="1 dd",$D22="2 dd",$D22="3 dd",$D22="4 dd",$D22="6 dd",$D22="8 dd",$D22="12 dd",$D22="an",$D22="1 X"),VLOOKUP($D22,PedTblTijden!$A$16:$X$26,PedTblTijden!S$14,FALSE),"")</f>
        <v/>
      </c>
      <c r="Z22" s="97" t="str">
        <f>IF(OR($D22="1 dd",$D22="2 dd",$D22="3 dd",$D22="4 dd",$D22="6 dd",$D22="8 dd",$D22="12 dd",$D22="an",$D22="1 X"),VLOOKUP($D22,PedTblTijden!$A$16:$X$26,PedTblTijden!T$14,FALSE),"")</f>
        <v/>
      </c>
      <c r="AA22" s="14" t="str">
        <f>IF(OR($D22="1 dd",$D22="2 dd",$D22="3 dd",$D22="4 dd",$D22="6 dd",$D22="8 dd",$D22="12 dd",$D22="an",$D22="1 X"),VLOOKUP($D22,PedTblTijden!$A$16:$X$26,PedTblTijden!U$14,FALSE),"")</f>
        <v/>
      </c>
      <c r="AB22" s="97" t="str">
        <f>IF(OR($D22="1 dd",$D22="2 dd",$D22="3 dd",$D22="4 dd",$D22="6 dd",$D22="8 dd",$D22="12 dd",$D22="an",$D22="1 X"),VLOOKUP($D22,PedTblTijden!$A$16:$X$26,PedTblTijden!V$14,FALSE),"")</f>
        <v/>
      </c>
      <c r="AC22" s="14" t="str">
        <f>IF(OR($D22="1 dd",$D22="2 dd",$D22="3 dd",$D22="4 dd",$D22="6 dd",$D22="8 dd",$D22="12 dd",$D22="an",$D22="1 X"),VLOOKUP($D22,PedTblTijden!$A$16:$X$26,PedTblTijden!W$14,FALSE),"")</f>
        <v/>
      </c>
      <c r="AD22" s="97" t="str">
        <f>IF(OR($D22="1 dd",$D22="2 dd",$D22="3 dd",$D22="4 dd",$D22="6 dd",$D22="8 dd",$D22="12 dd",$D22="an",$D22="1 X"),VLOOKUP($D22,PedTblTijden!$A$16:$X$26,PedTblTijden!X$14,FALSE),"")</f>
        <v/>
      </c>
      <c r="AE22" s="16"/>
      <c r="AF22" s="96"/>
      <c r="AG22" s="16"/>
    </row>
    <row r="23" spans="2:33" s="320" customFormat="1" ht="26.1" customHeight="1" x14ac:dyDescent="0.2">
      <c r="B23" s="98"/>
      <c r="C23" s="129" t="str">
        <f>IF(GlobBerMedDisc!C22&lt;&gt;"",IF(GlobBerMedDisc!C22&gt;1,TRIM(GlobBerMedDisc!C22)&amp;", "&amp;GlobBerOpm!#REF!&amp;" ("&amp;GlobBerMedDisc!M22&amp;" "&amp;GlobBerMedDisc!F22&amp;"/kg/dag)",TRIM(GlobBerMedDisc!C22)&amp;", "&amp;GlobBerOpm!#REF!),"")</f>
        <v/>
      </c>
      <c r="D23" s="130" t="str">
        <f>IF(GlobGuiMedDisc!I29&lt;&gt;"",GlobGuiMedDisc!I29,"")</f>
        <v/>
      </c>
      <c r="E23" s="131" t="str">
        <f>IF(AND(D23&lt;&gt;"",D23&lt;&gt;"STOP"),GlobBerMedDisc!H22&amp;" "&amp;GlobBerMedDisc!F22,"")</f>
        <v/>
      </c>
      <c r="F23" s="131" t="str">
        <f>IF(AND(D23&lt;&gt;"",D23&lt;&gt;"STOP"),GlobBerMedDisc!L22," ")</f>
        <v xml:space="preserve"> </v>
      </c>
      <c r="G23" s="131" t="e">
        <f>IF(GlobGuiMedDisc!#REF!&lt;&gt;"",GlobGuiMedDisc!#REF!&amp;" "&amp;GlobGuiMedDisc!#REF!&amp;" "&amp;INDEX(GlobBerMedDisc!$B$27:$B$30,GlobBerMedDisc!O22,1)&amp;" in "&amp;GlobGuiMedDisc!$R$28,"")</f>
        <v>#REF!</v>
      </c>
      <c r="H23" s="97" t="str">
        <f>IF(OR($D23="1 dd",$D23="2 dd",$D23="3 dd",$D23="4 dd",$D23="6 dd",$D23="8 dd",$D23="12 dd",$D23="an",$D23="1 X"),VLOOKUP($D23,PedTblTijden!$A$16:$X$26,PedTblTijden!B$14,FALSE),"")</f>
        <v/>
      </c>
      <c r="I23" s="14" t="str">
        <f>IF(OR($D23="1 dd",$D23="2 dd",$D23="3 dd",$D23="4 dd",$D23="6 dd",$D23="8 dd",$D23="12 dd",$D23="an",$D23="1 X"),VLOOKUP($D23,PedTblTijden!$A$16:$X$26,PedTblTijden!C$14,FALSE),"")</f>
        <v/>
      </c>
      <c r="J23" s="97" t="str">
        <f>IF(OR($D23="1 dd",$D23="2 dd",$D23="3 dd",$D23="4 dd",$D23="6 dd",$D23="8 dd",$D23="12 dd",$D23="an",$D23="1 X"),VLOOKUP($D23,PedTblTijden!$A$16:$X$26,PedTblTijden!D$14,FALSE),"")</f>
        <v/>
      </c>
      <c r="K23" s="14" t="str">
        <f>IF(OR($D23="1 dd",$D23="2 dd",$D23="3 dd",$D23="4 dd",$D23="6 dd",$D23="8 dd",$D23="12 dd",$D23="an",$D23="1 X"),VLOOKUP($D23,PedTblTijden!$A$16:$X$26,PedTblTijden!E$14,FALSE),"")</f>
        <v/>
      </c>
      <c r="L23" s="97" t="str">
        <f>IF(OR($D23="1 dd",$D23="2 dd",$D23="3 dd",$D23="4 dd",$D23="6 dd",$D23="8 dd",$D23="12 dd",$D23="an",$D23="1 X"),VLOOKUP($D23,PedTblTijden!$A$16:$X$26,PedTblTijden!F$14,FALSE),"")</f>
        <v/>
      </c>
      <c r="M23" s="14" t="str">
        <f>IF(OR($D23="1 dd",$D23="2 dd",$D23="3 dd",$D23="4 dd",$D23="6 dd",$D23="8 dd",$D23="12 dd",$D23="an",$D23="1 X"),VLOOKUP($D23,PedTblTijden!$A$16:$X$26,PedTblTijden!G$14,FALSE),"")</f>
        <v/>
      </c>
      <c r="N23" s="97" t="str">
        <f>IF(OR($D23="1 dd",$D23="2 dd",$D23="3 dd",$D23="4 dd",$D23="6 dd",$D23="8 dd",$D23="12 dd",$D23="an",$D23="1 X"),VLOOKUP($D23,PedTblTijden!$A$16:$X$26,PedTblTijden!H$14,FALSE),"")</f>
        <v/>
      </c>
      <c r="O23" s="14" t="str">
        <f>IF(OR($D23="1 dd",$D23="2 dd",$D23="3 dd",$D23="4 dd",$D23="6 dd",$D23="8 dd",$D23="12 dd",$D23="an",$D23="1 X"),VLOOKUP($D23,PedTblTijden!$A$16:$X$26,PedTblTijden!I$14,FALSE),"")</f>
        <v/>
      </c>
      <c r="P23" s="97" t="str">
        <f>IF(OR($D23="1 dd",$D23="2 dd",$D23="3 dd",$D23="4 dd",$D23="6 dd",$D23="8 dd",$D23="12 dd",$D23="an",$D23="1 X"),VLOOKUP($D23,PedTblTijden!$A$16:$X$26,PedTblTijden!J$14,FALSE),"")</f>
        <v/>
      </c>
      <c r="Q23" s="14" t="str">
        <f>IF(OR($D23="1 dd",$D23="2 dd",$D23="3 dd",$D23="4 dd",$D23="6 dd",$D23="8 dd",$D23="12 dd",$D23="an",$D23="1 X"),VLOOKUP($D23,PedTblTijden!$A$16:$X$26,PedTblTijden!K$14,FALSE),"")</f>
        <v/>
      </c>
      <c r="R23" s="97" t="str">
        <f>IF(OR($D23="1 dd",$D23="2 dd",$D23="3 dd",$D23="4 dd",$D23="6 dd",$D23="8 dd",$D23="12 dd",$D23="an",$D23="1 X"),VLOOKUP($D23,PedTblTijden!$A$16:$X$26,PedTblTijden!L$14,FALSE),"")</f>
        <v/>
      </c>
      <c r="S23" s="14" t="str">
        <f>IF(OR($D23="1 dd",$D23="2 dd",$D23="3 dd",$D23="4 dd",$D23="6 dd",$D23="8 dd",$D23="12 dd",$D23="an",$D23="1 X"),VLOOKUP($D23,PedTblTijden!$A$16:$X$26,PedTblTijden!M$14,FALSE),"")</f>
        <v/>
      </c>
      <c r="T23" s="97" t="str">
        <f>IF(OR($D23="1 dd",$D23="2 dd",$D23="3 dd",$D23="4 dd",$D23="6 dd",$D23="8 dd",$D23="12 dd",$D23="an",$D23="1 X"),VLOOKUP($D23,PedTblTijden!$A$16:$X$26,PedTblTijden!N$14,FALSE),"")</f>
        <v/>
      </c>
      <c r="U23" s="14" t="str">
        <f>IF(OR($D23="1 dd",$D23="2 dd",$D23="3 dd",$D23="4 dd",$D23="6 dd",$D23="8 dd",$D23="12 dd",$D23="an",$D23="1 X"),VLOOKUP($D23,PedTblTijden!$A$16:$X$26,PedTblTijden!O$14,FALSE),"")</f>
        <v/>
      </c>
      <c r="V23" s="97" t="str">
        <f>IF(OR($D23="1 dd",$D23="2 dd",$D23="3 dd",$D23="4 dd",$D23="6 dd",$D23="8 dd",$D23="12 dd",$D23="an",$D23="1 X"),VLOOKUP($D23,PedTblTijden!$A$16:$X$26,PedTblTijden!P$14,FALSE),"")</f>
        <v/>
      </c>
      <c r="W23" s="14" t="str">
        <f>IF(OR($D23="1 dd",$D23="2 dd",$D23="3 dd",$D23="4 dd",$D23="6 dd",$D23="8 dd",$D23="12 dd",$D23="an",$D23="1 X"),VLOOKUP($D23,PedTblTijden!$A$16:$X$26,PedTblTijden!Q$14,FALSE),"")</f>
        <v/>
      </c>
      <c r="X23" s="97" t="str">
        <f>IF(OR($D23="1 dd",$D23="2 dd",$D23="3 dd",$D23="4 dd",$D23="6 dd",$D23="8 dd",$D23="12 dd",$D23="an",$D23="1 X"),VLOOKUP($D23,PedTblTijden!$A$16:$X$26,PedTblTijden!R$14,FALSE),"")</f>
        <v/>
      </c>
      <c r="Y23" s="14" t="str">
        <f>IF(OR($D23="1 dd",$D23="2 dd",$D23="3 dd",$D23="4 dd",$D23="6 dd",$D23="8 dd",$D23="12 dd",$D23="an",$D23="1 X"),VLOOKUP($D23,PedTblTijden!$A$16:$X$26,PedTblTijden!S$14,FALSE),"")</f>
        <v/>
      </c>
      <c r="Z23" s="97" t="str">
        <f>IF(OR($D23="1 dd",$D23="2 dd",$D23="3 dd",$D23="4 dd",$D23="6 dd",$D23="8 dd",$D23="12 dd",$D23="an",$D23="1 X"),VLOOKUP($D23,PedTblTijden!$A$16:$X$26,PedTblTijden!T$14,FALSE),"")</f>
        <v/>
      </c>
      <c r="AA23" s="14" t="str">
        <f>IF(OR($D23="1 dd",$D23="2 dd",$D23="3 dd",$D23="4 dd",$D23="6 dd",$D23="8 dd",$D23="12 dd",$D23="an",$D23="1 X"),VLOOKUP($D23,PedTblTijden!$A$16:$X$26,PedTblTijden!U$14,FALSE),"")</f>
        <v/>
      </c>
      <c r="AB23" s="97" t="str">
        <f>IF(OR($D23="1 dd",$D23="2 dd",$D23="3 dd",$D23="4 dd",$D23="6 dd",$D23="8 dd",$D23="12 dd",$D23="an",$D23="1 X"),VLOOKUP($D23,PedTblTijden!$A$16:$X$26,PedTblTijden!V$14,FALSE),"")</f>
        <v/>
      </c>
      <c r="AC23" s="14" t="str">
        <f>IF(OR($D23="1 dd",$D23="2 dd",$D23="3 dd",$D23="4 dd",$D23="6 dd",$D23="8 dd",$D23="12 dd",$D23="an",$D23="1 X"),VLOOKUP($D23,PedTblTijden!$A$16:$X$26,PedTblTijden!W$14,FALSE),"")</f>
        <v/>
      </c>
      <c r="AD23" s="97" t="str">
        <f>IF(OR($D23="1 dd",$D23="2 dd",$D23="3 dd",$D23="4 dd",$D23="6 dd",$D23="8 dd",$D23="12 dd",$D23="an",$D23="1 X"),VLOOKUP($D23,PedTblTijden!$A$16:$X$26,PedTblTijden!X$14,FALSE),"")</f>
        <v/>
      </c>
      <c r="AE23" s="16"/>
      <c r="AF23" s="96"/>
      <c r="AG23" s="16"/>
    </row>
    <row r="24" spans="2:33" s="320" customFormat="1" ht="26.1" customHeight="1" x14ac:dyDescent="0.2">
      <c r="B24" s="98"/>
      <c r="C24" s="129" t="str">
        <f>IF(GlobBerMedDisc!C23&lt;&gt;"",IF(GlobBerMedDisc!C23&gt;1,TRIM(GlobBerMedDisc!C23)&amp;", "&amp;GlobBerOpm!#REF!&amp;" ("&amp;GlobBerMedDisc!M23&amp;" "&amp;GlobBerMedDisc!F23&amp;"/kg/dag)",TRIM(GlobBerMedDisc!C23)&amp;", "&amp;GlobBerOpm!#REF!),"")</f>
        <v/>
      </c>
      <c r="D24" s="130" t="str">
        <f>IF(GlobGuiMedDisc!I30&lt;&gt;"",GlobGuiMedDisc!I30,"")</f>
        <v/>
      </c>
      <c r="E24" s="131" t="str">
        <f>IF(AND(D24&lt;&gt;"",D24&lt;&gt;"STOP"),GlobBerMedDisc!H23&amp;" "&amp;GlobBerMedDisc!F23,"")</f>
        <v/>
      </c>
      <c r="F24" s="131" t="str">
        <f>IF(AND(D24&lt;&gt;"",D24&lt;&gt;"STOP"),GlobBerMedDisc!L23," ")</f>
        <v xml:space="preserve"> </v>
      </c>
      <c r="G24" s="131" t="str">
        <f>IF(GlobGuiMedDisc!N29&lt;&gt;"",GlobGuiMedDisc!N29&amp;" "&amp;GlobGuiMedDisc!O29&amp;" "&amp;INDEX(GlobBerMedDisc!$B$27:$B$30,GlobBerMedDisc!O23,1)&amp;" in "&amp;GlobGuiMedDisc!$R$28,"")</f>
        <v/>
      </c>
      <c r="H24" s="97" t="str">
        <f>IF(OR($D24="1 dd",$D24="2 dd",$D24="3 dd",$D24="4 dd",$D24="6 dd",$D24="8 dd",$D24="12 dd",$D24="an",$D24="1 X"),VLOOKUP($D24,PedTblTijden!$A$16:$X$26,PedTblTijden!B$14,FALSE),"")</f>
        <v/>
      </c>
      <c r="I24" s="14" t="str">
        <f>IF(OR($D24="1 dd",$D24="2 dd",$D24="3 dd",$D24="4 dd",$D24="6 dd",$D24="8 dd",$D24="12 dd",$D24="an",$D24="1 X"),VLOOKUP($D24,PedTblTijden!$A$16:$X$26,PedTblTijden!C$14,FALSE),"")</f>
        <v/>
      </c>
      <c r="J24" s="97" t="str">
        <f>IF(OR($D24="1 dd",$D24="2 dd",$D24="3 dd",$D24="4 dd",$D24="6 dd",$D24="8 dd",$D24="12 dd",$D24="an",$D24="1 X"),VLOOKUP($D24,PedTblTijden!$A$16:$X$26,PedTblTijden!D$14,FALSE),"")</f>
        <v/>
      </c>
      <c r="K24" s="14" t="str">
        <f>IF(OR($D24="1 dd",$D24="2 dd",$D24="3 dd",$D24="4 dd",$D24="6 dd",$D24="8 dd",$D24="12 dd",$D24="an",$D24="1 X"),VLOOKUP($D24,PedTblTijden!$A$16:$X$26,PedTblTijden!E$14,FALSE),"")</f>
        <v/>
      </c>
      <c r="L24" s="97" t="str">
        <f>IF(OR($D24="1 dd",$D24="2 dd",$D24="3 dd",$D24="4 dd",$D24="6 dd",$D24="8 dd",$D24="12 dd",$D24="an",$D24="1 X"),VLOOKUP($D24,PedTblTijden!$A$16:$X$26,PedTblTijden!F$14,FALSE),"")</f>
        <v/>
      </c>
      <c r="M24" s="14" t="str">
        <f>IF(OR($D24="1 dd",$D24="2 dd",$D24="3 dd",$D24="4 dd",$D24="6 dd",$D24="8 dd",$D24="12 dd",$D24="an",$D24="1 X"),VLOOKUP($D24,PedTblTijden!$A$16:$X$26,PedTblTijden!G$14,FALSE),"")</f>
        <v/>
      </c>
      <c r="N24" s="97" t="str">
        <f>IF(OR($D24="1 dd",$D24="2 dd",$D24="3 dd",$D24="4 dd",$D24="6 dd",$D24="8 dd",$D24="12 dd",$D24="an",$D24="1 X"),VLOOKUP($D24,PedTblTijden!$A$16:$X$26,PedTblTijden!H$14,FALSE),"")</f>
        <v/>
      </c>
      <c r="O24" s="14" t="str">
        <f>IF(OR($D24="1 dd",$D24="2 dd",$D24="3 dd",$D24="4 dd",$D24="6 dd",$D24="8 dd",$D24="12 dd",$D24="an",$D24="1 X"),VLOOKUP($D24,PedTblTijden!$A$16:$X$26,PedTblTijden!I$14,FALSE),"")</f>
        <v/>
      </c>
      <c r="P24" s="97" t="str">
        <f>IF(OR($D24="1 dd",$D24="2 dd",$D24="3 dd",$D24="4 dd",$D24="6 dd",$D24="8 dd",$D24="12 dd",$D24="an",$D24="1 X"),VLOOKUP($D24,PedTblTijden!$A$16:$X$26,PedTblTijden!J$14,FALSE),"")</f>
        <v/>
      </c>
      <c r="Q24" s="14" t="str">
        <f>IF(OR($D24="1 dd",$D24="2 dd",$D24="3 dd",$D24="4 dd",$D24="6 dd",$D24="8 dd",$D24="12 dd",$D24="an",$D24="1 X"),VLOOKUP($D24,PedTblTijden!$A$16:$X$26,PedTblTijden!K$14,FALSE),"")</f>
        <v/>
      </c>
      <c r="R24" s="97" t="str">
        <f>IF(OR($D24="1 dd",$D24="2 dd",$D24="3 dd",$D24="4 dd",$D24="6 dd",$D24="8 dd",$D24="12 dd",$D24="an",$D24="1 X"),VLOOKUP($D24,PedTblTijden!$A$16:$X$26,PedTblTijden!L$14,FALSE),"")</f>
        <v/>
      </c>
      <c r="S24" s="14" t="str">
        <f>IF(OR($D24="1 dd",$D24="2 dd",$D24="3 dd",$D24="4 dd",$D24="6 dd",$D24="8 dd",$D24="12 dd",$D24="an",$D24="1 X"),VLOOKUP($D24,PedTblTijden!$A$16:$X$26,PedTblTijden!M$14,FALSE),"")</f>
        <v/>
      </c>
      <c r="T24" s="97" t="str">
        <f>IF(OR($D24="1 dd",$D24="2 dd",$D24="3 dd",$D24="4 dd",$D24="6 dd",$D24="8 dd",$D24="12 dd",$D24="an",$D24="1 X"),VLOOKUP($D24,PedTblTijden!$A$16:$X$26,PedTblTijden!N$14,FALSE),"")</f>
        <v/>
      </c>
      <c r="U24" s="14" t="str">
        <f>IF(OR($D24="1 dd",$D24="2 dd",$D24="3 dd",$D24="4 dd",$D24="6 dd",$D24="8 dd",$D24="12 dd",$D24="an",$D24="1 X"),VLOOKUP($D24,PedTblTijden!$A$16:$X$26,PedTblTijden!O$14,FALSE),"")</f>
        <v/>
      </c>
      <c r="V24" s="97" t="str">
        <f>IF(OR($D24="1 dd",$D24="2 dd",$D24="3 dd",$D24="4 dd",$D24="6 dd",$D24="8 dd",$D24="12 dd",$D24="an",$D24="1 X"),VLOOKUP($D24,PedTblTijden!$A$16:$X$26,PedTblTijden!P$14,FALSE),"")</f>
        <v/>
      </c>
      <c r="W24" s="14" t="str">
        <f>IF(OR($D24="1 dd",$D24="2 dd",$D24="3 dd",$D24="4 dd",$D24="6 dd",$D24="8 dd",$D24="12 dd",$D24="an",$D24="1 X"),VLOOKUP($D24,PedTblTijden!$A$16:$X$26,PedTblTijden!Q$14,FALSE),"")</f>
        <v/>
      </c>
      <c r="X24" s="97" t="str">
        <f>IF(OR($D24="1 dd",$D24="2 dd",$D24="3 dd",$D24="4 dd",$D24="6 dd",$D24="8 dd",$D24="12 dd",$D24="an",$D24="1 X"),VLOOKUP($D24,PedTblTijden!$A$16:$X$26,PedTblTijden!R$14,FALSE),"")</f>
        <v/>
      </c>
      <c r="Y24" s="14" t="str">
        <f>IF(OR($D24="1 dd",$D24="2 dd",$D24="3 dd",$D24="4 dd",$D24="6 dd",$D24="8 dd",$D24="12 dd",$D24="an",$D24="1 X"),VLOOKUP($D24,PedTblTijden!$A$16:$X$26,PedTblTijden!S$14,FALSE),"")</f>
        <v/>
      </c>
      <c r="Z24" s="97" t="str">
        <f>IF(OR($D24="1 dd",$D24="2 dd",$D24="3 dd",$D24="4 dd",$D24="6 dd",$D24="8 dd",$D24="12 dd",$D24="an",$D24="1 X"),VLOOKUP($D24,PedTblTijden!$A$16:$X$26,PedTblTijden!T$14,FALSE),"")</f>
        <v/>
      </c>
      <c r="AA24" s="14" t="str">
        <f>IF(OR($D24="1 dd",$D24="2 dd",$D24="3 dd",$D24="4 dd",$D24="6 dd",$D24="8 dd",$D24="12 dd",$D24="an",$D24="1 X"),VLOOKUP($D24,PedTblTijden!$A$16:$X$26,PedTblTijden!U$14,FALSE),"")</f>
        <v/>
      </c>
      <c r="AB24" s="97" t="str">
        <f>IF(OR($D24="1 dd",$D24="2 dd",$D24="3 dd",$D24="4 dd",$D24="6 dd",$D24="8 dd",$D24="12 dd",$D24="an",$D24="1 X"),VLOOKUP($D24,PedTblTijden!$A$16:$X$26,PedTblTijden!V$14,FALSE),"")</f>
        <v/>
      </c>
      <c r="AC24" s="14" t="str">
        <f>IF(OR($D24="1 dd",$D24="2 dd",$D24="3 dd",$D24="4 dd",$D24="6 dd",$D24="8 dd",$D24="12 dd",$D24="an",$D24="1 X"),VLOOKUP($D24,PedTblTijden!$A$16:$X$26,PedTblTijden!W$14,FALSE),"")</f>
        <v/>
      </c>
      <c r="AD24" s="97" t="str">
        <f>IF(OR($D24="1 dd",$D24="2 dd",$D24="3 dd",$D24="4 dd",$D24="6 dd",$D24="8 dd",$D24="12 dd",$D24="an",$D24="1 X"),VLOOKUP($D24,PedTblTijden!$A$16:$X$26,PedTblTijden!X$14,FALSE),"")</f>
        <v/>
      </c>
      <c r="AE24" s="16"/>
      <c r="AF24" s="96"/>
      <c r="AG24" s="16"/>
    </row>
    <row r="25" spans="2:33" s="320" customFormat="1" ht="26.1" customHeight="1" x14ac:dyDescent="0.2">
      <c r="B25" s="98"/>
      <c r="C25" s="129" t="str">
        <f>IF(GlobBerMedDisc!C24&lt;&gt;"",IF(GlobBerMedDisc!C24&gt;1,TRIM(GlobBerMedDisc!C24)&amp;", "&amp;GlobBerOpm!#REF!&amp;" ("&amp;GlobBerMedDisc!M24&amp;" "&amp;GlobBerMedDisc!F24&amp;"/kg/dag)",TRIM(GlobBerMedDisc!C24)&amp;", "&amp;GlobBerOpm!#REF!),"")</f>
        <v/>
      </c>
      <c r="D25" s="130" t="str">
        <f>IF(GlobGuiMedDisc!I31&lt;&gt;"",GlobGuiMedDisc!I31,"")</f>
        <v/>
      </c>
      <c r="E25" s="131" t="str">
        <f>IF(AND(D25&lt;&gt;"",D25&lt;&gt;"STOP"),GlobBerMedDisc!H24&amp;" "&amp;GlobBerMedDisc!F24,"")</f>
        <v/>
      </c>
      <c r="F25" s="131" t="str">
        <f>IF(AND(D25&lt;&gt;"",D25&lt;&gt;"STOP"),GlobBerMedDisc!L24," ")</f>
        <v xml:space="preserve"> </v>
      </c>
      <c r="G25" s="131" t="e">
        <f>IF(GlobGuiMedDisc!#REF!&lt;&gt;"",GlobGuiMedDisc!#REF!&amp;" "&amp;GlobGuiMedDisc!#REF!&amp;" "&amp;INDEX(GlobBerMedDisc!$B$27:$B$30,GlobBerMedDisc!O24,1)&amp;" in "&amp;GlobGuiMedDisc!$R$28,"")</f>
        <v>#REF!</v>
      </c>
      <c r="H25" s="97" t="str">
        <f>IF(OR($D25="1 dd",$D25="2 dd",$D25="3 dd",$D25="4 dd",$D25="6 dd",$D25="8 dd",$D25="12 dd",$D25="an",$D25="1 X"),VLOOKUP($D25,PedTblTijden!$A$16:$X$26,PedTblTijden!B$14,FALSE),"")</f>
        <v/>
      </c>
      <c r="I25" s="14" t="str">
        <f>IF(OR($D25="1 dd",$D25="2 dd",$D25="3 dd",$D25="4 dd",$D25="6 dd",$D25="8 dd",$D25="12 dd",$D25="an",$D25="1 X"),VLOOKUP($D25,PedTblTijden!$A$16:$X$26,PedTblTijden!C$14,FALSE),"")</f>
        <v/>
      </c>
      <c r="J25" s="97" t="str">
        <f>IF(OR($D25="1 dd",$D25="2 dd",$D25="3 dd",$D25="4 dd",$D25="6 dd",$D25="8 dd",$D25="12 dd",$D25="an",$D25="1 X"),VLOOKUP($D25,PedTblTijden!$A$16:$X$26,PedTblTijden!D$14,FALSE),"")</f>
        <v/>
      </c>
      <c r="K25" s="14" t="str">
        <f>IF(OR($D25="1 dd",$D25="2 dd",$D25="3 dd",$D25="4 dd",$D25="6 dd",$D25="8 dd",$D25="12 dd",$D25="an",$D25="1 X"),VLOOKUP($D25,PedTblTijden!$A$16:$X$26,PedTblTijden!E$14,FALSE),"")</f>
        <v/>
      </c>
      <c r="L25" s="97" t="str">
        <f>IF(OR($D25="1 dd",$D25="2 dd",$D25="3 dd",$D25="4 dd",$D25="6 dd",$D25="8 dd",$D25="12 dd",$D25="an",$D25="1 X"),VLOOKUP($D25,PedTblTijden!$A$16:$X$26,PedTblTijden!F$14,FALSE),"")</f>
        <v/>
      </c>
      <c r="M25" s="14" t="str">
        <f>IF(OR($D25="1 dd",$D25="2 dd",$D25="3 dd",$D25="4 dd",$D25="6 dd",$D25="8 dd",$D25="12 dd",$D25="an",$D25="1 X"),VLOOKUP($D25,PedTblTijden!$A$16:$X$26,PedTblTijden!G$14,FALSE),"")</f>
        <v/>
      </c>
      <c r="N25" s="97" t="str">
        <f>IF(OR($D25="1 dd",$D25="2 dd",$D25="3 dd",$D25="4 dd",$D25="6 dd",$D25="8 dd",$D25="12 dd",$D25="an",$D25="1 X"),VLOOKUP($D25,PedTblTijden!$A$16:$X$26,PedTblTijden!H$14,FALSE),"")</f>
        <v/>
      </c>
      <c r="O25" s="14" t="str">
        <f>IF(OR($D25="1 dd",$D25="2 dd",$D25="3 dd",$D25="4 dd",$D25="6 dd",$D25="8 dd",$D25="12 dd",$D25="an",$D25="1 X"),VLOOKUP($D25,PedTblTijden!$A$16:$X$26,PedTblTijden!I$14,FALSE),"")</f>
        <v/>
      </c>
      <c r="P25" s="97" t="str">
        <f>IF(OR($D25="1 dd",$D25="2 dd",$D25="3 dd",$D25="4 dd",$D25="6 dd",$D25="8 dd",$D25="12 dd",$D25="an",$D25="1 X"),VLOOKUP($D25,PedTblTijden!$A$16:$X$26,PedTblTijden!J$14,FALSE),"")</f>
        <v/>
      </c>
      <c r="Q25" s="14" t="str">
        <f>IF(OR($D25="1 dd",$D25="2 dd",$D25="3 dd",$D25="4 dd",$D25="6 dd",$D25="8 dd",$D25="12 dd",$D25="an",$D25="1 X"),VLOOKUP($D25,PedTblTijden!$A$16:$X$26,PedTblTijden!K$14,FALSE),"")</f>
        <v/>
      </c>
      <c r="R25" s="97" t="str">
        <f>IF(OR($D25="1 dd",$D25="2 dd",$D25="3 dd",$D25="4 dd",$D25="6 dd",$D25="8 dd",$D25="12 dd",$D25="an",$D25="1 X"),VLOOKUP($D25,PedTblTijden!$A$16:$X$26,PedTblTijden!L$14,FALSE),"")</f>
        <v/>
      </c>
      <c r="S25" s="14" t="str">
        <f>IF(OR($D25="1 dd",$D25="2 dd",$D25="3 dd",$D25="4 dd",$D25="6 dd",$D25="8 dd",$D25="12 dd",$D25="an",$D25="1 X"),VLOOKUP($D25,PedTblTijden!$A$16:$X$26,PedTblTijden!M$14,FALSE),"")</f>
        <v/>
      </c>
      <c r="T25" s="97" t="str">
        <f>IF(OR($D25="1 dd",$D25="2 dd",$D25="3 dd",$D25="4 dd",$D25="6 dd",$D25="8 dd",$D25="12 dd",$D25="an",$D25="1 X"),VLOOKUP($D25,PedTblTijden!$A$16:$X$26,PedTblTijden!N$14,FALSE),"")</f>
        <v/>
      </c>
      <c r="U25" s="14" t="str">
        <f>IF(OR($D25="1 dd",$D25="2 dd",$D25="3 dd",$D25="4 dd",$D25="6 dd",$D25="8 dd",$D25="12 dd",$D25="an",$D25="1 X"),VLOOKUP($D25,PedTblTijden!$A$16:$X$26,PedTblTijden!O$14,FALSE),"")</f>
        <v/>
      </c>
      <c r="V25" s="97" t="str">
        <f>IF(OR($D25="1 dd",$D25="2 dd",$D25="3 dd",$D25="4 dd",$D25="6 dd",$D25="8 dd",$D25="12 dd",$D25="an",$D25="1 X"),VLOOKUP($D25,PedTblTijden!$A$16:$X$26,PedTblTijden!P$14,FALSE),"")</f>
        <v/>
      </c>
      <c r="W25" s="14" t="str">
        <f>IF(OR($D25="1 dd",$D25="2 dd",$D25="3 dd",$D25="4 dd",$D25="6 dd",$D25="8 dd",$D25="12 dd",$D25="an",$D25="1 X"),VLOOKUP($D25,PedTblTijden!$A$16:$X$26,PedTblTijden!Q$14,FALSE),"")</f>
        <v/>
      </c>
      <c r="X25" s="97" t="str">
        <f>IF(OR($D25="1 dd",$D25="2 dd",$D25="3 dd",$D25="4 dd",$D25="6 dd",$D25="8 dd",$D25="12 dd",$D25="an",$D25="1 X"),VLOOKUP($D25,PedTblTijden!$A$16:$X$26,PedTblTijden!R$14,FALSE),"")</f>
        <v/>
      </c>
      <c r="Y25" s="14" t="str">
        <f>IF(OR($D25="1 dd",$D25="2 dd",$D25="3 dd",$D25="4 dd",$D25="6 dd",$D25="8 dd",$D25="12 dd",$D25="an",$D25="1 X"),VLOOKUP($D25,PedTblTijden!$A$16:$X$26,PedTblTijden!S$14,FALSE),"")</f>
        <v/>
      </c>
      <c r="Z25" s="97" t="str">
        <f>IF(OR($D25="1 dd",$D25="2 dd",$D25="3 dd",$D25="4 dd",$D25="6 dd",$D25="8 dd",$D25="12 dd",$D25="an",$D25="1 X"),VLOOKUP($D25,PedTblTijden!$A$16:$X$26,PedTblTijden!T$14,FALSE),"")</f>
        <v/>
      </c>
      <c r="AA25" s="14" t="str">
        <f>IF(OR($D25="1 dd",$D25="2 dd",$D25="3 dd",$D25="4 dd",$D25="6 dd",$D25="8 dd",$D25="12 dd",$D25="an",$D25="1 X"),VLOOKUP($D25,PedTblTijden!$A$16:$X$26,PedTblTijden!U$14,FALSE),"")</f>
        <v/>
      </c>
      <c r="AB25" s="97" t="str">
        <f>IF(OR($D25="1 dd",$D25="2 dd",$D25="3 dd",$D25="4 dd",$D25="6 dd",$D25="8 dd",$D25="12 dd",$D25="an",$D25="1 X"),VLOOKUP($D25,PedTblTijden!$A$16:$X$26,PedTblTijden!V$14,FALSE),"")</f>
        <v/>
      </c>
      <c r="AC25" s="14" t="str">
        <f>IF(OR($D25="1 dd",$D25="2 dd",$D25="3 dd",$D25="4 dd",$D25="6 dd",$D25="8 dd",$D25="12 dd",$D25="an",$D25="1 X"),VLOOKUP($D25,PedTblTijden!$A$16:$X$26,PedTblTijden!W$14,FALSE),"")</f>
        <v/>
      </c>
      <c r="AD25" s="97" t="str">
        <f>IF(OR($D25="1 dd",$D25="2 dd",$D25="3 dd",$D25="4 dd",$D25="6 dd",$D25="8 dd",$D25="12 dd",$D25="an",$D25="1 X"),VLOOKUP($D25,PedTblTijden!$A$16:$X$26,PedTblTijden!X$14,FALSE),"")</f>
        <v/>
      </c>
      <c r="AE25" s="16"/>
      <c r="AF25" s="96"/>
      <c r="AG25" s="16"/>
    </row>
    <row r="26" spans="2:33" s="320" customFormat="1" ht="26.1" customHeight="1" x14ac:dyDescent="0.2">
      <c r="B26" s="98"/>
      <c r="C26" s="129" t="str">
        <f>IF(GlobBerMedDisc!C25&lt;&gt;"",IF(GlobBerMedDisc!C25&gt;1,TRIM(GlobBerMedDisc!C25)&amp;", "&amp;GlobBerOpm!#REF!&amp;" ("&amp;GlobBerMedDisc!M25&amp;" "&amp;GlobBerMedDisc!F25&amp;"/kg/dag)",TRIM(GlobBerMedDisc!C25)&amp;", "&amp;GlobBerOpm!#REF!),"")</f>
        <v/>
      </c>
      <c r="D26" s="130" t="str">
        <f>IF(GlobGuiMedDisc!I32&lt;&gt;"",GlobGuiMedDisc!I32,"")</f>
        <v/>
      </c>
      <c r="E26" s="131" t="str">
        <f>IF(AND(D26&lt;&gt;"",D26&lt;&gt;"STOP"),GlobBerMedDisc!H25&amp;" "&amp;GlobBerMedDisc!F25,"")</f>
        <v/>
      </c>
      <c r="F26" s="131" t="str">
        <f>IF(AND(D26&lt;&gt;"",D26&lt;&gt;"STOP"),GlobBerMedDisc!L25," ")</f>
        <v xml:space="preserve"> </v>
      </c>
      <c r="G26" s="131" t="str">
        <f>IF(GlobGuiMedDisc!N30&lt;&gt;"",GlobGuiMedDisc!N30&amp;" "&amp;GlobGuiMedDisc!O30&amp;" "&amp;INDEX(GlobBerMedDisc!$B$27:$B$30,GlobBerMedDisc!O25,1)&amp;" in "&amp;GlobGuiMedDisc!$R$28,"")</f>
        <v/>
      </c>
      <c r="H26" s="97" t="str">
        <f>IF(OR($D26="1 dd",$D26="2 dd",$D26="3 dd",$D26="4 dd",$D26="6 dd",$D26="8 dd",$D26="12 dd",$D26="an",$D26="1 X"),VLOOKUP($D26,PedTblTijden!$A$16:$X$26,PedTblTijden!B$14,FALSE),"")</f>
        <v/>
      </c>
      <c r="I26" s="14" t="str">
        <f>IF(OR($D26="1 dd",$D26="2 dd",$D26="3 dd",$D26="4 dd",$D26="6 dd",$D26="8 dd",$D26="12 dd",$D26="an",$D26="1 X"),VLOOKUP($D26,PedTblTijden!$A$16:$X$26,PedTblTijden!C$14,FALSE),"")</f>
        <v/>
      </c>
      <c r="J26" s="97" t="str">
        <f>IF(OR($D26="1 dd",$D26="2 dd",$D26="3 dd",$D26="4 dd",$D26="6 dd",$D26="8 dd",$D26="12 dd",$D26="an",$D26="1 X"),VLOOKUP($D26,PedTblTijden!$A$16:$X$26,PedTblTijden!D$14,FALSE),"")</f>
        <v/>
      </c>
      <c r="K26" s="14" t="str">
        <f>IF(OR($D26="1 dd",$D26="2 dd",$D26="3 dd",$D26="4 dd",$D26="6 dd",$D26="8 dd",$D26="12 dd",$D26="an",$D26="1 X"),VLOOKUP($D26,PedTblTijden!$A$16:$X$26,PedTblTijden!E$14,FALSE),"")</f>
        <v/>
      </c>
      <c r="L26" s="97" t="str">
        <f>IF(OR($D26="1 dd",$D26="2 dd",$D26="3 dd",$D26="4 dd",$D26="6 dd",$D26="8 dd",$D26="12 dd",$D26="an",$D26="1 X"),VLOOKUP($D26,PedTblTijden!$A$16:$X$26,PedTblTijden!F$14,FALSE),"")</f>
        <v/>
      </c>
      <c r="M26" s="14" t="str">
        <f>IF(OR($D26="1 dd",$D26="2 dd",$D26="3 dd",$D26="4 dd",$D26="6 dd",$D26="8 dd",$D26="12 dd",$D26="an",$D26="1 X"),VLOOKUP($D26,PedTblTijden!$A$16:$X$26,PedTblTijden!G$14,FALSE),"")</f>
        <v/>
      </c>
      <c r="N26" s="97" t="str">
        <f>IF(OR($D26="1 dd",$D26="2 dd",$D26="3 dd",$D26="4 dd",$D26="6 dd",$D26="8 dd",$D26="12 dd",$D26="an",$D26="1 X"),VLOOKUP($D26,PedTblTijden!$A$16:$X$26,PedTblTijden!H$14,FALSE),"")</f>
        <v/>
      </c>
      <c r="O26" s="14" t="str">
        <f>IF(OR($D26="1 dd",$D26="2 dd",$D26="3 dd",$D26="4 dd",$D26="6 dd",$D26="8 dd",$D26="12 dd",$D26="an",$D26="1 X"),VLOOKUP($D26,PedTblTijden!$A$16:$X$26,PedTblTijden!I$14,FALSE),"")</f>
        <v/>
      </c>
      <c r="P26" s="97" t="str">
        <f>IF(OR($D26="1 dd",$D26="2 dd",$D26="3 dd",$D26="4 dd",$D26="6 dd",$D26="8 dd",$D26="12 dd",$D26="an",$D26="1 X"),VLOOKUP($D26,PedTblTijden!$A$16:$X$26,PedTblTijden!J$14,FALSE),"")</f>
        <v/>
      </c>
      <c r="Q26" s="14" t="str">
        <f>IF(OR($D26="1 dd",$D26="2 dd",$D26="3 dd",$D26="4 dd",$D26="6 dd",$D26="8 dd",$D26="12 dd",$D26="an",$D26="1 X"),VLOOKUP($D26,PedTblTijden!$A$16:$X$26,PedTblTijden!K$14,FALSE),"")</f>
        <v/>
      </c>
      <c r="R26" s="97" t="str">
        <f>IF(OR($D26="1 dd",$D26="2 dd",$D26="3 dd",$D26="4 dd",$D26="6 dd",$D26="8 dd",$D26="12 dd",$D26="an",$D26="1 X"),VLOOKUP($D26,PedTblTijden!$A$16:$X$26,PedTblTijden!L$14,FALSE),"")</f>
        <v/>
      </c>
      <c r="S26" s="14" t="str">
        <f>IF(OR($D26="1 dd",$D26="2 dd",$D26="3 dd",$D26="4 dd",$D26="6 dd",$D26="8 dd",$D26="12 dd",$D26="an",$D26="1 X"),VLOOKUP($D26,PedTblTijden!$A$16:$X$26,PedTblTijden!M$14,FALSE),"")</f>
        <v/>
      </c>
      <c r="T26" s="97" t="str">
        <f>IF(OR($D26="1 dd",$D26="2 dd",$D26="3 dd",$D26="4 dd",$D26="6 dd",$D26="8 dd",$D26="12 dd",$D26="an",$D26="1 X"),VLOOKUP($D26,PedTblTijden!$A$16:$X$26,PedTblTijden!N$14,FALSE),"")</f>
        <v/>
      </c>
      <c r="U26" s="14" t="str">
        <f>IF(OR($D26="1 dd",$D26="2 dd",$D26="3 dd",$D26="4 dd",$D26="6 dd",$D26="8 dd",$D26="12 dd",$D26="an",$D26="1 X"),VLOOKUP($D26,PedTblTijden!$A$16:$X$26,PedTblTijden!O$14,FALSE),"")</f>
        <v/>
      </c>
      <c r="V26" s="97" t="str">
        <f>IF(OR($D26="1 dd",$D26="2 dd",$D26="3 dd",$D26="4 dd",$D26="6 dd",$D26="8 dd",$D26="12 dd",$D26="an",$D26="1 X"),VLOOKUP($D26,PedTblTijden!$A$16:$X$26,PedTblTijden!P$14,FALSE),"")</f>
        <v/>
      </c>
      <c r="W26" s="14" t="str">
        <f>IF(OR($D26="1 dd",$D26="2 dd",$D26="3 dd",$D26="4 dd",$D26="6 dd",$D26="8 dd",$D26="12 dd",$D26="an",$D26="1 X"),VLOOKUP($D26,PedTblTijden!$A$16:$X$26,PedTblTijden!Q$14,FALSE),"")</f>
        <v/>
      </c>
      <c r="X26" s="97" t="str">
        <f>IF(OR($D26="1 dd",$D26="2 dd",$D26="3 dd",$D26="4 dd",$D26="6 dd",$D26="8 dd",$D26="12 dd",$D26="an",$D26="1 X"),VLOOKUP($D26,PedTblTijden!$A$16:$X$26,PedTblTijden!R$14,FALSE),"")</f>
        <v/>
      </c>
      <c r="Y26" s="14" t="str">
        <f>IF(OR($D26="1 dd",$D26="2 dd",$D26="3 dd",$D26="4 dd",$D26="6 dd",$D26="8 dd",$D26="12 dd",$D26="an",$D26="1 X"),VLOOKUP($D26,PedTblTijden!$A$16:$X$26,PedTblTijden!S$14,FALSE),"")</f>
        <v/>
      </c>
      <c r="Z26" s="97" t="str">
        <f>IF(OR($D26="1 dd",$D26="2 dd",$D26="3 dd",$D26="4 dd",$D26="6 dd",$D26="8 dd",$D26="12 dd",$D26="an",$D26="1 X"),VLOOKUP($D26,PedTblTijden!$A$16:$X$26,PedTblTijden!T$14,FALSE),"")</f>
        <v/>
      </c>
      <c r="AA26" s="14" t="str">
        <f>IF(OR($D26="1 dd",$D26="2 dd",$D26="3 dd",$D26="4 dd",$D26="6 dd",$D26="8 dd",$D26="12 dd",$D26="an",$D26="1 X"),VLOOKUP($D26,PedTblTijden!$A$16:$X$26,PedTblTijden!U$14,FALSE),"")</f>
        <v/>
      </c>
      <c r="AB26" s="97" t="str">
        <f>IF(OR($D26="1 dd",$D26="2 dd",$D26="3 dd",$D26="4 dd",$D26="6 dd",$D26="8 dd",$D26="12 dd",$D26="an",$D26="1 X"),VLOOKUP($D26,PedTblTijden!$A$16:$X$26,PedTblTijden!V$14,FALSE),"")</f>
        <v/>
      </c>
      <c r="AC26" s="14" t="str">
        <f>IF(OR($D26="1 dd",$D26="2 dd",$D26="3 dd",$D26="4 dd",$D26="6 dd",$D26="8 dd",$D26="12 dd",$D26="an",$D26="1 X"),VLOOKUP($D26,PedTblTijden!$A$16:$X$26,PedTblTijden!W$14,FALSE),"")</f>
        <v/>
      </c>
      <c r="AD26" s="97" t="str">
        <f>IF(OR($D26="1 dd",$D26="2 dd",$D26="3 dd",$D26="4 dd",$D26="6 dd",$D26="8 dd",$D26="12 dd",$D26="an",$D26="1 X"),VLOOKUP($D26,PedTblTijden!$A$16:$X$26,PedTblTijden!X$14,FALSE),"")</f>
        <v/>
      </c>
      <c r="AE26" s="16"/>
      <c r="AF26" s="96"/>
      <c r="AG26" s="16"/>
    </row>
    <row r="27" spans="2:33" s="320" customFormat="1" ht="26.1" customHeight="1" x14ac:dyDescent="0.2">
      <c r="B27" s="98"/>
      <c r="C27" s="129" t="str">
        <f>IF(GlobBerMedDisc!C26&lt;&gt;"",IF(GlobBerMedDisc!C26&gt;1,TRIM(GlobBerMedDisc!C26)&amp;", "&amp;GlobBerOpm!#REF!&amp;" ("&amp;GlobBerMedDisc!M26&amp;" "&amp;GlobBerMedDisc!F26&amp;"/kg/dag)",TRIM(GlobBerMedDisc!C26)&amp;", "&amp;GlobBerOpm!#REF!),"")</f>
        <v/>
      </c>
      <c r="D27" s="130" t="str">
        <f>IF(GlobGuiMedDisc!I33&lt;&gt;"",GlobGuiMedDisc!I33,"")</f>
        <v/>
      </c>
      <c r="E27" s="131" t="str">
        <f>IF(AND(D27&lt;&gt;"",D27&lt;&gt;"STOP"),GlobBerMedDisc!H26&amp;" "&amp;GlobBerMedDisc!F26,"")</f>
        <v/>
      </c>
      <c r="F27" s="131" t="str">
        <f>IF(AND(D27&lt;&gt;"",D27&lt;&gt;"STOP"),GlobBerMedDisc!L26," ")</f>
        <v xml:space="preserve"> </v>
      </c>
      <c r="G27" s="131" t="e">
        <f>IF(GlobGuiMedDisc!#REF!&lt;&gt;"",GlobGuiMedDisc!#REF!&amp;" "&amp;GlobGuiMedDisc!#REF!&amp;" "&amp;INDEX(GlobBerMedDisc!$B$27:$B$30,GlobBerMedDisc!O26,1)&amp;" in "&amp;GlobGuiMedDisc!$R$28,"")</f>
        <v>#REF!</v>
      </c>
      <c r="H27" s="97" t="str">
        <f>IF(OR($D27="1 dd",$D27="2 dd",$D27="3 dd",$D27="4 dd",$D27="6 dd",$D27="8 dd",$D27="12 dd",$D27="an",$D27="1 X"),VLOOKUP($D27,PedTblTijden!$A$16:$X$26,PedTblTijden!B$14,FALSE),"")</f>
        <v/>
      </c>
      <c r="I27" s="14" t="str">
        <f>IF(OR($D27="1 dd",$D27="2 dd",$D27="3 dd",$D27="4 dd",$D27="6 dd",$D27="8 dd",$D27="12 dd",$D27="an",$D27="1 X"),VLOOKUP($D27,PedTblTijden!$A$16:$X$26,PedTblTijden!C$14,FALSE),"")</f>
        <v/>
      </c>
      <c r="J27" s="97" t="str">
        <f>IF(OR($D27="1 dd",$D27="2 dd",$D27="3 dd",$D27="4 dd",$D27="6 dd",$D27="8 dd",$D27="12 dd",$D27="an",$D27="1 X"),VLOOKUP($D27,PedTblTijden!$A$16:$X$26,PedTblTijden!D$14,FALSE),"")</f>
        <v/>
      </c>
      <c r="K27" s="14" t="str">
        <f>IF(OR($D27="1 dd",$D27="2 dd",$D27="3 dd",$D27="4 dd",$D27="6 dd",$D27="8 dd",$D27="12 dd",$D27="an",$D27="1 X"),VLOOKUP($D27,PedTblTijden!$A$16:$X$26,PedTblTijden!E$14,FALSE),"")</f>
        <v/>
      </c>
      <c r="L27" s="97" t="str">
        <f>IF(OR($D27="1 dd",$D27="2 dd",$D27="3 dd",$D27="4 dd",$D27="6 dd",$D27="8 dd",$D27="12 dd",$D27="an",$D27="1 X"),VLOOKUP($D27,PedTblTijden!$A$16:$X$26,PedTblTijden!F$14,FALSE),"")</f>
        <v/>
      </c>
      <c r="M27" s="14" t="str">
        <f>IF(OR($D27="1 dd",$D27="2 dd",$D27="3 dd",$D27="4 dd",$D27="6 dd",$D27="8 dd",$D27="12 dd",$D27="an",$D27="1 X"),VLOOKUP($D27,PedTblTijden!$A$16:$X$26,PedTblTijden!G$14,FALSE),"")</f>
        <v/>
      </c>
      <c r="N27" s="97" t="str">
        <f>IF(OR($D27="1 dd",$D27="2 dd",$D27="3 dd",$D27="4 dd",$D27="6 dd",$D27="8 dd",$D27="12 dd",$D27="an",$D27="1 X"),VLOOKUP($D27,PedTblTijden!$A$16:$X$26,PedTblTijden!H$14,FALSE),"")</f>
        <v/>
      </c>
      <c r="O27" s="14" t="str">
        <f>IF(OR($D27="1 dd",$D27="2 dd",$D27="3 dd",$D27="4 dd",$D27="6 dd",$D27="8 dd",$D27="12 dd",$D27="an",$D27="1 X"),VLOOKUP($D27,PedTblTijden!$A$16:$X$26,PedTblTijden!I$14,FALSE),"")</f>
        <v/>
      </c>
      <c r="P27" s="97" t="str">
        <f>IF(OR($D27="1 dd",$D27="2 dd",$D27="3 dd",$D27="4 dd",$D27="6 dd",$D27="8 dd",$D27="12 dd",$D27="an",$D27="1 X"),VLOOKUP($D27,PedTblTijden!$A$16:$X$26,PedTblTijden!J$14,FALSE),"")</f>
        <v/>
      </c>
      <c r="Q27" s="14" t="str">
        <f>IF(OR($D27="1 dd",$D27="2 dd",$D27="3 dd",$D27="4 dd",$D27="6 dd",$D27="8 dd",$D27="12 dd",$D27="an",$D27="1 X"),VLOOKUP($D27,PedTblTijden!$A$16:$X$26,PedTblTijden!K$14,FALSE),"")</f>
        <v/>
      </c>
      <c r="R27" s="97" t="str">
        <f>IF(OR($D27="1 dd",$D27="2 dd",$D27="3 dd",$D27="4 dd",$D27="6 dd",$D27="8 dd",$D27="12 dd",$D27="an",$D27="1 X"),VLOOKUP($D27,PedTblTijden!$A$16:$X$26,PedTblTijden!L$14,FALSE),"")</f>
        <v/>
      </c>
      <c r="S27" s="14" t="str">
        <f>IF(OR($D27="1 dd",$D27="2 dd",$D27="3 dd",$D27="4 dd",$D27="6 dd",$D27="8 dd",$D27="12 dd",$D27="an",$D27="1 X"),VLOOKUP($D27,PedTblTijden!$A$16:$X$26,PedTblTijden!M$14,FALSE),"")</f>
        <v/>
      </c>
      <c r="T27" s="97" t="str">
        <f>IF(OR($D27="1 dd",$D27="2 dd",$D27="3 dd",$D27="4 dd",$D27="6 dd",$D27="8 dd",$D27="12 dd",$D27="an",$D27="1 X"),VLOOKUP($D27,PedTblTijden!$A$16:$X$26,PedTblTijden!N$14,FALSE),"")</f>
        <v/>
      </c>
      <c r="U27" s="14" t="str">
        <f>IF(OR($D27="1 dd",$D27="2 dd",$D27="3 dd",$D27="4 dd",$D27="6 dd",$D27="8 dd",$D27="12 dd",$D27="an",$D27="1 X"),VLOOKUP($D27,PedTblTijden!$A$16:$X$26,PedTblTijden!O$14,FALSE),"")</f>
        <v/>
      </c>
      <c r="V27" s="97" t="str">
        <f>IF(OR($D27="1 dd",$D27="2 dd",$D27="3 dd",$D27="4 dd",$D27="6 dd",$D27="8 dd",$D27="12 dd",$D27="an",$D27="1 X"),VLOOKUP($D27,PedTblTijden!$A$16:$X$26,PedTblTijden!P$14,FALSE),"")</f>
        <v/>
      </c>
      <c r="W27" s="14" t="str">
        <f>IF(OR($D27="1 dd",$D27="2 dd",$D27="3 dd",$D27="4 dd",$D27="6 dd",$D27="8 dd",$D27="12 dd",$D27="an",$D27="1 X"),VLOOKUP($D27,PedTblTijden!$A$16:$X$26,PedTblTijden!Q$14,FALSE),"")</f>
        <v/>
      </c>
      <c r="X27" s="97" t="str">
        <f>IF(OR($D27="1 dd",$D27="2 dd",$D27="3 dd",$D27="4 dd",$D27="6 dd",$D27="8 dd",$D27="12 dd",$D27="an",$D27="1 X"),VLOOKUP($D27,PedTblTijden!$A$16:$X$26,PedTblTijden!R$14,FALSE),"")</f>
        <v/>
      </c>
      <c r="Y27" s="14" t="str">
        <f>IF(OR($D27="1 dd",$D27="2 dd",$D27="3 dd",$D27="4 dd",$D27="6 dd",$D27="8 dd",$D27="12 dd",$D27="an",$D27="1 X"),VLOOKUP($D27,PedTblTijden!$A$16:$X$26,PedTblTijden!S$14,FALSE),"")</f>
        <v/>
      </c>
      <c r="Z27" s="97" t="str">
        <f>IF(OR($D27="1 dd",$D27="2 dd",$D27="3 dd",$D27="4 dd",$D27="6 dd",$D27="8 dd",$D27="12 dd",$D27="an",$D27="1 X"),VLOOKUP($D27,PedTblTijden!$A$16:$X$26,PedTblTijden!T$14,FALSE),"")</f>
        <v/>
      </c>
      <c r="AA27" s="14" t="str">
        <f>IF(OR($D27="1 dd",$D27="2 dd",$D27="3 dd",$D27="4 dd",$D27="6 dd",$D27="8 dd",$D27="12 dd",$D27="an",$D27="1 X"),VLOOKUP($D27,PedTblTijden!$A$16:$X$26,PedTblTijden!U$14,FALSE),"")</f>
        <v/>
      </c>
      <c r="AB27" s="97" t="str">
        <f>IF(OR($D27="1 dd",$D27="2 dd",$D27="3 dd",$D27="4 dd",$D27="6 dd",$D27="8 dd",$D27="12 dd",$D27="an",$D27="1 X"),VLOOKUP($D27,PedTblTijden!$A$16:$X$26,PedTblTijden!V$14,FALSE),"")</f>
        <v/>
      </c>
      <c r="AC27" s="14" t="str">
        <f>IF(OR($D27="1 dd",$D27="2 dd",$D27="3 dd",$D27="4 dd",$D27="6 dd",$D27="8 dd",$D27="12 dd",$D27="an",$D27="1 X"),VLOOKUP($D27,PedTblTijden!$A$16:$X$26,PedTblTijden!W$14,FALSE),"")</f>
        <v/>
      </c>
      <c r="AD27" s="97" t="str">
        <f>IF(OR($D27="1 dd",$D27="2 dd",$D27="3 dd",$D27="4 dd",$D27="6 dd",$D27="8 dd",$D27="12 dd",$D27="an",$D27="1 X"),VLOOKUP($D27,PedTblTijden!$A$16:$X$26,PedTblTijden!X$14,FALSE),"")</f>
        <v/>
      </c>
      <c r="AE27" s="16"/>
      <c r="AF27" s="96"/>
      <c r="AG27" s="16"/>
    </row>
    <row r="28" spans="2:33" s="320" customFormat="1" ht="26.1" customHeight="1" x14ac:dyDescent="0.2">
      <c r="B28" s="98"/>
      <c r="C28" s="129" t="str">
        <f>IF(GlobBerMedDisc!C27&lt;&gt;"",IF(GlobBerMedDisc!C27&gt;1,TRIM(GlobBerMedDisc!C27)&amp;", "&amp;GlobBerOpm!#REF!&amp;" ("&amp;GlobBerMedDisc!M27&amp;" "&amp;GlobBerMedDisc!F27&amp;"/kg/dag)",TRIM(GlobBerMedDisc!C27)&amp;", "&amp;GlobBerOpm!#REF!),"")</f>
        <v/>
      </c>
      <c r="D28" s="130" t="str">
        <f>IF(GlobGuiMedDisc!I34&lt;&gt;"",GlobGuiMedDisc!I34,"")</f>
        <v/>
      </c>
      <c r="E28" s="131" t="str">
        <f>IF(AND(D28&lt;&gt;"",D28&lt;&gt;"STOP"),GlobBerMedDisc!H27&amp;" "&amp;GlobBerMedDisc!F27,"")</f>
        <v/>
      </c>
      <c r="F28" s="131" t="str">
        <f>IF(AND(D28&lt;&gt;"",D28&lt;&gt;"STOP"),GlobBerMedDisc!L27," ")</f>
        <v xml:space="preserve"> </v>
      </c>
      <c r="G28" s="131" t="str">
        <f>IF(GlobGuiMedDisc!N31&lt;&gt;"",GlobGuiMedDisc!N31&amp;" "&amp;GlobGuiMedDisc!O31&amp;" "&amp;INDEX(GlobBerMedDisc!$B$27:$B$30,GlobBerMedDisc!O27,1)&amp;" in "&amp;GlobGuiMedDisc!$R$28,"")</f>
        <v/>
      </c>
      <c r="H28" s="97" t="str">
        <f>IF(OR($D28="1 dd",$D28="2 dd",$D28="3 dd",$D28="4 dd",$D28="6 dd",$D28="8 dd",$D28="12 dd",$D28="an",$D28="1 X"),VLOOKUP($D28,PedTblTijden!$A$16:$X$26,PedTblTijden!B$14,FALSE),"")</f>
        <v/>
      </c>
      <c r="I28" s="14" t="str">
        <f>IF(OR($D28="1 dd",$D28="2 dd",$D28="3 dd",$D28="4 dd",$D28="6 dd",$D28="8 dd",$D28="12 dd",$D28="an",$D28="1 X"),VLOOKUP($D28,PedTblTijden!$A$16:$X$26,PedTblTijden!C$14,FALSE),"")</f>
        <v/>
      </c>
      <c r="J28" s="97" t="str">
        <f>IF(OR($D28="1 dd",$D28="2 dd",$D28="3 dd",$D28="4 dd",$D28="6 dd",$D28="8 dd",$D28="12 dd",$D28="an",$D28="1 X"),VLOOKUP($D28,PedTblTijden!$A$16:$X$26,PedTblTijden!D$14,FALSE),"")</f>
        <v/>
      </c>
      <c r="K28" s="14" t="str">
        <f>IF(OR($D28="1 dd",$D28="2 dd",$D28="3 dd",$D28="4 dd",$D28="6 dd",$D28="8 dd",$D28="12 dd",$D28="an",$D28="1 X"),VLOOKUP($D28,PedTblTijden!$A$16:$X$26,PedTblTijden!E$14,FALSE),"")</f>
        <v/>
      </c>
      <c r="L28" s="97" t="str">
        <f>IF(OR($D28="1 dd",$D28="2 dd",$D28="3 dd",$D28="4 dd",$D28="6 dd",$D28="8 dd",$D28="12 dd",$D28="an",$D28="1 X"),VLOOKUP($D28,PedTblTijden!$A$16:$X$26,PedTblTijden!F$14,FALSE),"")</f>
        <v/>
      </c>
      <c r="M28" s="14" t="str">
        <f>IF(OR($D28="1 dd",$D28="2 dd",$D28="3 dd",$D28="4 dd",$D28="6 dd",$D28="8 dd",$D28="12 dd",$D28="an",$D28="1 X"),VLOOKUP($D28,PedTblTijden!$A$16:$X$26,PedTblTijden!G$14,FALSE),"")</f>
        <v/>
      </c>
      <c r="N28" s="97" t="str">
        <f>IF(OR($D28="1 dd",$D28="2 dd",$D28="3 dd",$D28="4 dd",$D28="6 dd",$D28="8 dd",$D28="12 dd",$D28="an",$D28="1 X"),VLOOKUP($D28,PedTblTijden!$A$16:$X$26,PedTblTijden!H$14,FALSE),"")</f>
        <v/>
      </c>
      <c r="O28" s="14" t="str">
        <f>IF(OR($D28="1 dd",$D28="2 dd",$D28="3 dd",$D28="4 dd",$D28="6 dd",$D28="8 dd",$D28="12 dd",$D28="an",$D28="1 X"),VLOOKUP($D28,PedTblTijden!$A$16:$X$26,PedTblTijden!I$14,FALSE),"")</f>
        <v/>
      </c>
      <c r="P28" s="97" t="str">
        <f>IF(OR($D28="1 dd",$D28="2 dd",$D28="3 dd",$D28="4 dd",$D28="6 dd",$D28="8 dd",$D28="12 dd",$D28="an",$D28="1 X"),VLOOKUP($D28,PedTblTijden!$A$16:$X$26,PedTblTijden!J$14,FALSE),"")</f>
        <v/>
      </c>
      <c r="Q28" s="14" t="str">
        <f>IF(OR($D28="1 dd",$D28="2 dd",$D28="3 dd",$D28="4 dd",$D28="6 dd",$D28="8 dd",$D28="12 dd",$D28="an",$D28="1 X"),VLOOKUP($D28,PedTblTijden!$A$16:$X$26,PedTblTijden!K$14,FALSE),"")</f>
        <v/>
      </c>
      <c r="R28" s="97" t="str">
        <f>IF(OR($D28="1 dd",$D28="2 dd",$D28="3 dd",$D28="4 dd",$D28="6 dd",$D28="8 dd",$D28="12 dd",$D28="an",$D28="1 X"),VLOOKUP($D28,PedTblTijden!$A$16:$X$26,PedTblTijden!L$14,FALSE),"")</f>
        <v/>
      </c>
      <c r="S28" s="14" t="str">
        <f>IF(OR($D28="1 dd",$D28="2 dd",$D28="3 dd",$D28="4 dd",$D28="6 dd",$D28="8 dd",$D28="12 dd",$D28="an",$D28="1 X"),VLOOKUP($D28,PedTblTijden!$A$16:$X$26,PedTblTijden!M$14,FALSE),"")</f>
        <v/>
      </c>
      <c r="T28" s="97" t="str">
        <f>IF(OR($D28="1 dd",$D28="2 dd",$D28="3 dd",$D28="4 dd",$D28="6 dd",$D28="8 dd",$D28="12 dd",$D28="an",$D28="1 X"),VLOOKUP($D28,PedTblTijden!$A$16:$X$26,PedTblTijden!N$14,FALSE),"")</f>
        <v/>
      </c>
      <c r="U28" s="14" t="str">
        <f>IF(OR($D28="1 dd",$D28="2 dd",$D28="3 dd",$D28="4 dd",$D28="6 dd",$D28="8 dd",$D28="12 dd",$D28="an",$D28="1 X"),VLOOKUP($D28,PedTblTijden!$A$16:$X$26,PedTblTijden!O$14,FALSE),"")</f>
        <v/>
      </c>
      <c r="V28" s="97" t="str">
        <f>IF(OR($D28="1 dd",$D28="2 dd",$D28="3 dd",$D28="4 dd",$D28="6 dd",$D28="8 dd",$D28="12 dd",$D28="an",$D28="1 X"),VLOOKUP($D28,PedTblTijden!$A$16:$X$26,PedTblTijden!P$14,FALSE),"")</f>
        <v/>
      </c>
      <c r="W28" s="14" t="str">
        <f>IF(OR($D28="1 dd",$D28="2 dd",$D28="3 dd",$D28="4 dd",$D28="6 dd",$D28="8 dd",$D28="12 dd",$D28="an",$D28="1 X"),VLOOKUP($D28,PedTblTijden!$A$16:$X$26,PedTblTijden!Q$14,FALSE),"")</f>
        <v/>
      </c>
      <c r="X28" s="97" t="str">
        <f>IF(OR($D28="1 dd",$D28="2 dd",$D28="3 dd",$D28="4 dd",$D28="6 dd",$D28="8 dd",$D28="12 dd",$D28="an",$D28="1 X"),VLOOKUP($D28,PedTblTijden!$A$16:$X$26,PedTblTijden!R$14,FALSE),"")</f>
        <v/>
      </c>
      <c r="Y28" s="14" t="str">
        <f>IF(OR($D28="1 dd",$D28="2 dd",$D28="3 dd",$D28="4 dd",$D28="6 dd",$D28="8 dd",$D28="12 dd",$D28="an",$D28="1 X"),VLOOKUP($D28,PedTblTijden!$A$16:$X$26,PedTblTijden!S$14,FALSE),"")</f>
        <v/>
      </c>
      <c r="Z28" s="97" t="str">
        <f>IF(OR($D28="1 dd",$D28="2 dd",$D28="3 dd",$D28="4 dd",$D28="6 dd",$D28="8 dd",$D28="12 dd",$D28="an",$D28="1 X"),VLOOKUP($D28,PedTblTijden!$A$16:$X$26,PedTblTijden!T$14,FALSE),"")</f>
        <v/>
      </c>
      <c r="AA28" s="14" t="str">
        <f>IF(OR($D28="1 dd",$D28="2 dd",$D28="3 dd",$D28="4 dd",$D28="6 dd",$D28="8 dd",$D28="12 dd",$D28="an",$D28="1 X"),VLOOKUP($D28,PedTblTijden!$A$16:$X$26,PedTblTijden!U$14,FALSE),"")</f>
        <v/>
      </c>
      <c r="AB28" s="97" t="str">
        <f>IF(OR($D28="1 dd",$D28="2 dd",$D28="3 dd",$D28="4 dd",$D28="6 dd",$D28="8 dd",$D28="12 dd",$D28="an",$D28="1 X"),VLOOKUP($D28,PedTblTijden!$A$16:$X$26,PedTblTijden!V$14,FALSE),"")</f>
        <v/>
      </c>
      <c r="AC28" s="14" t="str">
        <f>IF(OR($D28="1 dd",$D28="2 dd",$D28="3 dd",$D28="4 dd",$D28="6 dd",$D28="8 dd",$D28="12 dd",$D28="an",$D28="1 X"),VLOOKUP($D28,PedTblTijden!$A$16:$X$26,PedTblTijden!W$14,FALSE),"")</f>
        <v/>
      </c>
      <c r="AD28" s="97" t="str">
        <f>IF(OR($D28="1 dd",$D28="2 dd",$D28="3 dd",$D28="4 dd",$D28="6 dd",$D28="8 dd",$D28="12 dd",$D28="an",$D28="1 X"),VLOOKUP($D28,PedTblTijden!$A$16:$X$26,PedTblTijden!X$14,FALSE),"")</f>
        <v/>
      </c>
      <c r="AE28" s="16"/>
      <c r="AF28" s="96"/>
      <c r="AG28" s="16"/>
    </row>
    <row r="29" spans="2:33" s="320" customFormat="1" ht="26.1" customHeight="1" x14ac:dyDescent="0.2">
      <c r="B29" s="98"/>
      <c r="C29" s="129" t="str">
        <f>IF(GlobBerMedDisc!C28&lt;&gt;"",IF(GlobBerMedDisc!C28&gt;1,TRIM(GlobBerMedDisc!C28)&amp;", "&amp;GlobBerOpm!#REF!&amp;" ("&amp;GlobBerMedDisc!M28&amp;" "&amp;GlobBerMedDisc!F28&amp;"/kg/dag)",TRIM(GlobBerMedDisc!C28)&amp;", "&amp;GlobBerOpm!#REF!),"")</f>
        <v/>
      </c>
      <c r="D29" s="130" t="str">
        <f>IF(GlobGuiMedDisc!I35&lt;&gt;"",GlobGuiMedDisc!I35,"")</f>
        <v/>
      </c>
      <c r="E29" s="131" t="str">
        <f>IF(AND(D29&lt;&gt;"",D29&lt;&gt;"STOP"),GlobBerMedDisc!H28&amp;" "&amp;GlobBerMedDisc!F28,"")</f>
        <v/>
      </c>
      <c r="F29" s="131" t="str">
        <f>IF(AND(D29&lt;&gt;"",D29&lt;&gt;"STOP"),GlobBerMedDisc!L28," ")</f>
        <v xml:space="preserve"> </v>
      </c>
      <c r="G29" s="131" t="e">
        <f>IF(GlobGuiMedDisc!#REF!&lt;&gt;"",GlobGuiMedDisc!#REF!&amp;" "&amp;GlobGuiMedDisc!#REF!&amp;" "&amp;INDEX(GlobBerMedDisc!$B$27:$B$30,GlobBerMedDisc!O28,1)&amp;" in "&amp;GlobGuiMedDisc!$R$28,"")</f>
        <v>#REF!</v>
      </c>
      <c r="H29" s="97" t="str">
        <f>IF(OR($D29="1 dd",$D29="2 dd",$D29="3 dd",$D29="4 dd",$D29="6 dd",$D29="8 dd",$D29="12 dd",$D29="an",$D29="1 X"),VLOOKUP($D29,PedTblTijden!$A$16:$X$26,PedTblTijden!B$14,FALSE),"")</f>
        <v/>
      </c>
      <c r="I29" s="14" t="str">
        <f>IF(OR($D29="1 dd",$D29="2 dd",$D29="3 dd",$D29="4 dd",$D29="6 dd",$D29="8 dd",$D29="12 dd",$D29="an",$D29="1 X"),VLOOKUP($D29,PedTblTijden!$A$16:$X$26,PedTblTijden!C$14,FALSE),"")</f>
        <v/>
      </c>
      <c r="J29" s="97" t="str">
        <f>IF(OR($D29="1 dd",$D29="2 dd",$D29="3 dd",$D29="4 dd",$D29="6 dd",$D29="8 dd",$D29="12 dd",$D29="an",$D29="1 X"),VLOOKUP($D29,PedTblTijden!$A$16:$X$26,PedTblTijden!D$14,FALSE),"")</f>
        <v/>
      </c>
      <c r="K29" s="14" t="str">
        <f>IF(OR($D29="1 dd",$D29="2 dd",$D29="3 dd",$D29="4 dd",$D29="6 dd",$D29="8 dd",$D29="12 dd",$D29="an",$D29="1 X"),VLOOKUP($D29,PedTblTijden!$A$16:$X$26,PedTblTijden!E$14,FALSE),"")</f>
        <v/>
      </c>
      <c r="L29" s="97" t="str">
        <f>IF(OR($D29="1 dd",$D29="2 dd",$D29="3 dd",$D29="4 dd",$D29="6 dd",$D29="8 dd",$D29="12 dd",$D29="an",$D29="1 X"),VLOOKUP($D29,PedTblTijden!$A$16:$X$26,PedTblTijden!F$14,FALSE),"")</f>
        <v/>
      </c>
      <c r="M29" s="14" t="str">
        <f>IF(OR($D29="1 dd",$D29="2 dd",$D29="3 dd",$D29="4 dd",$D29="6 dd",$D29="8 dd",$D29="12 dd",$D29="an",$D29="1 X"),VLOOKUP($D29,PedTblTijden!$A$16:$X$26,PedTblTijden!G$14,FALSE),"")</f>
        <v/>
      </c>
      <c r="N29" s="97" t="str">
        <f>IF(OR($D29="1 dd",$D29="2 dd",$D29="3 dd",$D29="4 dd",$D29="6 dd",$D29="8 dd",$D29="12 dd",$D29="an",$D29="1 X"),VLOOKUP($D29,PedTblTijden!$A$16:$X$26,PedTblTijden!H$14,FALSE),"")</f>
        <v/>
      </c>
      <c r="O29" s="14" t="str">
        <f>IF(OR($D29="1 dd",$D29="2 dd",$D29="3 dd",$D29="4 dd",$D29="6 dd",$D29="8 dd",$D29="12 dd",$D29="an",$D29="1 X"),VLOOKUP($D29,PedTblTijden!$A$16:$X$26,PedTblTijden!I$14,FALSE),"")</f>
        <v/>
      </c>
      <c r="P29" s="97" t="str">
        <f>IF(OR($D29="1 dd",$D29="2 dd",$D29="3 dd",$D29="4 dd",$D29="6 dd",$D29="8 dd",$D29="12 dd",$D29="an",$D29="1 X"),VLOOKUP($D29,PedTblTijden!$A$16:$X$26,PedTblTijden!J$14,FALSE),"")</f>
        <v/>
      </c>
      <c r="Q29" s="14" t="str">
        <f>IF(OR($D29="1 dd",$D29="2 dd",$D29="3 dd",$D29="4 dd",$D29="6 dd",$D29="8 dd",$D29="12 dd",$D29="an",$D29="1 X"),VLOOKUP($D29,PedTblTijden!$A$16:$X$26,PedTblTijden!K$14,FALSE),"")</f>
        <v/>
      </c>
      <c r="R29" s="97" t="str">
        <f>IF(OR($D29="1 dd",$D29="2 dd",$D29="3 dd",$D29="4 dd",$D29="6 dd",$D29="8 dd",$D29="12 dd",$D29="an",$D29="1 X"),VLOOKUP($D29,PedTblTijden!$A$16:$X$26,PedTblTijden!L$14,FALSE),"")</f>
        <v/>
      </c>
      <c r="S29" s="14" t="str">
        <f>IF(OR($D29="1 dd",$D29="2 dd",$D29="3 dd",$D29="4 dd",$D29="6 dd",$D29="8 dd",$D29="12 dd",$D29="an",$D29="1 X"),VLOOKUP($D29,PedTblTijden!$A$16:$X$26,PedTblTijden!M$14,FALSE),"")</f>
        <v/>
      </c>
      <c r="T29" s="97" t="str">
        <f>IF(OR($D29="1 dd",$D29="2 dd",$D29="3 dd",$D29="4 dd",$D29="6 dd",$D29="8 dd",$D29="12 dd",$D29="an",$D29="1 X"),VLOOKUP($D29,PedTblTijden!$A$16:$X$26,PedTblTijden!N$14,FALSE),"")</f>
        <v/>
      </c>
      <c r="U29" s="14" t="str">
        <f>IF(OR($D29="1 dd",$D29="2 dd",$D29="3 dd",$D29="4 dd",$D29="6 dd",$D29="8 dd",$D29="12 dd",$D29="an",$D29="1 X"),VLOOKUP($D29,PedTblTijden!$A$16:$X$26,PedTblTijden!O$14,FALSE),"")</f>
        <v/>
      </c>
      <c r="V29" s="97" t="str">
        <f>IF(OR($D29="1 dd",$D29="2 dd",$D29="3 dd",$D29="4 dd",$D29="6 dd",$D29="8 dd",$D29="12 dd",$D29="an",$D29="1 X"),VLOOKUP($D29,PedTblTijden!$A$16:$X$26,PedTblTijden!P$14,FALSE),"")</f>
        <v/>
      </c>
      <c r="W29" s="14" t="str">
        <f>IF(OR($D29="1 dd",$D29="2 dd",$D29="3 dd",$D29="4 dd",$D29="6 dd",$D29="8 dd",$D29="12 dd",$D29="an",$D29="1 X"),VLOOKUP($D29,PedTblTijden!$A$16:$X$26,PedTblTijden!Q$14,FALSE),"")</f>
        <v/>
      </c>
      <c r="X29" s="97" t="str">
        <f>IF(OR($D29="1 dd",$D29="2 dd",$D29="3 dd",$D29="4 dd",$D29="6 dd",$D29="8 dd",$D29="12 dd",$D29="an",$D29="1 X"),VLOOKUP($D29,PedTblTijden!$A$16:$X$26,PedTblTijden!R$14,FALSE),"")</f>
        <v/>
      </c>
      <c r="Y29" s="14" t="str">
        <f>IF(OR($D29="1 dd",$D29="2 dd",$D29="3 dd",$D29="4 dd",$D29="6 dd",$D29="8 dd",$D29="12 dd",$D29="an",$D29="1 X"),VLOOKUP($D29,PedTblTijden!$A$16:$X$26,PedTblTijden!S$14,FALSE),"")</f>
        <v/>
      </c>
      <c r="Z29" s="97" t="str">
        <f>IF(OR($D29="1 dd",$D29="2 dd",$D29="3 dd",$D29="4 dd",$D29="6 dd",$D29="8 dd",$D29="12 dd",$D29="an",$D29="1 X"),VLOOKUP($D29,PedTblTijden!$A$16:$X$26,PedTblTijden!T$14,FALSE),"")</f>
        <v/>
      </c>
      <c r="AA29" s="14" t="str">
        <f>IF(OR($D29="1 dd",$D29="2 dd",$D29="3 dd",$D29="4 dd",$D29="6 dd",$D29="8 dd",$D29="12 dd",$D29="an",$D29="1 X"),VLOOKUP($D29,PedTblTijden!$A$16:$X$26,PedTblTijden!U$14,FALSE),"")</f>
        <v/>
      </c>
      <c r="AB29" s="97" t="str">
        <f>IF(OR($D29="1 dd",$D29="2 dd",$D29="3 dd",$D29="4 dd",$D29="6 dd",$D29="8 dd",$D29="12 dd",$D29="an",$D29="1 X"),VLOOKUP($D29,PedTblTijden!$A$16:$X$26,PedTblTijden!V$14,FALSE),"")</f>
        <v/>
      </c>
      <c r="AC29" s="14" t="str">
        <f>IF(OR($D29="1 dd",$D29="2 dd",$D29="3 dd",$D29="4 dd",$D29="6 dd",$D29="8 dd",$D29="12 dd",$D29="an",$D29="1 X"),VLOOKUP($D29,PedTblTijden!$A$16:$X$26,PedTblTijden!W$14,FALSE),"")</f>
        <v/>
      </c>
      <c r="AD29" s="97" t="str">
        <f>IF(OR($D29="1 dd",$D29="2 dd",$D29="3 dd",$D29="4 dd",$D29="6 dd",$D29="8 dd",$D29="12 dd",$D29="an",$D29="1 X"),VLOOKUP($D29,PedTblTijden!$A$16:$X$26,PedTblTijden!X$14,FALSE),"")</f>
        <v/>
      </c>
      <c r="AE29" s="16"/>
      <c r="AF29" s="96"/>
      <c r="AG29" s="16"/>
    </row>
    <row r="30" spans="2:33" s="320" customFormat="1" ht="26.1" customHeight="1" x14ac:dyDescent="0.2">
      <c r="B30" s="98"/>
      <c r="C30" s="129" t="str">
        <f>IF(GlobBerMedDisc!C29&lt;&gt;"",IF(GlobBerMedDisc!C29&gt;1,TRIM(GlobBerMedDisc!C29)&amp;", "&amp;GlobBerOpm!#REF!&amp;" ("&amp;GlobBerMedDisc!M29&amp;" "&amp;GlobBerMedDisc!F29&amp;"/kg/dag)",TRIM(GlobBerMedDisc!C29)&amp;", "&amp;GlobBerOpm!#REF!),"")</f>
        <v/>
      </c>
      <c r="D30" s="130" t="str">
        <f>IF(GlobGuiMedDisc!I36&lt;&gt;"",GlobGuiMedDisc!I36,"")</f>
        <v/>
      </c>
      <c r="E30" s="131" t="str">
        <f>IF(AND(D30&lt;&gt;"",D30&lt;&gt;"STOP"),GlobBerMedDisc!H29&amp;" "&amp;GlobBerMedDisc!F29,"")</f>
        <v/>
      </c>
      <c r="F30" s="131" t="str">
        <f>IF(AND(D30&lt;&gt;"",D30&lt;&gt;"STOP"),GlobBerMedDisc!L29," ")</f>
        <v xml:space="preserve"> </v>
      </c>
      <c r="G30" s="131" t="str">
        <f>IF(GlobGuiMedDisc!N32&lt;&gt;"",GlobGuiMedDisc!N32&amp;" "&amp;GlobGuiMedDisc!O32&amp;" "&amp;INDEX(GlobBerMedDisc!$B$27:$B$30,GlobBerMedDisc!O29,1)&amp;" in "&amp;GlobGuiMedDisc!$R$28,"")</f>
        <v/>
      </c>
      <c r="H30" s="97" t="str">
        <f>IF(OR($D30="1 dd",$D30="2 dd",$D30="3 dd",$D30="4 dd",$D30="6 dd",$D30="8 dd",$D30="12 dd",$D30="an",$D30="1 X"),VLOOKUP($D30,PedTblTijden!$A$16:$X$26,PedTblTijden!B$14,FALSE),"")</f>
        <v/>
      </c>
      <c r="I30" s="14" t="str">
        <f>IF(OR($D30="1 dd",$D30="2 dd",$D30="3 dd",$D30="4 dd",$D30="6 dd",$D30="8 dd",$D30="12 dd",$D30="an",$D30="1 X"),VLOOKUP($D30,PedTblTijden!$A$16:$X$26,PedTblTijden!C$14,FALSE),"")</f>
        <v/>
      </c>
      <c r="J30" s="97" t="str">
        <f>IF(OR($D30="1 dd",$D30="2 dd",$D30="3 dd",$D30="4 dd",$D30="6 dd",$D30="8 dd",$D30="12 dd",$D30="an",$D30="1 X"),VLOOKUP($D30,PedTblTijden!$A$16:$X$26,PedTblTijden!D$14,FALSE),"")</f>
        <v/>
      </c>
      <c r="K30" s="14" t="str">
        <f>IF(OR($D30="1 dd",$D30="2 dd",$D30="3 dd",$D30="4 dd",$D30="6 dd",$D30="8 dd",$D30="12 dd",$D30="an",$D30="1 X"),VLOOKUP($D30,PedTblTijden!$A$16:$X$26,PedTblTijden!E$14,FALSE),"")</f>
        <v/>
      </c>
      <c r="L30" s="97" t="str">
        <f>IF(OR($D30="1 dd",$D30="2 dd",$D30="3 dd",$D30="4 dd",$D30="6 dd",$D30="8 dd",$D30="12 dd",$D30="an",$D30="1 X"),VLOOKUP($D30,PedTblTijden!$A$16:$X$26,PedTblTijden!F$14,FALSE),"")</f>
        <v/>
      </c>
      <c r="M30" s="14" t="str">
        <f>IF(OR($D30="1 dd",$D30="2 dd",$D30="3 dd",$D30="4 dd",$D30="6 dd",$D30="8 dd",$D30="12 dd",$D30="an",$D30="1 X"),VLOOKUP($D30,PedTblTijden!$A$16:$X$26,PedTblTijden!G$14,FALSE),"")</f>
        <v/>
      </c>
      <c r="N30" s="97" t="str">
        <f>IF(OR($D30="1 dd",$D30="2 dd",$D30="3 dd",$D30="4 dd",$D30="6 dd",$D30="8 dd",$D30="12 dd",$D30="an",$D30="1 X"),VLOOKUP($D30,PedTblTijden!$A$16:$X$26,PedTblTijden!H$14,FALSE),"")</f>
        <v/>
      </c>
      <c r="O30" s="14" t="str">
        <f>IF(OR($D30="1 dd",$D30="2 dd",$D30="3 dd",$D30="4 dd",$D30="6 dd",$D30="8 dd",$D30="12 dd",$D30="an",$D30="1 X"),VLOOKUP($D30,PedTblTijden!$A$16:$X$26,PedTblTijden!I$14,FALSE),"")</f>
        <v/>
      </c>
      <c r="P30" s="97" t="str">
        <f>IF(OR($D30="1 dd",$D30="2 dd",$D30="3 dd",$D30="4 dd",$D30="6 dd",$D30="8 dd",$D30="12 dd",$D30="an",$D30="1 X"),VLOOKUP($D30,PedTblTijden!$A$16:$X$26,PedTblTijden!J$14,FALSE),"")</f>
        <v/>
      </c>
      <c r="Q30" s="14" t="str">
        <f>IF(OR($D30="1 dd",$D30="2 dd",$D30="3 dd",$D30="4 dd",$D30="6 dd",$D30="8 dd",$D30="12 dd",$D30="an",$D30="1 X"),VLOOKUP($D30,PedTblTijden!$A$16:$X$26,PedTblTijden!K$14,FALSE),"")</f>
        <v/>
      </c>
      <c r="R30" s="97" t="str">
        <f>IF(OR($D30="1 dd",$D30="2 dd",$D30="3 dd",$D30="4 dd",$D30="6 dd",$D30="8 dd",$D30="12 dd",$D30="an",$D30="1 X"),VLOOKUP($D30,PedTblTijden!$A$16:$X$26,PedTblTijden!L$14,FALSE),"")</f>
        <v/>
      </c>
      <c r="S30" s="14" t="str">
        <f>IF(OR($D30="1 dd",$D30="2 dd",$D30="3 dd",$D30="4 dd",$D30="6 dd",$D30="8 dd",$D30="12 dd",$D30="an",$D30="1 X"),VLOOKUP($D30,PedTblTijden!$A$16:$X$26,PedTblTijden!M$14,FALSE),"")</f>
        <v/>
      </c>
      <c r="T30" s="97" t="str">
        <f>IF(OR($D30="1 dd",$D30="2 dd",$D30="3 dd",$D30="4 dd",$D30="6 dd",$D30="8 dd",$D30="12 dd",$D30="an",$D30="1 X"),VLOOKUP($D30,PedTblTijden!$A$16:$X$26,PedTblTijden!N$14,FALSE),"")</f>
        <v/>
      </c>
      <c r="U30" s="14" t="str">
        <f>IF(OR($D30="1 dd",$D30="2 dd",$D30="3 dd",$D30="4 dd",$D30="6 dd",$D30="8 dd",$D30="12 dd",$D30="an",$D30="1 X"),VLOOKUP($D30,PedTblTijden!$A$16:$X$26,PedTblTijden!O$14,FALSE),"")</f>
        <v/>
      </c>
      <c r="V30" s="97" t="str">
        <f>IF(OR($D30="1 dd",$D30="2 dd",$D30="3 dd",$D30="4 dd",$D30="6 dd",$D30="8 dd",$D30="12 dd",$D30="an",$D30="1 X"),VLOOKUP($D30,PedTblTijden!$A$16:$X$26,PedTblTijden!P$14,FALSE),"")</f>
        <v/>
      </c>
      <c r="W30" s="14" t="str">
        <f>IF(OR($D30="1 dd",$D30="2 dd",$D30="3 dd",$D30="4 dd",$D30="6 dd",$D30="8 dd",$D30="12 dd",$D30="an",$D30="1 X"),VLOOKUP($D30,PedTblTijden!$A$16:$X$26,PedTblTijden!Q$14,FALSE),"")</f>
        <v/>
      </c>
      <c r="X30" s="97" t="str">
        <f>IF(OR($D30="1 dd",$D30="2 dd",$D30="3 dd",$D30="4 dd",$D30="6 dd",$D30="8 dd",$D30="12 dd",$D30="an",$D30="1 X"),VLOOKUP($D30,PedTblTijden!$A$16:$X$26,PedTblTijden!R$14,FALSE),"")</f>
        <v/>
      </c>
      <c r="Y30" s="14" t="str">
        <f>IF(OR($D30="1 dd",$D30="2 dd",$D30="3 dd",$D30="4 dd",$D30="6 dd",$D30="8 dd",$D30="12 dd",$D30="an",$D30="1 X"),VLOOKUP($D30,PedTblTijden!$A$16:$X$26,PedTblTijden!S$14,FALSE),"")</f>
        <v/>
      </c>
      <c r="Z30" s="97" t="str">
        <f>IF(OR($D30="1 dd",$D30="2 dd",$D30="3 dd",$D30="4 dd",$D30="6 dd",$D30="8 dd",$D30="12 dd",$D30="an",$D30="1 X"),VLOOKUP($D30,PedTblTijden!$A$16:$X$26,PedTblTijden!T$14,FALSE),"")</f>
        <v/>
      </c>
      <c r="AA30" s="14" t="str">
        <f>IF(OR($D30="1 dd",$D30="2 dd",$D30="3 dd",$D30="4 dd",$D30="6 dd",$D30="8 dd",$D30="12 dd",$D30="an",$D30="1 X"),VLOOKUP($D30,PedTblTijden!$A$16:$X$26,PedTblTijden!U$14,FALSE),"")</f>
        <v/>
      </c>
      <c r="AB30" s="97" t="str">
        <f>IF(OR($D30="1 dd",$D30="2 dd",$D30="3 dd",$D30="4 dd",$D30="6 dd",$D30="8 dd",$D30="12 dd",$D30="an",$D30="1 X"),VLOOKUP($D30,PedTblTijden!$A$16:$X$26,PedTblTijden!V$14,FALSE),"")</f>
        <v/>
      </c>
      <c r="AC30" s="14" t="str">
        <f>IF(OR($D30="1 dd",$D30="2 dd",$D30="3 dd",$D30="4 dd",$D30="6 dd",$D30="8 dd",$D30="12 dd",$D30="an",$D30="1 X"),VLOOKUP($D30,PedTblTijden!$A$16:$X$26,PedTblTijden!W$14,FALSE),"")</f>
        <v/>
      </c>
      <c r="AD30" s="97" t="str">
        <f>IF(OR($D30="1 dd",$D30="2 dd",$D30="3 dd",$D30="4 dd",$D30="6 dd",$D30="8 dd",$D30="12 dd",$D30="an",$D30="1 X"),VLOOKUP($D30,PedTblTijden!$A$16:$X$26,PedTblTijden!X$14,FALSE),"")</f>
        <v/>
      </c>
      <c r="AE30" s="16"/>
      <c r="AF30" s="96"/>
      <c r="AG30" s="16"/>
    </row>
    <row r="31" spans="2:33" s="320" customFormat="1" ht="26.1" customHeight="1" x14ac:dyDescent="0.2">
      <c r="B31" s="98"/>
      <c r="C31" s="129" t="str">
        <f>IF(GlobBerMedDisc!C30&lt;&gt;"",IF(GlobBerMedDisc!C30&gt;1,TRIM(GlobBerMedDisc!C30)&amp;", "&amp;GlobBerOpm!#REF!&amp;" ("&amp;GlobBerMedDisc!M30&amp;" "&amp;GlobBerMedDisc!F30&amp;"/kg/dag)",TRIM(GlobBerMedDisc!C30)&amp;", "&amp;GlobBerOpm!#REF!),"")</f>
        <v/>
      </c>
      <c r="D31" s="130" t="str">
        <f>IF(GlobGuiMedDisc!I37&lt;&gt;"",GlobGuiMedDisc!I37,"")</f>
        <v/>
      </c>
      <c r="E31" s="131" t="str">
        <f>IF(AND(D31&lt;&gt;"",D31&lt;&gt;"STOP"),GlobBerMedDisc!H30&amp;" "&amp;GlobBerMedDisc!F30,"")</f>
        <v/>
      </c>
      <c r="F31" s="131" t="str">
        <f>IF(AND(D31&lt;&gt;"",D31&lt;&gt;"STOP"),GlobBerMedDisc!L30," ")</f>
        <v xml:space="preserve"> </v>
      </c>
      <c r="G31" s="131" t="e">
        <f>IF(GlobGuiMedDisc!#REF!&lt;&gt;"",GlobGuiMedDisc!#REF!&amp;" "&amp;GlobGuiMedDisc!#REF!&amp;" "&amp;INDEX(GlobBerMedDisc!$B$27:$B$30,GlobBerMedDisc!O30,1)&amp;" in "&amp;GlobGuiMedDisc!$R$28,"")</f>
        <v>#REF!</v>
      </c>
      <c r="H31" s="97" t="str">
        <f>IF(OR($D31="1 dd",$D31="2 dd",$D31="3 dd",$D31="4 dd",$D31="6 dd",$D31="8 dd",$D31="12 dd",$D31="an",$D31="1 X"),VLOOKUP($D31,PedTblTijden!$A$16:$X$26,PedTblTijden!B$14,FALSE),"")</f>
        <v/>
      </c>
      <c r="I31" s="14" t="str">
        <f>IF(OR($D31="1 dd",$D31="2 dd",$D31="3 dd",$D31="4 dd",$D31="6 dd",$D31="8 dd",$D31="12 dd",$D31="an",$D31="1 X"),VLOOKUP($D31,PedTblTijden!$A$16:$X$26,PedTblTijden!C$14,FALSE),"")</f>
        <v/>
      </c>
      <c r="J31" s="97" t="str">
        <f>IF(OR($D31="1 dd",$D31="2 dd",$D31="3 dd",$D31="4 dd",$D31="6 dd",$D31="8 dd",$D31="12 dd",$D31="an",$D31="1 X"),VLOOKUP($D31,PedTblTijden!$A$16:$X$26,PedTblTijden!D$14,FALSE),"")</f>
        <v/>
      </c>
      <c r="K31" s="14" t="str">
        <f>IF(OR($D31="1 dd",$D31="2 dd",$D31="3 dd",$D31="4 dd",$D31="6 dd",$D31="8 dd",$D31="12 dd",$D31="an",$D31="1 X"),VLOOKUP($D31,PedTblTijden!$A$16:$X$26,PedTblTijden!E$14,FALSE),"")</f>
        <v/>
      </c>
      <c r="L31" s="97" t="str">
        <f>IF(OR($D31="1 dd",$D31="2 dd",$D31="3 dd",$D31="4 dd",$D31="6 dd",$D31="8 dd",$D31="12 dd",$D31="an",$D31="1 X"),VLOOKUP($D31,PedTblTijden!$A$16:$X$26,PedTblTijden!F$14,FALSE),"")</f>
        <v/>
      </c>
      <c r="M31" s="14" t="str">
        <f>IF(OR($D31="1 dd",$D31="2 dd",$D31="3 dd",$D31="4 dd",$D31="6 dd",$D31="8 dd",$D31="12 dd",$D31="an",$D31="1 X"),VLOOKUP($D31,PedTblTijden!$A$16:$X$26,PedTblTijden!G$14,FALSE),"")</f>
        <v/>
      </c>
      <c r="N31" s="97" t="str">
        <f>IF(OR($D31="1 dd",$D31="2 dd",$D31="3 dd",$D31="4 dd",$D31="6 dd",$D31="8 dd",$D31="12 dd",$D31="an",$D31="1 X"),VLOOKUP($D31,PedTblTijden!$A$16:$X$26,PedTblTijden!H$14,FALSE),"")</f>
        <v/>
      </c>
      <c r="O31" s="14" t="str">
        <f>IF(OR($D31="1 dd",$D31="2 dd",$D31="3 dd",$D31="4 dd",$D31="6 dd",$D31="8 dd",$D31="12 dd",$D31="an",$D31="1 X"),VLOOKUP($D31,PedTblTijden!$A$16:$X$26,PedTblTijden!I$14,FALSE),"")</f>
        <v/>
      </c>
      <c r="P31" s="97" t="str">
        <f>IF(OR($D31="1 dd",$D31="2 dd",$D31="3 dd",$D31="4 dd",$D31="6 dd",$D31="8 dd",$D31="12 dd",$D31="an",$D31="1 X"),VLOOKUP($D31,PedTblTijden!$A$16:$X$26,PedTblTijden!J$14,FALSE),"")</f>
        <v/>
      </c>
      <c r="Q31" s="14" t="str">
        <f>IF(OR($D31="1 dd",$D31="2 dd",$D31="3 dd",$D31="4 dd",$D31="6 dd",$D31="8 dd",$D31="12 dd",$D31="an",$D31="1 X"),VLOOKUP($D31,PedTblTijden!$A$16:$X$26,PedTblTijden!K$14,FALSE),"")</f>
        <v/>
      </c>
      <c r="R31" s="97" t="str">
        <f>IF(OR($D31="1 dd",$D31="2 dd",$D31="3 dd",$D31="4 dd",$D31="6 dd",$D31="8 dd",$D31="12 dd",$D31="an",$D31="1 X"),VLOOKUP($D31,PedTblTijden!$A$16:$X$26,PedTblTijden!L$14,FALSE),"")</f>
        <v/>
      </c>
      <c r="S31" s="14" t="str">
        <f>IF(OR($D31="1 dd",$D31="2 dd",$D31="3 dd",$D31="4 dd",$D31="6 dd",$D31="8 dd",$D31="12 dd",$D31="an",$D31="1 X"),VLOOKUP($D31,PedTblTijden!$A$16:$X$26,PedTblTijden!M$14,FALSE),"")</f>
        <v/>
      </c>
      <c r="T31" s="97" t="str">
        <f>IF(OR($D31="1 dd",$D31="2 dd",$D31="3 dd",$D31="4 dd",$D31="6 dd",$D31="8 dd",$D31="12 dd",$D31="an",$D31="1 X"),VLOOKUP($D31,PedTblTijden!$A$16:$X$26,PedTblTijden!N$14,FALSE),"")</f>
        <v/>
      </c>
      <c r="U31" s="14" t="str">
        <f>IF(OR($D31="1 dd",$D31="2 dd",$D31="3 dd",$D31="4 dd",$D31="6 dd",$D31="8 dd",$D31="12 dd",$D31="an",$D31="1 X"),VLOOKUP($D31,PedTblTijden!$A$16:$X$26,PedTblTijden!O$14,FALSE),"")</f>
        <v/>
      </c>
      <c r="V31" s="97" t="str">
        <f>IF(OR($D31="1 dd",$D31="2 dd",$D31="3 dd",$D31="4 dd",$D31="6 dd",$D31="8 dd",$D31="12 dd",$D31="an",$D31="1 X"),VLOOKUP($D31,PedTblTijden!$A$16:$X$26,PedTblTijden!P$14,FALSE),"")</f>
        <v/>
      </c>
      <c r="W31" s="14" t="str">
        <f>IF(OR($D31="1 dd",$D31="2 dd",$D31="3 dd",$D31="4 dd",$D31="6 dd",$D31="8 dd",$D31="12 dd",$D31="an",$D31="1 X"),VLOOKUP($D31,PedTblTijden!$A$16:$X$26,PedTblTijden!Q$14,FALSE),"")</f>
        <v/>
      </c>
      <c r="X31" s="97" t="str">
        <f>IF(OR($D31="1 dd",$D31="2 dd",$D31="3 dd",$D31="4 dd",$D31="6 dd",$D31="8 dd",$D31="12 dd",$D31="an",$D31="1 X"),VLOOKUP($D31,PedTblTijden!$A$16:$X$26,PedTblTijden!R$14,FALSE),"")</f>
        <v/>
      </c>
      <c r="Y31" s="14" t="str">
        <f>IF(OR($D31="1 dd",$D31="2 dd",$D31="3 dd",$D31="4 dd",$D31="6 dd",$D31="8 dd",$D31="12 dd",$D31="an",$D31="1 X"),VLOOKUP($D31,PedTblTijden!$A$16:$X$26,PedTblTijden!S$14,FALSE),"")</f>
        <v/>
      </c>
      <c r="Z31" s="97" t="str">
        <f>IF(OR($D31="1 dd",$D31="2 dd",$D31="3 dd",$D31="4 dd",$D31="6 dd",$D31="8 dd",$D31="12 dd",$D31="an",$D31="1 X"),VLOOKUP($D31,PedTblTijden!$A$16:$X$26,PedTblTijden!T$14,FALSE),"")</f>
        <v/>
      </c>
      <c r="AA31" s="14" t="str">
        <f>IF(OR($D31="1 dd",$D31="2 dd",$D31="3 dd",$D31="4 dd",$D31="6 dd",$D31="8 dd",$D31="12 dd",$D31="an",$D31="1 X"),VLOOKUP($D31,PedTblTijden!$A$16:$X$26,PedTblTijden!U$14,FALSE),"")</f>
        <v/>
      </c>
      <c r="AB31" s="97" t="str">
        <f>IF(OR($D31="1 dd",$D31="2 dd",$D31="3 dd",$D31="4 dd",$D31="6 dd",$D31="8 dd",$D31="12 dd",$D31="an",$D31="1 X"),VLOOKUP($D31,PedTblTijden!$A$16:$X$26,PedTblTijden!V$14,FALSE),"")</f>
        <v/>
      </c>
      <c r="AC31" s="14" t="str">
        <f>IF(OR($D31="1 dd",$D31="2 dd",$D31="3 dd",$D31="4 dd",$D31="6 dd",$D31="8 dd",$D31="12 dd",$D31="an",$D31="1 X"),VLOOKUP($D31,PedTblTijden!$A$16:$X$26,PedTblTijden!W$14,FALSE),"")</f>
        <v/>
      </c>
      <c r="AD31" s="97" t="str">
        <f>IF(OR($D31="1 dd",$D31="2 dd",$D31="3 dd",$D31="4 dd",$D31="6 dd",$D31="8 dd",$D31="12 dd",$D31="an",$D31="1 X"),VLOOKUP($D31,PedTblTijden!$A$16:$X$26,PedTblTijden!X$14,FALSE),"")</f>
        <v/>
      </c>
      <c r="AE31" s="16"/>
      <c r="AF31" s="96"/>
      <c r="AG31" s="16"/>
    </row>
    <row r="32" spans="2:33" s="320" customFormat="1" ht="26.1" customHeight="1" x14ac:dyDescent="0.2">
      <c r="B32" s="98"/>
      <c r="C32" s="129" t="str">
        <f>IF(GlobBerMedDisc!C31&lt;&gt;"",IF(GlobBerMedDisc!C31&gt;1,TRIM(GlobBerMedDisc!C31)&amp;", "&amp;GlobBerOpm!#REF!&amp;" ("&amp;GlobBerMedDisc!M31&amp;" "&amp;GlobBerMedDisc!F31&amp;"/kg/dag)",TRIM(GlobBerMedDisc!C31)&amp;", "&amp;GlobBerOpm!#REF!),"")</f>
        <v/>
      </c>
      <c r="D32" s="130" t="str">
        <f>IF(GlobGuiMedDisc!I38&lt;&gt;"",GlobGuiMedDisc!I38,"")</f>
        <v/>
      </c>
      <c r="E32" s="131" t="str">
        <f>IF(AND(D32&lt;&gt;"",D32&lt;&gt;"STOP"),GlobBerMedDisc!H31&amp;" "&amp;GlobBerMedDisc!F31,"")</f>
        <v/>
      </c>
      <c r="F32" s="131" t="str">
        <f>IF(AND(D32&lt;&gt;"",D32&lt;&gt;"STOP"),GlobBerMedDisc!L31," ")</f>
        <v xml:space="preserve"> </v>
      </c>
      <c r="G32" s="131" t="str">
        <f>IF(GlobGuiMedDisc!N33&lt;&gt;"",GlobGuiMedDisc!N33&amp;" "&amp;GlobGuiMedDisc!O33&amp;" "&amp;INDEX(GlobBerMedDisc!$B$27:$B$30,GlobBerMedDisc!O31,1)&amp;" in "&amp;GlobGuiMedDisc!$R$28,"")</f>
        <v/>
      </c>
      <c r="H32" s="97" t="str">
        <f>IF(OR($D32="1 dd",$D32="2 dd",$D32="3 dd",$D32="4 dd",$D32="6 dd",$D32="8 dd",$D32="12 dd",$D32="an",$D32="1 X"),VLOOKUP($D32,PedTblTijden!$A$16:$X$26,PedTblTijden!B$14,FALSE),"")</f>
        <v/>
      </c>
      <c r="I32" s="14" t="str">
        <f>IF(OR($D32="1 dd",$D32="2 dd",$D32="3 dd",$D32="4 dd",$D32="6 dd",$D32="8 dd",$D32="12 dd",$D32="an",$D32="1 X"),VLOOKUP($D32,PedTblTijden!$A$16:$X$26,PedTblTijden!C$14,FALSE),"")</f>
        <v/>
      </c>
      <c r="J32" s="97" t="str">
        <f>IF(OR($D32="1 dd",$D32="2 dd",$D32="3 dd",$D32="4 dd",$D32="6 dd",$D32="8 dd",$D32="12 dd",$D32="an",$D32="1 X"),VLOOKUP($D32,PedTblTijden!$A$16:$X$26,PedTblTijden!D$14,FALSE),"")</f>
        <v/>
      </c>
      <c r="K32" s="14" t="str">
        <f>IF(OR($D32="1 dd",$D32="2 dd",$D32="3 dd",$D32="4 dd",$D32="6 dd",$D32="8 dd",$D32="12 dd",$D32="an",$D32="1 X"),VLOOKUP($D32,PedTblTijden!$A$16:$X$26,PedTblTijden!E$14,FALSE),"")</f>
        <v/>
      </c>
      <c r="L32" s="97" t="str">
        <f>IF(OR($D32="1 dd",$D32="2 dd",$D32="3 dd",$D32="4 dd",$D32="6 dd",$D32="8 dd",$D32="12 dd",$D32="an",$D32="1 X"),VLOOKUP($D32,PedTblTijden!$A$16:$X$26,PedTblTijden!F$14,FALSE),"")</f>
        <v/>
      </c>
      <c r="M32" s="14" t="str">
        <f>IF(OR($D32="1 dd",$D32="2 dd",$D32="3 dd",$D32="4 dd",$D32="6 dd",$D32="8 dd",$D32="12 dd",$D32="an",$D32="1 X"),VLOOKUP($D32,PedTblTijden!$A$16:$X$26,PedTblTijden!G$14,FALSE),"")</f>
        <v/>
      </c>
      <c r="N32" s="97" t="str">
        <f>IF(OR($D32="1 dd",$D32="2 dd",$D32="3 dd",$D32="4 dd",$D32="6 dd",$D32="8 dd",$D32="12 dd",$D32="an",$D32="1 X"),VLOOKUP($D32,PedTblTijden!$A$16:$X$26,PedTblTijden!H$14,FALSE),"")</f>
        <v/>
      </c>
      <c r="O32" s="14" t="str">
        <f>IF(OR($D32="1 dd",$D32="2 dd",$D32="3 dd",$D32="4 dd",$D32="6 dd",$D32="8 dd",$D32="12 dd",$D32="an",$D32="1 X"),VLOOKUP($D32,PedTblTijden!$A$16:$X$26,PedTblTijden!I$14,FALSE),"")</f>
        <v/>
      </c>
      <c r="P32" s="97" t="str">
        <f>IF(OR($D32="1 dd",$D32="2 dd",$D32="3 dd",$D32="4 dd",$D32="6 dd",$D32="8 dd",$D32="12 dd",$D32="an",$D32="1 X"),VLOOKUP($D32,PedTblTijden!$A$16:$X$26,PedTblTijden!J$14,FALSE),"")</f>
        <v/>
      </c>
      <c r="Q32" s="14" t="str">
        <f>IF(OR($D32="1 dd",$D32="2 dd",$D32="3 dd",$D32="4 dd",$D32="6 dd",$D32="8 dd",$D32="12 dd",$D32="an",$D32="1 X"),VLOOKUP($D32,PedTblTijden!$A$16:$X$26,PedTblTijden!K$14,FALSE),"")</f>
        <v/>
      </c>
      <c r="R32" s="97" t="str">
        <f>IF(OR($D32="1 dd",$D32="2 dd",$D32="3 dd",$D32="4 dd",$D32="6 dd",$D32="8 dd",$D32="12 dd",$D32="an",$D32="1 X"),VLOOKUP($D32,PedTblTijden!$A$16:$X$26,PedTblTijden!L$14,FALSE),"")</f>
        <v/>
      </c>
      <c r="S32" s="14" t="str">
        <f>IF(OR($D32="1 dd",$D32="2 dd",$D32="3 dd",$D32="4 dd",$D32="6 dd",$D32="8 dd",$D32="12 dd",$D32="an",$D32="1 X"),VLOOKUP($D32,PedTblTijden!$A$16:$X$26,PedTblTijden!M$14,FALSE),"")</f>
        <v/>
      </c>
      <c r="T32" s="97" t="str">
        <f>IF(OR($D32="1 dd",$D32="2 dd",$D32="3 dd",$D32="4 dd",$D32="6 dd",$D32="8 dd",$D32="12 dd",$D32="an",$D32="1 X"),VLOOKUP($D32,PedTblTijden!$A$16:$X$26,PedTblTijden!N$14,FALSE),"")</f>
        <v/>
      </c>
      <c r="U32" s="14" t="str">
        <f>IF(OR($D32="1 dd",$D32="2 dd",$D32="3 dd",$D32="4 dd",$D32="6 dd",$D32="8 dd",$D32="12 dd",$D32="an",$D32="1 X"),VLOOKUP($D32,PedTblTijden!$A$16:$X$26,PedTblTijden!O$14,FALSE),"")</f>
        <v/>
      </c>
      <c r="V32" s="97" t="str">
        <f>IF(OR($D32="1 dd",$D32="2 dd",$D32="3 dd",$D32="4 dd",$D32="6 dd",$D32="8 dd",$D32="12 dd",$D32="an",$D32="1 X"),VLOOKUP($D32,PedTblTijden!$A$16:$X$26,PedTblTijden!P$14,FALSE),"")</f>
        <v/>
      </c>
      <c r="W32" s="14" t="str">
        <f>IF(OR($D32="1 dd",$D32="2 dd",$D32="3 dd",$D32="4 dd",$D32="6 dd",$D32="8 dd",$D32="12 dd",$D32="an",$D32="1 X"),VLOOKUP($D32,PedTblTijden!$A$16:$X$26,PedTblTijden!Q$14,FALSE),"")</f>
        <v/>
      </c>
      <c r="X32" s="97" t="str">
        <f>IF(OR($D32="1 dd",$D32="2 dd",$D32="3 dd",$D32="4 dd",$D32="6 dd",$D32="8 dd",$D32="12 dd",$D32="an",$D32="1 X"),VLOOKUP($D32,PedTblTijden!$A$16:$X$26,PedTblTijden!R$14,FALSE),"")</f>
        <v/>
      </c>
      <c r="Y32" s="14" t="str">
        <f>IF(OR($D32="1 dd",$D32="2 dd",$D32="3 dd",$D32="4 dd",$D32="6 dd",$D32="8 dd",$D32="12 dd",$D32="an",$D32="1 X"),VLOOKUP($D32,PedTblTijden!$A$16:$X$26,PedTblTijden!S$14,FALSE),"")</f>
        <v/>
      </c>
      <c r="Z32" s="97" t="str">
        <f>IF(OR($D32="1 dd",$D32="2 dd",$D32="3 dd",$D32="4 dd",$D32="6 dd",$D32="8 dd",$D32="12 dd",$D32="an",$D32="1 X"),VLOOKUP($D32,PedTblTijden!$A$16:$X$26,PedTblTijden!T$14,FALSE),"")</f>
        <v/>
      </c>
      <c r="AA32" s="14" t="str">
        <f>IF(OR($D32="1 dd",$D32="2 dd",$D32="3 dd",$D32="4 dd",$D32="6 dd",$D32="8 dd",$D32="12 dd",$D32="an",$D32="1 X"),VLOOKUP($D32,PedTblTijden!$A$16:$X$26,PedTblTijden!U$14,FALSE),"")</f>
        <v/>
      </c>
      <c r="AB32" s="97" t="str">
        <f>IF(OR($D32="1 dd",$D32="2 dd",$D32="3 dd",$D32="4 dd",$D32="6 dd",$D32="8 dd",$D32="12 dd",$D32="an",$D32="1 X"),VLOOKUP($D32,PedTblTijden!$A$16:$X$26,PedTblTijden!V$14,FALSE),"")</f>
        <v/>
      </c>
      <c r="AC32" s="14" t="str">
        <f>IF(OR($D32="1 dd",$D32="2 dd",$D32="3 dd",$D32="4 dd",$D32="6 dd",$D32="8 dd",$D32="12 dd",$D32="an",$D32="1 X"),VLOOKUP($D32,PedTblTijden!$A$16:$X$26,PedTblTijden!W$14,FALSE),"")</f>
        <v/>
      </c>
      <c r="AD32" s="97" t="str">
        <f>IF(OR($D32="1 dd",$D32="2 dd",$D32="3 dd",$D32="4 dd",$D32="6 dd",$D32="8 dd",$D32="12 dd",$D32="an",$D32="1 X"),VLOOKUP($D32,PedTblTijden!$A$16:$X$26,PedTblTijden!X$14,FALSE),"")</f>
        <v/>
      </c>
      <c r="AE32" s="16"/>
      <c r="AF32" s="96"/>
      <c r="AG32" s="16"/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3">
    <mergeCell ref="R1:W1"/>
    <mergeCell ref="AB1:AF1"/>
    <mergeCell ref="F1:G1"/>
  </mergeCells>
  <phoneticPr fontId="28" type="noConversion"/>
  <conditionalFormatting sqref="B3:B22">
    <cfRule type="cellIs" dxfId="17" priority="11" stopIfTrue="1" operator="equal">
      <formula>$AB$1</formula>
    </cfRule>
  </conditionalFormatting>
  <conditionalFormatting sqref="B23">
    <cfRule type="cellIs" dxfId="16" priority="10" stopIfTrue="1" operator="equal">
      <formula>$AB$1</formula>
    </cfRule>
  </conditionalFormatting>
  <conditionalFormatting sqref="B24">
    <cfRule type="cellIs" dxfId="15" priority="9" stopIfTrue="1" operator="equal">
      <formula>$AB$1</formula>
    </cfRule>
  </conditionalFormatting>
  <conditionalFormatting sqref="B25">
    <cfRule type="cellIs" dxfId="14" priority="8" stopIfTrue="1" operator="equal">
      <formula>$AB$1</formula>
    </cfRule>
  </conditionalFormatting>
  <conditionalFormatting sqref="B26">
    <cfRule type="cellIs" dxfId="13" priority="7" stopIfTrue="1" operator="equal">
      <formula>$AB$1</formula>
    </cfRule>
  </conditionalFormatting>
  <conditionalFormatting sqref="B27">
    <cfRule type="cellIs" dxfId="12" priority="6" stopIfTrue="1" operator="equal">
      <formula>$AB$1</formula>
    </cfRule>
  </conditionalFormatting>
  <conditionalFormatting sqref="B28">
    <cfRule type="cellIs" dxfId="11" priority="5" stopIfTrue="1" operator="equal">
      <formula>$AB$1</formula>
    </cfRule>
  </conditionalFormatting>
  <conditionalFormatting sqref="B29">
    <cfRule type="cellIs" dxfId="10" priority="4" stopIfTrue="1" operator="equal">
      <formula>$AB$1</formula>
    </cfRule>
  </conditionalFormatting>
  <conditionalFormatting sqref="B30">
    <cfRule type="cellIs" dxfId="9" priority="3" stopIfTrue="1" operator="equal">
      <formula>$AB$1</formula>
    </cfRule>
  </conditionalFormatting>
  <conditionalFormatting sqref="B31">
    <cfRule type="cellIs" dxfId="8" priority="2" stopIfTrue="1" operator="equal">
      <formula>$AB$1</formula>
    </cfRule>
  </conditionalFormatting>
  <conditionalFormatting sqref="B32">
    <cfRule type="cellIs" dxfId="7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  <ignoredErrors>
    <ignoredError sqref="D26" formula="1"/>
  </ignoredError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Tijden">
    <tabColor rgb="FFFFC000"/>
  </sheetPr>
  <dimension ref="A1:X29"/>
  <sheetViews>
    <sheetView workbookViewId="0">
      <selection activeCell="N36" sqref="N36"/>
    </sheetView>
  </sheetViews>
  <sheetFormatPr defaultRowHeight="12.75" x14ac:dyDescent="0.2"/>
  <cols>
    <col min="2" max="24" width="4.7109375" customWidth="1"/>
  </cols>
  <sheetData>
    <row r="1" spans="1:24" x14ac:dyDescent="0.2">
      <c r="A1" s="361" t="s">
        <v>405</v>
      </c>
    </row>
    <row r="2" spans="1:24" x14ac:dyDescent="0.2">
      <c r="A2" t="s">
        <v>396</v>
      </c>
      <c r="B2">
        <v>20</v>
      </c>
    </row>
    <row r="3" spans="1:24" x14ac:dyDescent="0.2">
      <c r="A3" t="s">
        <v>406</v>
      </c>
      <c r="B3">
        <v>10</v>
      </c>
    </row>
    <row r="4" spans="1:24" x14ac:dyDescent="0.2">
      <c r="A4" t="s">
        <v>407</v>
      </c>
      <c r="B4">
        <v>10</v>
      </c>
      <c r="C4">
        <v>22</v>
      </c>
    </row>
    <row r="5" spans="1:24" x14ac:dyDescent="0.2">
      <c r="A5" t="s">
        <v>408</v>
      </c>
      <c r="B5">
        <v>10</v>
      </c>
      <c r="C5">
        <v>18</v>
      </c>
      <c r="D5">
        <v>2</v>
      </c>
    </row>
    <row r="6" spans="1:24" x14ac:dyDescent="0.2">
      <c r="A6" s="361" t="s">
        <v>409</v>
      </c>
      <c r="B6">
        <v>10</v>
      </c>
      <c r="C6">
        <v>18</v>
      </c>
      <c r="D6">
        <v>24</v>
      </c>
      <c r="E6">
        <v>6</v>
      </c>
    </row>
    <row r="7" spans="1:24" x14ac:dyDescent="0.2">
      <c r="A7" t="s">
        <v>190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2">
      <c r="A8" t="s">
        <v>191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2">
      <c r="A9" t="s">
        <v>192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2">
      <c r="A10" t="s">
        <v>26</v>
      </c>
    </row>
    <row r="12" spans="1:24" x14ac:dyDescent="0.2">
      <c r="A12">
        <v>10</v>
      </c>
      <c r="B12" t="s">
        <v>406</v>
      </c>
      <c r="C12" t="s">
        <v>407</v>
      </c>
      <c r="D12" t="s">
        <v>408</v>
      </c>
      <c r="E12" t="s">
        <v>409</v>
      </c>
      <c r="F12" t="s">
        <v>190</v>
      </c>
      <c r="G12" t="s">
        <v>192</v>
      </c>
    </row>
    <row r="14" spans="1:24" x14ac:dyDescent="0.2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2">
      <c r="B15" s="13">
        <v>10</v>
      </c>
      <c r="C15" s="13">
        <v>11</v>
      </c>
      <c r="D15" s="13">
        <v>12</v>
      </c>
      <c r="E15" s="13">
        <v>13</v>
      </c>
      <c r="F15" s="13">
        <v>14</v>
      </c>
      <c r="G15" s="13">
        <v>15</v>
      </c>
      <c r="H15" s="13">
        <v>16</v>
      </c>
      <c r="I15" s="13">
        <v>17</v>
      </c>
      <c r="J15" s="13">
        <v>18</v>
      </c>
      <c r="K15" s="13">
        <v>19</v>
      </c>
      <c r="L15" s="13">
        <v>20</v>
      </c>
      <c r="M15" s="13">
        <v>21</v>
      </c>
      <c r="N15" s="13">
        <v>22</v>
      </c>
      <c r="O15" s="13">
        <v>23</v>
      </c>
      <c r="P15" s="13">
        <v>24</v>
      </c>
      <c r="Q15" s="13">
        <v>1</v>
      </c>
      <c r="R15" s="13">
        <v>2</v>
      </c>
      <c r="S15" s="13">
        <v>3</v>
      </c>
      <c r="T15" s="13">
        <v>4</v>
      </c>
      <c r="U15" s="13">
        <v>5</v>
      </c>
      <c r="V15" s="13">
        <v>6</v>
      </c>
      <c r="W15" s="13">
        <v>7</v>
      </c>
      <c r="X15" s="13">
        <v>8</v>
      </c>
    </row>
    <row r="16" spans="1:24" x14ac:dyDescent="0.2">
      <c r="A16" t="s">
        <v>456</v>
      </c>
      <c r="B16" s="23"/>
      <c r="C16" s="23"/>
      <c r="D16" s="25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4"/>
      <c r="S16" s="24"/>
      <c r="T16" s="24"/>
      <c r="U16" s="24"/>
      <c r="V16" s="24"/>
      <c r="W16" s="24"/>
      <c r="X16" s="24"/>
    </row>
    <row r="17" spans="1:24" s="320" customFormat="1" x14ac:dyDescent="0.2">
      <c r="A17" s="320" t="s">
        <v>386</v>
      </c>
      <c r="B17" s="23"/>
      <c r="C17" s="23"/>
      <c r="D17" s="25"/>
      <c r="E17" s="23"/>
      <c r="F17" s="23"/>
      <c r="G17" s="23"/>
      <c r="H17" s="23"/>
      <c r="I17" s="23"/>
      <c r="J17" s="23"/>
      <c r="K17" s="23"/>
      <c r="L17" s="25" t="s">
        <v>193</v>
      </c>
      <c r="M17" s="23"/>
      <c r="N17" s="23"/>
      <c r="O17" s="23"/>
      <c r="P17" s="23"/>
      <c r="Q17" s="23"/>
      <c r="R17" s="24"/>
      <c r="S17" s="24"/>
      <c r="T17" s="24"/>
      <c r="U17" s="24"/>
      <c r="V17" s="24"/>
      <c r="W17" s="24"/>
      <c r="X17" s="24"/>
    </row>
    <row r="18" spans="1:24" x14ac:dyDescent="0.2">
      <c r="A18" t="s">
        <v>1060</v>
      </c>
      <c r="B18" s="23"/>
      <c r="C18" s="23"/>
      <c r="D18" s="23"/>
      <c r="E18" s="23"/>
      <c r="F18" s="23"/>
      <c r="G18" s="23"/>
      <c r="H18" s="23"/>
      <c r="I18" s="23"/>
      <c r="J18" s="23"/>
      <c r="K18" s="23"/>
      <c r="M18" s="23"/>
      <c r="N18" s="25"/>
      <c r="O18" s="23"/>
      <c r="P18" s="23"/>
      <c r="Q18" s="23"/>
      <c r="R18" s="24"/>
      <c r="S18" s="24"/>
      <c r="T18" s="24"/>
      <c r="U18" s="24"/>
      <c r="V18" s="24"/>
      <c r="W18" s="24"/>
      <c r="X18" s="24"/>
    </row>
    <row r="19" spans="1:24" x14ac:dyDescent="0.2">
      <c r="A19" t="s">
        <v>406</v>
      </c>
      <c r="B19" s="14" t="s">
        <v>193</v>
      </c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</row>
    <row r="20" spans="1:24" x14ac:dyDescent="0.2">
      <c r="A20" t="s">
        <v>407</v>
      </c>
      <c r="B20" s="14" t="s">
        <v>193</v>
      </c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 t="s">
        <v>193</v>
      </c>
      <c r="O20" s="14"/>
      <c r="P20" s="14"/>
      <c r="Q20" s="14"/>
    </row>
    <row r="21" spans="1:24" x14ac:dyDescent="0.2">
      <c r="A21" t="s">
        <v>408</v>
      </c>
      <c r="B21" s="14" t="s">
        <v>193</v>
      </c>
      <c r="C21" s="14"/>
      <c r="D21" s="14"/>
      <c r="E21" s="14"/>
      <c r="F21" s="14"/>
      <c r="G21" s="14"/>
      <c r="H21" s="14"/>
      <c r="I21" s="14"/>
      <c r="J21" s="14" t="s">
        <v>193</v>
      </c>
      <c r="K21" s="14"/>
      <c r="L21" s="14"/>
      <c r="M21" s="14"/>
      <c r="N21" s="14"/>
      <c r="O21" s="14"/>
      <c r="P21" s="14"/>
      <c r="Q21" s="14"/>
      <c r="R21" t="s">
        <v>193</v>
      </c>
    </row>
    <row r="22" spans="1:24" x14ac:dyDescent="0.2">
      <c r="A22" t="s">
        <v>409</v>
      </c>
      <c r="B22" s="14"/>
      <c r="C22" s="14"/>
      <c r="D22" s="14" t="s">
        <v>193</v>
      </c>
      <c r="E22" s="14"/>
      <c r="F22" s="14"/>
      <c r="G22" s="14"/>
      <c r="H22" s="14"/>
      <c r="I22" s="14"/>
      <c r="J22" s="14" t="s">
        <v>193</v>
      </c>
      <c r="K22" s="14"/>
      <c r="L22" s="14"/>
      <c r="M22" s="14"/>
      <c r="N22" s="14"/>
      <c r="O22" s="14"/>
      <c r="P22" s="14" t="s">
        <v>193</v>
      </c>
      <c r="Q22" s="14"/>
      <c r="V22" t="s">
        <v>193</v>
      </c>
    </row>
    <row r="23" spans="1:24" x14ac:dyDescent="0.2">
      <c r="A23" t="s">
        <v>190</v>
      </c>
      <c r="B23" s="14" t="s">
        <v>193</v>
      </c>
      <c r="C23" s="14"/>
      <c r="D23" s="14"/>
      <c r="E23" s="14"/>
      <c r="F23" s="14" t="s">
        <v>193</v>
      </c>
      <c r="G23" s="14"/>
      <c r="H23" s="14"/>
      <c r="I23" s="14"/>
      <c r="J23" s="14" t="s">
        <v>193</v>
      </c>
      <c r="K23" s="14"/>
      <c r="L23" s="14"/>
      <c r="M23" s="14"/>
      <c r="N23" s="14" t="s">
        <v>193</v>
      </c>
      <c r="O23" s="14"/>
      <c r="P23" s="14"/>
      <c r="Q23" s="14"/>
      <c r="R23" t="s">
        <v>193</v>
      </c>
      <c r="V23" t="s">
        <v>193</v>
      </c>
    </row>
    <row r="24" spans="1:24" x14ac:dyDescent="0.2">
      <c r="A24" t="s">
        <v>191</v>
      </c>
      <c r="B24" s="14"/>
      <c r="C24" s="14" t="s">
        <v>193</v>
      </c>
      <c r="D24" s="14"/>
      <c r="E24" s="14"/>
      <c r="F24" s="14" t="s">
        <v>193</v>
      </c>
      <c r="G24" s="14"/>
      <c r="H24" s="14"/>
      <c r="I24" s="14" t="s">
        <v>193</v>
      </c>
      <c r="J24" s="14"/>
      <c r="K24" s="14"/>
      <c r="L24" s="14" t="s">
        <v>193</v>
      </c>
      <c r="M24" s="14"/>
      <c r="N24" s="14"/>
      <c r="O24" s="14" t="s">
        <v>193</v>
      </c>
      <c r="P24" s="14"/>
      <c r="Q24" s="14"/>
      <c r="R24" t="s">
        <v>193</v>
      </c>
      <c r="U24" t="s">
        <v>193</v>
      </c>
      <c r="X24" t="s">
        <v>193</v>
      </c>
    </row>
    <row r="25" spans="1:24" x14ac:dyDescent="0.2">
      <c r="A25" t="s">
        <v>192</v>
      </c>
      <c r="B25" s="14" t="s">
        <v>193</v>
      </c>
      <c r="C25" s="14"/>
      <c r="D25" s="14" t="s">
        <v>193</v>
      </c>
      <c r="E25" s="14"/>
      <c r="F25" s="14" t="s">
        <v>193</v>
      </c>
      <c r="G25" s="14"/>
      <c r="H25" s="14" t="s">
        <v>193</v>
      </c>
      <c r="I25" s="14"/>
      <c r="J25" s="14" t="s">
        <v>193</v>
      </c>
      <c r="K25" s="14"/>
      <c r="L25" s="14" t="s">
        <v>193</v>
      </c>
      <c r="M25" s="14"/>
      <c r="N25" s="14" t="s">
        <v>193</v>
      </c>
      <c r="O25" s="14"/>
      <c r="P25" s="14" t="s">
        <v>193</v>
      </c>
      <c r="Q25" s="14"/>
      <c r="R25" t="s">
        <v>193</v>
      </c>
      <c r="T25" t="s">
        <v>193</v>
      </c>
      <c r="V25" t="s">
        <v>193</v>
      </c>
      <c r="X25" t="s">
        <v>193</v>
      </c>
    </row>
    <row r="26" spans="1:24" x14ac:dyDescent="0.2">
      <c r="A26" t="s">
        <v>26</v>
      </c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</row>
    <row r="27" spans="1:24" x14ac:dyDescent="0.2"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</row>
    <row r="28" spans="1:24" x14ac:dyDescent="0.2"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</row>
    <row r="29" spans="1:24" x14ac:dyDescent="0.2"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</row>
  </sheetData>
  <customSheetViews>
    <customSheetView guid="{33CCADFA-0D48-46A6-8927-2B2144029216}" state="veryHidden">
      <selection activeCell="A17" sqref="A17"/>
      <pageMargins left="0.75" right="0.75" top="1" bottom="1" header="0.5" footer="0.5"/>
      <pageSetup paperSize="9" orientation="portrait" r:id="rId1"/>
      <headerFooter alignWithMargins="0"/>
    </customSheetView>
  </customSheetViews>
  <phoneticPr fontId="28" type="noConversion"/>
  <pageMargins left="0.75" right="0.75" top="1" bottom="1" header="0.5" footer="0.5"/>
  <pageSetup paperSize="9" orientation="portrait" r:id="rId2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9"/>
  <sheetViews>
    <sheetView zoomScaleNormal="100" workbookViewId="0">
      <selection activeCell="B7" sqref="B7"/>
    </sheetView>
  </sheetViews>
  <sheetFormatPr defaultColWidth="9.140625" defaultRowHeight="12.75" x14ac:dyDescent="0.2"/>
  <cols>
    <col min="1" max="1" width="8.7109375" style="8" customWidth="1"/>
    <col min="2" max="2" width="23.85546875" style="8" customWidth="1"/>
    <col min="3" max="3" width="9.28515625" style="8" bestFit="1" customWidth="1"/>
    <col min="4" max="6" width="10.7109375" style="8" customWidth="1"/>
    <col min="7" max="7" width="9.140625" style="8"/>
    <col min="8" max="8" width="14.7109375" style="8" customWidth="1"/>
    <col min="9" max="16384" width="9.140625" style="8"/>
  </cols>
  <sheetData>
    <row r="1" spans="1:8" x14ac:dyDescent="0.2">
      <c r="A1" s="374" t="s">
        <v>264</v>
      </c>
      <c r="F1" s="2" t="s">
        <v>48</v>
      </c>
    </row>
    <row r="3" spans="1:8" x14ac:dyDescent="0.2">
      <c r="A3" s="8" t="s">
        <v>265</v>
      </c>
      <c r="B3" s="38">
        <f ca="1">TODAY()</f>
        <v>42748</v>
      </c>
      <c r="F3" s="44">
        <f>__0_PatNum</f>
        <v>0</v>
      </c>
      <c r="G3" s="45"/>
      <c r="H3" s="46"/>
    </row>
    <row r="4" spans="1:8" x14ac:dyDescent="0.2">
      <c r="F4" s="47" t="str">
        <f>__2_AchterNaam&amp;",  "&amp;__3_VoorNaam</f>
        <v xml:space="preserve">,  </v>
      </c>
      <c r="G4" s="48"/>
      <c r="H4" s="49"/>
    </row>
    <row r="5" spans="1:8" x14ac:dyDescent="0.2">
      <c r="A5" s="8" t="s">
        <v>266</v>
      </c>
      <c r="B5" s="8" t="s">
        <v>391</v>
      </c>
      <c r="F5" s="50">
        <f>__4_GebDatum</f>
        <v>1462</v>
      </c>
      <c r="G5" s="48"/>
      <c r="H5" s="49"/>
    </row>
    <row r="6" spans="1:8" x14ac:dyDescent="0.2">
      <c r="A6" s="365" t="s">
        <v>535</v>
      </c>
      <c r="B6" s="8">
        <f>__1_Bed</f>
        <v>0</v>
      </c>
      <c r="F6" s="47" t="s">
        <v>286</v>
      </c>
      <c r="G6" s="48" t="str">
        <f>_Pat_Gewicht/10&amp;" kg"</f>
        <v>0 kg</v>
      </c>
      <c r="H6" s="49"/>
    </row>
    <row r="7" spans="1:8" x14ac:dyDescent="0.2">
      <c r="A7" s="8" t="s">
        <v>333</v>
      </c>
      <c r="B7" s="8" t="s">
        <v>267</v>
      </c>
      <c r="F7" s="51"/>
      <c r="G7" s="43"/>
      <c r="H7" s="52"/>
    </row>
    <row r="8" spans="1:8" x14ac:dyDescent="0.2">
      <c r="A8" s="8" t="s">
        <v>302</v>
      </c>
      <c r="B8" s="8" t="s">
        <v>267</v>
      </c>
    </row>
    <row r="10" spans="1:8" ht="13.5" thickBot="1" x14ac:dyDescent="0.25">
      <c r="A10" s="8" t="str">
        <f>IF(_Pat_Gewicht/10&lt;7,"Tot. hoev. vocht* (150 ml/kg/24 uur):","Tot. hoev. vocht* (110-90 ml/kg/24 uur):")</f>
        <v>Tot. hoev. vocht* (150 ml/kg/24 uur):</v>
      </c>
      <c r="C10" s="8">
        <f>PedBerTPN!F24</f>
        <v>0</v>
      </c>
      <c r="D10" s="8" t="s">
        <v>334</v>
      </c>
    </row>
    <row r="11" spans="1:8" ht="13.5" thickTop="1" x14ac:dyDescent="0.2">
      <c r="A11" s="1012" t="s">
        <v>16</v>
      </c>
      <c r="B11" s="1013"/>
      <c r="C11" s="1013"/>
      <c r="D11" s="1013"/>
      <c r="E11" s="1013"/>
      <c r="F11" s="1013"/>
      <c r="G11" s="1013"/>
      <c r="H11" s="1014"/>
    </row>
    <row r="12" spans="1:8" ht="25.5" x14ac:dyDescent="0.2">
      <c r="A12" s="27" t="s">
        <v>320</v>
      </c>
      <c r="B12" s="1015" t="s">
        <v>180</v>
      </c>
      <c r="C12" s="1017"/>
      <c r="D12" s="1019" t="s">
        <v>181</v>
      </c>
      <c r="E12" s="1019" t="s">
        <v>182</v>
      </c>
      <c r="F12" s="1019" t="s">
        <v>183</v>
      </c>
      <c r="G12" s="28"/>
      <c r="H12" s="28" t="s">
        <v>184</v>
      </c>
    </row>
    <row r="13" spans="1:8" ht="25.5" x14ac:dyDescent="0.2">
      <c r="A13" s="29" t="s">
        <v>185</v>
      </c>
      <c r="B13" s="1016"/>
      <c r="C13" s="1018"/>
      <c r="D13" s="1020"/>
      <c r="E13" s="1020"/>
      <c r="F13" s="1020"/>
      <c r="G13" s="28" t="s">
        <v>186</v>
      </c>
      <c r="H13" s="30" t="s">
        <v>187</v>
      </c>
    </row>
    <row r="14" spans="1:8" ht="20.100000000000001" customHeight="1" x14ac:dyDescent="0.2">
      <c r="A14" s="1026" t="str">
        <f>IF(_Ped_TPN_Keuze&lt;&gt;1,ROUND(G21/24,1)&amp;" ml/u","")</f>
        <v/>
      </c>
      <c r="B14" s="63" t="s">
        <v>34</v>
      </c>
      <c r="C14" s="64"/>
      <c r="D14" s="64" t="s">
        <v>188</v>
      </c>
      <c r="E14" s="64" t="s">
        <v>188</v>
      </c>
      <c r="F14" s="65" t="s">
        <v>188</v>
      </c>
      <c r="G14" s="66" t="str">
        <f>IF(AND(_Ped_TPN_Keuze&lt;&gt;1,G16&lt;&gt;0,_Pat_Gewicht/10&lt;=50),ROUND(PedBerTPN!F7,0),"")</f>
        <v/>
      </c>
      <c r="H14" s="58"/>
    </row>
    <row r="15" spans="1:8" ht="20.100000000000001" customHeight="1" x14ac:dyDescent="0.2">
      <c r="A15" s="1027"/>
      <c r="B15" s="67" t="s">
        <v>416</v>
      </c>
      <c r="C15" s="68"/>
      <c r="D15" s="68" t="s">
        <v>44</v>
      </c>
      <c r="E15" s="68" t="s">
        <v>83</v>
      </c>
      <c r="F15" s="69" t="s">
        <v>83</v>
      </c>
      <c r="G15" s="66" t="str">
        <f>IF(AND(_Ped_TPN_Keuze&lt;&gt;1,G16&lt;&gt;0,_Pat_Gewicht/10&lt;=50),ROUND(PedBerTPN!F8,0),"")</f>
        <v/>
      </c>
      <c r="H15" s="58"/>
    </row>
    <row r="16" spans="1:8" ht="20.100000000000001" customHeight="1" x14ac:dyDescent="0.2">
      <c r="A16" s="27"/>
      <c r="B16" s="67" t="s">
        <v>417</v>
      </c>
      <c r="C16" s="68"/>
      <c r="D16" s="68" t="s">
        <v>189</v>
      </c>
      <c r="E16" s="68" t="s">
        <v>45</v>
      </c>
      <c r="F16" s="69" t="s">
        <v>46</v>
      </c>
      <c r="G16" s="70" t="str">
        <f>IF(_Ped_TPN_Keuze&lt;&gt;1,PedBerTPN!F4,"")</f>
        <v/>
      </c>
      <c r="H16" s="58"/>
    </row>
    <row r="17" spans="1:8" ht="20.100000000000001" customHeight="1" x14ac:dyDescent="0.2">
      <c r="A17" s="27"/>
      <c r="B17" s="67" t="s">
        <v>315</v>
      </c>
      <c r="C17" s="68"/>
      <c r="D17" s="68" t="s">
        <v>47</v>
      </c>
      <c r="E17" s="68"/>
      <c r="F17" s="69"/>
      <c r="G17" s="70" t="str">
        <f>IF(AND(_Ped_TPN_SST1Keuze=2,_Ped_TPN_Keuze&lt;&gt;1,_Pat_Gewicht/10&lt;=50),ROUND(PedBerTPN!F6,0),"")</f>
        <v/>
      </c>
      <c r="H17" s="58"/>
    </row>
    <row r="18" spans="1:8" ht="20.100000000000001" customHeight="1" x14ac:dyDescent="0.2">
      <c r="A18" s="27"/>
      <c r="B18" s="67" t="s">
        <v>418</v>
      </c>
      <c r="C18" s="68"/>
      <c r="D18" s="68"/>
      <c r="E18" s="68" t="s">
        <v>49</v>
      </c>
      <c r="F18" s="69"/>
      <c r="G18" s="70" t="str">
        <f>IF(AND(_Ped_TPN_SST1Keuze=3,_Ped_TPN_Keuze&lt;&gt;1,_Pat_Gewicht/10&lt;=50),ROUND(PedBerTPN!F6,0),"")</f>
        <v/>
      </c>
      <c r="H18" s="58"/>
    </row>
    <row r="19" spans="1:8" ht="20.100000000000001" customHeight="1" x14ac:dyDescent="0.2">
      <c r="A19" s="27"/>
      <c r="B19" s="67" t="s">
        <v>86</v>
      </c>
      <c r="C19" s="68"/>
      <c r="D19" s="68"/>
      <c r="E19" s="68"/>
      <c r="F19" s="69" t="s">
        <v>50</v>
      </c>
      <c r="G19" s="70" t="str">
        <f>IF(AND(_Ped_TPN_SST1Keuze=5,_Ped_TPN_Keuze&lt;&gt;1,_Pat_Gewicht/10&lt;=50),ROUND(PedBerTPN!F6,0),"")</f>
        <v/>
      </c>
      <c r="H19" s="58"/>
    </row>
    <row r="20" spans="1:8" ht="20.100000000000001" customHeight="1" x14ac:dyDescent="0.2">
      <c r="A20" s="27"/>
      <c r="B20" s="67" t="str">
        <f>IF(AND(_Ped_TPN_Keuze=2,_Ped_TPN_SST1Keuze&lt;&gt;2,_Ped_TPN_SST1Keuze&lt;&gt;3,_Ped_TPN_SST1Keuze&lt;&gt;5,_Ped_TPN_SST1Keuze&lt;11),INDEX(tblSSTGlucose,_Ped_TPN_SST1Keuze,1),"Glucose       %")</f>
        <v>Glucose       %</v>
      </c>
      <c r="C20" s="68"/>
      <c r="D20" s="68"/>
      <c r="E20" s="68"/>
      <c r="F20" s="69"/>
      <c r="G20" s="70" t="str">
        <f>IF(AND(_Ped_TPN_Keuze&lt;&gt;1,B20&lt;&gt;"",_Pat_Gewicht/10&lt;=50),IF(AND(_Ped_TPN_SST1Keuze&lt;&gt;2,_Ped_TPN_SST1Keuze&lt;&gt;3,_Ped_TPN_SST1Keuze&lt;&gt;5,_Ped_TPN_SST1Keuze&lt;11),ROUND(PedBerTPN!F6,0),""),"")</f>
        <v/>
      </c>
      <c r="H20" s="58"/>
    </row>
    <row r="21" spans="1:8" ht="15.95" customHeight="1" x14ac:dyDescent="0.2">
      <c r="A21" s="27"/>
      <c r="B21" s="37"/>
      <c r="C21" s="37"/>
      <c r="D21" s="37"/>
      <c r="E21" s="1030" t="s">
        <v>228</v>
      </c>
      <c r="F21" s="1030"/>
      <c r="G21" s="59">
        <f>SUM(G14:G20)+IF(AND(_Pat_Gewicht/10&gt;=16,_Pat_Gewicht/10&lt;=50),PedBerTPN!F5,0)</f>
        <v>0</v>
      </c>
      <c r="H21" s="58"/>
    </row>
    <row r="22" spans="1:8" ht="15.95" customHeight="1" x14ac:dyDescent="0.2">
      <c r="A22" s="27"/>
      <c r="B22" s="32"/>
      <c r="C22" s="32"/>
      <c r="D22" s="32"/>
      <c r="E22" s="32"/>
      <c r="F22" s="32"/>
      <c r="G22" s="32"/>
      <c r="H22" s="28"/>
    </row>
    <row r="23" spans="1:8" ht="20.100000000000001" customHeight="1" x14ac:dyDescent="0.2">
      <c r="A23" s="1024" t="str">
        <f>IF(G26&gt;0,ROUND(G26/24,1)&amp;" ml/u","")</f>
        <v/>
      </c>
      <c r="B23" s="63" t="s">
        <v>208</v>
      </c>
      <c r="C23" s="64"/>
      <c r="D23" s="64" t="s">
        <v>398</v>
      </c>
      <c r="E23" s="64" t="s">
        <v>399</v>
      </c>
      <c r="F23" s="65" t="s">
        <v>189</v>
      </c>
      <c r="G23" s="66">
        <f>ROUND(PedBerTPN!F13,0)</f>
        <v>0</v>
      </c>
      <c r="H23" s="33"/>
    </row>
    <row r="24" spans="1:8" ht="20.100000000000001" customHeight="1" x14ac:dyDescent="0.2">
      <c r="A24" s="1025"/>
      <c r="B24" s="67" t="s">
        <v>209</v>
      </c>
      <c r="C24" s="68"/>
      <c r="D24" s="68"/>
      <c r="E24" s="1031" t="s">
        <v>303</v>
      </c>
      <c r="F24" s="1032"/>
      <c r="G24" s="70">
        <f>ROUND(PedBerTPN!F14,0)</f>
        <v>0</v>
      </c>
      <c r="H24" s="28"/>
    </row>
    <row r="25" spans="1:8" ht="20.100000000000001" customHeight="1" x14ac:dyDescent="0.2">
      <c r="A25" s="27"/>
      <c r="B25" s="67"/>
      <c r="C25" s="68"/>
      <c r="D25" s="68"/>
      <c r="E25" s="1031"/>
      <c r="F25" s="1032"/>
      <c r="G25" s="70"/>
      <c r="H25" s="28"/>
    </row>
    <row r="26" spans="1:8" ht="15.95" customHeight="1" x14ac:dyDescent="0.2">
      <c r="A26" s="27"/>
      <c r="B26" s="56"/>
      <c r="C26" s="56"/>
      <c r="D26" s="56"/>
      <c r="E26" s="1033" t="s">
        <v>228</v>
      </c>
      <c r="F26" s="1033"/>
      <c r="G26" s="61">
        <f>SUM(G23:G25)</f>
        <v>0</v>
      </c>
      <c r="H26" s="57"/>
    </row>
    <row r="27" spans="1:8" ht="15.95" customHeight="1" thickBot="1" x14ac:dyDescent="0.25">
      <c r="A27" s="27"/>
      <c r="B27" s="56"/>
      <c r="C27" s="56"/>
      <c r="D27" s="56"/>
      <c r="E27" s="56"/>
      <c r="F27" s="56"/>
      <c r="G27" s="32"/>
      <c r="H27" s="28"/>
    </row>
    <row r="28" spans="1:8" ht="15.95" customHeight="1" thickTop="1" x14ac:dyDescent="0.2">
      <c r="A28" s="34"/>
      <c r="B28" s="1028" t="s">
        <v>121</v>
      </c>
      <c r="C28" s="1029"/>
      <c r="D28" s="1029"/>
      <c r="E28" s="1029"/>
      <c r="F28" s="1029"/>
      <c r="G28" s="53"/>
      <c r="H28" s="35"/>
    </row>
    <row r="29" spans="1:8" ht="20.100000000000001" customHeight="1" x14ac:dyDescent="0.2">
      <c r="A29" s="1024" t="str">
        <f>IF(G36&gt;0,ROUND(G36/24,1)&amp;" ml/u","")</f>
        <v/>
      </c>
      <c r="B29" s="74" t="s">
        <v>34</v>
      </c>
      <c r="C29" s="76"/>
      <c r="D29" s="76"/>
      <c r="E29" s="76"/>
      <c r="F29" s="77"/>
      <c r="G29" s="66">
        <f>IF(AND(OR(_Ped_TPN_Keuze=1,AND(_Ped_TPN_Keuze=2,_Ped_TPN_SST1Keuze&gt;10),_Pat_Gewicht/10&gt;50)),ROUND(PedBerTPN!F7,0),0)</f>
        <v>0</v>
      </c>
      <c r="H29" s="28"/>
    </row>
    <row r="30" spans="1:8" ht="20.100000000000001" customHeight="1" x14ac:dyDescent="0.2">
      <c r="A30" s="1025"/>
      <c r="B30" s="75" t="s">
        <v>419</v>
      </c>
      <c r="C30" s="78"/>
      <c r="D30" s="78"/>
      <c r="E30" s="78"/>
      <c r="F30" s="79"/>
      <c r="G30" s="70">
        <f>IF(AND(OR(_Ped_TPN_Keuze=1,AND(_Ped_TPN_Keuze=2,_Ped_TPN_SST1Keuze&gt;10),_Pat_Gewicht/10&gt;50)),ROUND(PedBerTPN!F8,0),0)</f>
        <v>0</v>
      </c>
      <c r="H30" s="28"/>
    </row>
    <row r="31" spans="1:8" ht="20.100000000000001" customHeight="1" x14ac:dyDescent="0.2">
      <c r="A31" s="27"/>
      <c r="B31" s="75" t="s">
        <v>439</v>
      </c>
      <c r="C31" s="78"/>
      <c r="D31" s="78"/>
      <c r="E31" s="78"/>
      <c r="F31" s="79"/>
      <c r="G31" s="70">
        <f>PedBerTPN!F9</f>
        <v>0</v>
      </c>
      <c r="H31" s="28"/>
    </row>
    <row r="32" spans="1:8" ht="20.100000000000001" customHeight="1" x14ac:dyDescent="0.2">
      <c r="A32" s="27"/>
      <c r="B32" s="75" t="s">
        <v>440</v>
      </c>
      <c r="C32" s="78"/>
      <c r="D32" s="78"/>
      <c r="E32" s="78"/>
      <c r="F32" s="79"/>
      <c r="G32" s="70">
        <f>PedBerTPN!F10</f>
        <v>0</v>
      </c>
      <c r="H32" s="28"/>
    </row>
    <row r="33" spans="1:8" ht="20.100000000000001" customHeight="1" x14ac:dyDescent="0.2">
      <c r="A33" s="27"/>
      <c r="B33" s="75" t="s">
        <v>315</v>
      </c>
      <c r="C33" s="78"/>
      <c r="D33" s="78"/>
      <c r="E33" s="78"/>
      <c r="F33" s="79"/>
      <c r="G33" s="70">
        <f>IF(_Pat_Gewicht/10&lt;=50,PedBerTPN!F17,0)+IF(AND(_Ped_TPN_SST1Keuze=2,_Ped_TPN_Keuze=1,_Pat_Gewicht/10&lt;=50),ROUND(PedBerTPN!F6,0),0)</f>
        <v>0</v>
      </c>
      <c r="H33" s="28"/>
    </row>
    <row r="34" spans="1:8" ht="20.100000000000001" customHeight="1" x14ac:dyDescent="0.2">
      <c r="A34" s="27"/>
      <c r="B34" s="75" t="str">
        <f>IF(AND(OR(_Ped_TPN_Keuze=1,AND(_Ped_TPN_Keuze=2,_Ped_TPN_SST1Keuze&gt;10)),_Ped_TPN_SST1Keuze&lt;&gt;11,_Ped_TPN_SST1Keuze&lt;&gt;2),INDEX(tblSSTGlucose,_Ped_TPN_SST1Keuze,1),"Glucose       %")</f>
        <v>Glucose 5%</v>
      </c>
      <c r="C34" s="78"/>
      <c r="D34" s="78"/>
      <c r="E34" s="78"/>
      <c r="F34" s="79"/>
      <c r="G34" s="70">
        <f>IF(AND(OR(_Ped_TPN_Keuze=1,AND(_Ped_TPN_Keuze=2,_Ped_TPN_SST1Keuze&gt;10),_Pat_Gewicht/10&gt;50),_Ped_TPN_SST1Keuze&lt;&gt;2,_Ped_TPN_SST1Keuze&lt;&gt;11),ROUND(PedBerTPN!F6,0),"")</f>
        <v>0</v>
      </c>
      <c r="H34" s="28"/>
    </row>
    <row r="35" spans="1:8" ht="20.100000000000001" customHeight="1" x14ac:dyDescent="0.2">
      <c r="A35" s="27"/>
      <c r="B35" s="74" t="s">
        <v>420</v>
      </c>
      <c r="C35" s="76"/>
      <c r="D35" s="76"/>
      <c r="E35" s="76"/>
      <c r="F35" s="77"/>
      <c r="G35" s="70" t="str">
        <f>IF(AND(_Ped_TPN_SST1Keuze=11),ROUND(PedBerTPN!F6,0),"")</f>
        <v/>
      </c>
      <c r="H35" s="28"/>
    </row>
    <row r="36" spans="1:8" ht="15.95" customHeight="1" x14ac:dyDescent="0.2">
      <c r="A36" s="27"/>
      <c r="B36" s="56"/>
      <c r="C36" s="56"/>
      <c r="D36" s="56"/>
      <c r="E36" s="1033" t="s">
        <v>230</v>
      </c>
      <c r="F36" s="1033"/>
      <c r="G36" s="60">
        <f>SUM(G29:G35)</f>
        <v>0</v>
      </c>
      <c r="H36" s="28"/>
    </row>
    <row r="37" spans="1:8" ht="15.95" customHeight="1" thickBot="1" x14ac:dyDescent="0.25">
      <c r="A37" s="27"/>
      <c r="B37" s="56"/>
      <c r="C37" s="56"/>
      <c r="D37" s="56"/>
      <c r="E37" s="56"/>
      <c r="F37" s="56"/>
      <c r="G37" s="32"/>
      <c r="H37" s="28"/>
    </row>
    <row r="38" spans="1:8" ht="15.95" customHeight="1" thickTop="1" x14ac:dyDescent="0.2">
      <c r="A38" s="34"/>
      <c r="B38" s="1034" t="s">
        <v>257</v>
      </c>
      <c r="C38" s="1035"/>
      <c r="D38" s="1035"/>
      <c r="E38" s="1035"/>
      <c r="F38" s="1036"/>
      <c r="G38" s="35" t="s">
        <v>258</v>
      </c>
      <c r="H38" s="35"/>
    </row>
    <row r="39" spans="1:8" ht="15.95" customHeight="1" x14ac:dyDescent="0.2">
      <c r="A39" s="36"/>
      <c r="B39" s="1021" t="s">
        <v>259</v>
      </c>
      <c r="C39" s="1022"/>
      <c r="D39" s="1022"/>
      <c r="E39" s="1022"/>
      <c r="F39" s="1023"/>
      <c r="G39" s="30" t="s">
        <v>260</v>
      </c>
      <c r="H39" s="28"/>
    </row>
    <row r="40" spans="1:8" ht="15.95" customHeight="1" x14ac:dyDescent="0.2">
      <c r="A40" s="36"/>
      <c r="B40" s="1021" t="s">
        <v>261</v>
      </c>
      <c r="C40" s="1022"/>
      <c r="D40" s="1022"/>
      <c r="E40" s="1022"/>
      <c r="F40" s="1023"/>
      <c r="G40" s="30" t="s">
        <v>258</v>
      </c>
      <c r="H40" s="31"/>
    </row>
    <row r="42" spans="1:8" x14ac:dyDescent="0.2">
      <c r="A42" s="8" t="s">
        <v>262</v>
      </c>
    </row>
    <row r="43" spans="1:8" x14ac:dyDescent="0.2">
      <c r="A43" s="8" t="s">
        <v>229</v>
      </c>
    </row>
    <row r="45" spans="1:8" x14ac:dyDescent="0.2">
      <c r="A45" s="8" t="s">
        <v>263</v>
      </c>
    </row>
    <row r="47" spans="1:8" x14ac:dyDescent="0.2">
      <c r="A47" s="8" t="s">
        <v>82</v>
      </c>
    </row>
    <row r="49" spans="6:6" x14ac:dyDescent="0.2">
      <c r="F49" s="2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  <mergeCell ref="A11:H11"/>
    <mergeCell ref="B12:B13"/>
    <mergeCell ref="C12:C13"/>
    <mergeCell ref="D12:D13"/>
    <mergeCell ref="E12:E13"/>
    <mergeCell ref="F12:F13"/>
  </mergeCells>
  <phoneticPr fontId="28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51"/>
  <sheetViews>
    <sheetView zoomScaleNormal="100" workbookViewId="0"/>
  </sheetViews>
  <sheetFormatPr defaultColWidth="9.140625" defaultRowHeight="12.75" x14ac:dyDescent="0.2"/>
  <cols>
    <col min="1" max="1" width="8.7109375" style="8" customWidth="1"/>
    <col min="2" max="2" width="23.85546875" style="8" customWidth="1"/>
    <col min="3" max="3" width="9.28515625" style="8" bestFit="1" customWidth="1"/>
    <col min="4" max="6" width="10.7109375" style="8" customWidth="1"/>
    <col min="7" max="7" width="9.140625" style="8"/>
    <col min="8" max="8" width="14.7109375" style="8" customWidth="1"/>
    <col min="9" max="16384" width="9.140625" style="8"/>
  </cols>
  <sheetData>
    <row r="1" spans="1:8" x14ac:dyDescent="0.2">
      <c r="A1" s="374" t="s">
        <v>264</v>
      </c>
      <c r="F1" s="2" t="s">
        <v>108</v>
      </c>
    </row>
    <row r="3" spans="1:8" x14ac:dyDescent="0.2">
      <c r="A3" s="8" t="s">
        <v>265</v>
      </c>
      <c r="B3" s="38">
        <f ca="1">TODAY()</f>
        <v>42748</v>
      </c>
      <c r="F3" s="44">
        <f>__0_PatNum</f>
        <v>0</v>
      </c>
      <c r="G3" s="45"/>
      <c r="H3" s="46"/>
    </row>
    <row r="4" spans="1:8" x14ac:dyDescent="0.2">
      <c r="F4" s="47" t="str">
        <f>__2_AchterNaam&amp;",  "&amp;__3_VoorNaam</f>
        <v xml:space="preserve">,  </v>
      </c>
      <c r="G4" s="48"/>
      <c r="H4" s="49"/>
    </row>
    <row r="5" spans="1:8" x14ac:dyDescent="0.2">
      <c r="A5" s="8" t="s">
        <v>266</v>
      </c>
      <c r="B5" s="8" t="s">
        <v>391</v>
      </c>
      <c r="F5" s="50">
        <f>__4_GebDatum</f>
        <v>1462</v>
      </c>
      <c r="G5" s="48"/>
      <c r="H5" s="49"/>
    </row>
    <row r="6" spans="1:8" x14ac:dyDescent="0.2">
      <c r="A6" s="365" t="s">
        <v>535</v>
      </c>
      <c r="B6" s="8">
        <f>__1_Bed</f>
        <v>0</v>
      </c>
      <c r="F6" s="47" t="s">
        <v>286</v>
      </c>
      <c r="G6" s="48" t="str">
        <f>_Pat_Gewicht/10&amp;" kg"</f>
        <v>0 kg</v>
      </c>
      <c r="H6" s="49"/>
    </row>
    <row r="7" spans="1:8" x14ac:dyDescent="0.2">
      <c r="A7" s="8" t="s">
        <v>333</v>
      </c>
      <c r="B7" s="8" t="s">
        <v>267</v>
      </c>
      <c r="F7" s="51"/>
      <c r="G7" s="43"/>
      <c r="H7" s="52"/>
    </row>
    <row r="8" spans="1:8" x14ac:dyDescent="0.2">
      <c r="A8" s="8" t="s">
        <v>302</v>
      </c>
      <c r="B8" s="8" t="s">
        <v>267</v>
      </c>
    </row>
    <row r="10" spans="1:8" ht="13.5" thickBot="1" x14ac:dyDescent="0.25">
      <c r="A10" s="8" t="str">
        <f>IF(_Pat_Gewicht/10&lt;7,"Tot. hoev. vocht* (150 ml/kg/24 uur):","Tot. hoev. vocht* (110-90 ml/kg/24 uur):")</f>
        <v>Tot. hoev. vocht* (150 ml/kg/24 uur):</v>
      </c>
      <c r="C10" s="8">
        <f>PedBerTPN!F24</f>
        <v>0</v>
      </c>
      <c r="D10" s="8" t="s">
        <v>334</v>
      </c>
    </row>
    <row r="11" spans="1:8" ht="13.5" thickTop="1" x14ac:dyDescent="0.2">
      <c r="A11" s="1012" t="s">
        <v>16</v>
      </c>
      <c r="B11" s="1013"/>
      <c r="C11" s="1013"/>
      <c r="D11" s="1013"/>
      <c r="E11" s="1013"/>
      <c r="F11" s="1013"/>
      <c r="G11" s="1013"/>
      <c r="H11" s="1014"/>
    </row>
    <row r="12" spans="1:8" ht="25.5" x14ac:dyDescent="0.2">
      <c r="A12" s="27" t="s">
        <v>320</v>
      </c>
      <c r="B12" s="1015" t="s">
        <v>180</v>
      </c>
      <c r="C12" s="1017"/>
      <c r="D12" s="1019" t="s">
        <v>181</v>
      </c>
      <c r="E12" s="1019" t="s">
        <v>182</v>
      </c>
      <c r="F12" s="1019" t="s">
        <v>183</v>
      </c>
      <c r="G12" s="28"/>
      <c r="H12" s="28" t="s">
        <v>184</v>
      </c>
    </row>
    <row r="13" spans="1:8" ht="15" customHeight="1" x14ac:dyDescent="0.2">
      <c r="A13" s="29" t="s">
        <v>185</v>
      </c>
      <c r="B13" s="1016"/>
      <c r="C13" s="1018"/>
      <c r="D13" s="1020"/>
      <c r="E13" s="1020"/>
      <c r="F13" s="1020"/>
      <c r="G13" s="28" t="s">
        <v>186</v>
      </c>
      <c r="H13" s="30" t="s">
        <v>187</v>
      </c>
    </row>
    <row r="14" spans="1:8" ht="20.100000000000001" customHeight="1" x14ac:dyDescent="0.2">
      <c r="A14" s="1026" t="str">
        <f>IF(_Ped_TPN_Keuze&lt;&gt;1,ROUND(G22/24,1)&amp;" ml/u","")</f>
        <v/>
      </c>
      <c r="B14" s="63" t="s">
        <v>34</v>
      </c>
      <c r="C14" s="64"/>
      <c r="D14" s="64" t="s">
        <v>188</v>
      </c>
      <c r="E14" s="64" t="s">
        <v>188</v>
      </c>
      <c r="F14" s="65" t="s">
        <v>188</v>
      </c>
      <c r="G14" s="66" t="str">
        <f>IF(AND(_Ped_TPN_Keuze&lt;&gt;1,G16&lt;&gt;0),ROUND(PedBerTPN!F7,0),"")</f>
        <v/>
      </c>
      <c r="H14" s="28"/>
    </row>
    <row r="15" spans="1:8" ht="20.100000000000001" customHeight="1" x14ac:dyDescent="0.2">
      <c r="A15" s="1027"/>
      <c r="B15" s="67" t="s">
        <v>416</v>
      </c>
      <c r="C15" s="68"/>
      <c r="D15" s="68" t="s">
        <v>421</v>
      </c>
      <c r="E15" s="68" t="s">
        <v>44</v>
      </c>
      <c r="F15" s="69" t="s">
        <v>44</v>
      </c>
      <c r="G15" s="66" t="str">
        <f>IF(AND(_Ped_TPN_Keuze&lt;&gt;1,G16&lt;&gt;0),ROUND(PedBerTPN!F8,0),"")</f>
        <v/>
      </c>
      <c r="H15" s="28"/>
    </row>
    <row r="16" spans="1:8" ht="20.100000000000001" customHeight="1" x14ac:dyDescent="0.2">
      <c r="A16" s="27"/>
      <c r="B16" s="67" t="s">
        <v>422</v>
      </c>
      <c r="C16" s="68"/>
      <c r="D16" s="68" t="s">
        <v>399</v>
      </c>
      <c r="E16" s="68" t="s">
        <v>423</v>
      </c>
      <c r="F16" s="69" t="s">
        <v>45</v>
      </c>
      <c r="G16" s="70" t="str">
        <f>IF(_Ped_TPN_Keuze&lt;&gt;1,PedBerTPN!F4,"")</f>
        <v/>
      </c>
      <c r="H16" s="28"/>
    </row>
    <row r="17" spans="1:8" ht="20.100000000000001" customHeight="1" x14ac:dyDescent="0.2">
      <c r="A17" s="27"/>
      <c r="B17" s="67" t="s">
        <v>315</v>
      </c>
      <c r="C17" s="68"/>
      <c r="D17" s="68" t="s">
        <v>424</v>
      </c>
      <c r="E17" s="68"/>
      <c r="F17" s="69"/>
      <c r="G17" s="70" t="str">
        <f>IF(AND(_Ped_TPN_SST1Keuze=2,_Ped_TPN_Keuze&lt;&gt;1),ROUND(PedBerTPN!F6,0),"")</f>
        <v/>
      </c>
      <c r="H17" s="28"/>
    </row>
    <row r="18" spans="1:8" ht="20.100000000000001" customHeight="1" x14ac:dyDescent="0.2">
      <c r="A18" s="27"/>
      <c r="B18" s="67" t="s">
        <v>97</v>
      </c>
      <c r="C18" s="68"/>
      <c r="D18" s="68"/>
      <c r="E18" s="68" t="s">
        <v>425</v>
      </c>
      <c r="F18" s="69"/>
      <c r="G18" s="70" t="str">
        <f>IF(AND(_Ped_TPN_SST1Keuze=6,_Ped_TPN_Keuze&lt;&gt;1),ROUND(PedBerTPN!F6,0),"")</f>
        <v/>
      </c>
      <c r="H18" s="28"/>
    </row>
    <row r="19" spans="1:8" ht="20.100000000000001" customHeight="1" x14ac:dyDescent="0.2">
      <c r="A19" s="27"/>
      <c r="B19" s="67" t="s">
        <v>426</v>
      </c>
      <c r="C19" s="68"/>
      <c r="D19" s="68"/>
      <c r="E19" s="68"/>
      <c r="F19" s="69" t="s">
        <v>427</v>
      </c>
      <c r="G19" s="70" t="str">
        <f>IF(AND(_Ped_TPN_SST1Keuze=8,_Ped_TPN_Keuze&lt;&gt;1,_Pat_Gewicht/10&lt;=10),ROUND(PedBerTPN!F6,0),"")</f>
        <v/>
      </c>
      <c r="H19" s="28"/>
    </row>
    <row r="20" spans="1:8" ht="20.100000000000001" customHeight="1" x14ac:dyDescent="0.2">
      <c r="A20" s="27"/>
      <c r="B20" s="67" t="s">
        <v>428</v>
      </c>
      <c r="C20" s="68"/>
      <c r="D20" s="68"/>
      <c r="E20" s="68"/>
      <c r="F20" s="69" t="s">
        <v>429</v>
      </c>
      <c r="G20" s="70" t="str">
        <f>IF(AND(_Ped_TPN_SST1Keuze=8,_Ped_TPN_Keuze&lt;&gt;1,_Pat_Gewicht/10&gt;10),ROUND(PedBerTPN!F6,0),"")</f>
        <v/>
      </c>
      <c r="H20" s="28"/>
    </row>
    <row r="21" spans="1:8" ht="20.100000000000001" customHeight="1" x14ac:dyDescent="0.2">
      <c r="A21" s="27"/>
      <c r="B21" s="67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68"/>
      <c r="D21" s="68"/>
      <c r="E21" s="68"/>
      <c r="F21" s="69"/>
      <c r="G21" s="70" t="str">
        <f>IF(AND(_Ped_TPN_Keuze&lt;&gt;1,B20&lt;&gt;""),IF(AND(_Ped_TPN_SST1Keuze&lt;&gt;2,_Ped_TPN_SST1Keuze&lt;&gt;6,_Ped_TPN_SST1Keuze&lt;&gt;8,_Ped_TPN_SST1Keuze&lt;11),ROUND(PedBerTPN!F6,0),""),"")</f>
        <v/>
      </c>
      <c r="H21" s="28"/>
    </row>
    <row r="22" spans="1:8" ht="15.95" customHeight="1" x14ac:dyDescent="0.2">
      <c r="A22" s="27"/>
      <c r="B22" s="37"/>
      <c r="C22" s="37"/>
      <c r="D22" s="37"/>
      <c r="E22" s="1030" t="s">
        <v>228</v>
      </c>
      <c r="F22" s="1030"/>
      <c r="G22" s="59">
        <f>SUM(G14:G21)</f>
        <v>0</v>
      </c>
      <c r="H22" s="57"/>
    </row>
    <row r="23" spans="1:8" ht="10.5" customHeight="1" x14ac:dyDescent="0.2">
      <c r="A23" s="27"/>
      <c r="B23" s="32"/>
      <c r="C23" s="32"/>
      <c r="D23" s="32"/>
      <c r="E23" s="32"/>
      <c r="F23" s="32"/>
      <c r="G23" s="32"/>
      <c r="H23" s="28"/>
    </row>
    <row r="24" spans="1:8" ht="20.100000000000001" customHeight="1" x14ac:dyDescent="0.2">
      <c r="A24" s="1024" t="str">
        <f>IF(G27&gt;0,ROUND(G27/24,1)&amp;" ml/u","")</f>
        <v/>
      </c>
      <c r="B24" s="63" t="s">
        <v>208</v>
      </c>
      <c r="C24" s="64"/>
      <c r="D24" s="64" t="s">
        <v>398</v>
      </c>
      <c r="E24" s="64" t="s">
        <v>399</v>
      </c>
      <c r="F24" s="65" t="s">
        <v>189</v>
      </c>
      <c r="G24" s="66">
        <f>ROUND(PedBerTPN!F13,0)</f>
        <v>0</v>
      </c>
      <c r="H24" s="33"/>
    </row>
    <row r="25" spans="1:8" ht="20.100000000000001" customHeight="1" x14ac:dyDescent="0.2">
      <c r="A25" s="1025"/>
      <c r="B25" s="67" t="s">
        <v>209</v>
      </c>
      <c r="C25" s="68"/>
      <c r="D25" s="68"/>
      <c r="E25" s="1047" t="s">
        <v>383</v>
      </c>
      <c r="F25" s="1048"/>
      <c r="G25" s="66">
        <f>ROUND(PedBerTPN!F14,0)</f>
        <v>0</v>
      </c>
      <c r="H25" s="28"/>
    </row>
    <row r="26" spans="1:8" ht="20.100000000000001" customHeight="1" x14ac:dyDescent="0.2">
      <c r="A26" s="27"/>
      <c r="B26" s="67" t="s">
        <v>225</v>
      </c>
      <c r="C26" s="68"/>
      <c r="D26" s="68"/>
      <c r="E26" s="1047" t="s">
        <v>383</v>
      </c>
      <c r="F26" s="1048"/>
      <c r="G26" s="66">
        <f>ROUND(PedBerTPN!F15,0)</f>
        <v>0</v>
      </c>
      <c r="H26" s="28"/>
    </row>
    <row r="27" spans="1:8" ht="15.95" customHeight="1" x14ac:dyDescent="0.2">
      <c r="A27" s="27"/>
      <c r="B27" s="32"/>
      <c r="C27" s="32"/>
      <c r="D27" s="32"/>
      <c r="E27" s="1030" t="s">
        <v>228</v>
      </c>
      <c r="F27" s="1030"/>
      <c r="G27" s="61">
        <f>SUM(G24:G26)</f>
        <v>0</v>
      </c>
      <c r="H27" s="57"/>
    </row>
    <row r="28" spans="1:8" ht="10.5" customHeight="1" thickBot="1" x14ac:dyDescent="0.25">
      <c r="A28" s="27"/>
      <c r="B28" s="32"/>
      <c r="C28" s="32"/>
      <c r="D28" s="32"/>
      <c r="E28" s="32"/>
      <c r="F28" s="32"/>
      <c r="G28" s="32"/>
      <c r="H28" s="28"/>
    </row>
    <row r="29" spans="1:8" ht="15.95" customHeight="1" thickTop="1" x14ac:dyDescent="0.2">
      <c r="A29" s="34"/>
      <c r="B29" s="1045" t="s">
        <v>121</v>
      </c>
      <c r="C29" s="1046"/>
      <c r="D29" s="1046"/>
      <c r="E29" s="1046"/>
      <c r="F29" s="1046"/>
      <c r="G29" s="53"/>
      <c r="H29" s="35"/>
    </row>
    <row r="30" spans="1:8" ht="20.100000000000001" customHeight="1" x14ac:dyDescent="0.2">
      <c r="A30" s="1024" t="str">
        <f>IF(G33&gt;0,ROUND(G39/24,1)&amp;" ml/u","")</f>
        <v/>
      </c>
      <c r="B30" s="74" t="s">
        <v>34</v>
      </c>
      <c r="C30" s="76"/>
      <c r="D30" s="76"/>
      <c r="E30" s="76"/>
      <c r="F30" s="80"/>
      <c r="G30" s="81">
        <f>IF(AND(OR(_Ped_TPN_Keuze=1,AND(_Ped_TPN_Keuze=2,_Ped_TPN_SST1Keuze&gt;10))),ROUND(PedBerTPN!F7,0),0)</f>
        <v>0</v>
      </c>
      <c r="H30" s="28"/>
    </row>
    <row r="31" spans="1:8" ht="20.100000000000001" customHeight="1" x14ac:dyDescent="0.2">
      <c r="A31" s="1025"/>
      <c r="B31" s="75" t="s">
        <v>419</v>
      </c>
      <c r="C31" s="78"/>
      <c r="D31" s="78"/>
      <c r="E31" s="78"/>
      <c r="F31" s="82"/>
      <c r="G31" s="83">
        <f>IF(AND(OR(_Ped_TPN_Keuze=1,AND(_Ped_TPN_Keuze=2,_Ped_TPN_SST1Keuze&gt;10))),ROUND(PedBerTPN!F8,0),0)</f>
        <v>0</v>
      </c>
      <c r="H31" s="28"/>
    </row>
    <row r="32" spans="1:8" ht="20.100000000000001" customHeight="1" x14ac:dyDescent="0.2">
      <c r="A32" s="55"/>
      <c r="B32" s="75" t="s">
        <v>439</v>
      </c>
      <c r="C32" s="78"/>
      <c r="D32" s="78"/>
      <c r="E32" s="78"/>
      <c r="F32" s="82"/>
      <c r="G32" s="83">
        <f>PedBerTPN!F9</f>
        <v>0</v>
      </c>
      <c r="H32" s="28"/>
    </row>
    <row r="33" spans="1:8" ht="20.100000000000001" customHeight="1" x14ac:dyDescent="0.2">
      <c r="A33" s="55"/>
      <c r="B33" s="75" t="s">
        <v>440</v>
      </c>
      <c r="C33" s="78"/>
      <c r="D33" s="78"/>
      <c r="E33" s="78"/>
      <c r="F33" s="82"/>
      <c r="G33" s="83">
        <f>PedBerTPN!F10</f>
        <v>0</v>
      </c>
      <c r="H33" s="28"/>
    </row>
    <row r="34" spans="1:8" ht="20.100000000000001" customHeight="1" x14ac:dyDescent="0.2">
      <c r="A34" s="55"/>
      <c r="B34" s="75" t="s">
        <v>315</v>
      </c>
      <c r="C34" s="78"/>
      <c r="D34" s="78"/>
      <c r="E34" s="78"/>
      <c r="F34" s="82"/>
      <c r="G34" s="83">
        <f>PedBerTPN!F17+IF(AND(_Ped_TPN_SST1Keuze=2,_Ped_TPN_Keuze=1),ROUND(PedBerTPN!F6,0),0)</f>
        <v>0</v>
      </c>
      <c r="H34" s="28"/>
    </row>
    <row r="35" spans="1:8" ht="20.100000000000001" customHeight="1" x14ac:dyDescent="0.2">
      <c r="A35" s="27"/>
      <c r="B35" s="75" t="str">
        <f>IF(AND(OR(_Ped_TPN_Keuze=1,AND(_Ped_TPN_Keuze=2,_Ped_TPN_SST1Keuze&gt;10)),_Ped_TPN_SST1Keuze&lt;&gt;2,_Ped_TPN_SST1Keuze&lt;&gt;11,_Ped_TPN_SST1Keuze&lt;&gt;12,_Ped_TPN_SST1Keuze&lt;&gt;13),INDEX(tblSSTGlucose,_Ped_TPN_SST1Keuze,1),"Glucose       %")</f>
        <v>Glucose 5%</v>
      </c>
      <c r="C35" s="78"/>
      <c r="D35" s="78"/>
      <c r="E35" s="78"/>
      <c r="F35" s="82"/>
      <c r="G35" s="83">
        <f>IF(AND(OR(_Ped_TPN_Keuze=1,AND(_Ped_TPN_Keuze=2,_Ped_TPN_SST1Keuze&gt;10)),_Ped_TPN_SST1Keuze&lt;&gt;2,_Ped_TPN_SST1Keuze&lt;&gt;11,_Ped_TPN_SST1Keuze&lt;&gt;12,_Ped_TPN_SST1Keuze&lt;&gt;13),ROUND(PedBerTPN!F6,0),"")</f>
        <v>0</v>
      </c>
      <c r="H35" s="28"/>
    </row>
    <row r="36" spans="1:8" ht="20.100000000000001" customHeight="1" x14ac:dyDescent="0.2">
      <c r="A36" s="27"/>
      <c r="B36" s="1043" t="s">
        <v>420</v>
      </c>
      <c r="C36" s="1044"/>
      <c r="D36" s="1044"/>
      <c r="E36" s="1044"/>
      <c r="F36" s="82"/>
      <c r="G36" s="83" t="str">
        <f>IF(OR(_Ped_TPN_SST1Keuze=11),ROUND(PedBerTPN!F6,0),"")</f>
        <v/>
      </c>
      <c r="H36" s="28"/>
    </row>
    <row r="37" spans="1:8" ht="20.100000000000001" customHeight="1" x14ac:dyDescent="0.2">
      <c r="A37" s="27"/>
      <c r="B37" s="1043" t="s">
        <v>35</v>
      </c>
      <c r="C37" s="1044"/>
      <c r="D37" s="1044"/>
      <c r="E37" s="1044"/>
      <c r="F37" s="82"/>
      <c r="G37" s="83" t="str">
        <f>IF(AND(_Ped_TPN_SST1Keuze=12),ROUND(PedBerTPN!F6,0),"")</f>
        <v/>
      </c>
      <c r="H37" s="28"/>
    </row>
    <row r="38" spans="1:8" ht="20.100000000000001" customHeight="1" x14ac:dyDescent="0.2">
      <c r="A38" s="27"/>
      <c r="B38" s="1043" t="s">
        <v>36</v>
      </c>
      <c r="C38" s="1044"/>
      <c r="D38" s="1044"/>
      <c r="E38" s="1044"/>
      <c r="F38" s="80"/>
      <c r="G38" s="83" t="str">
        <f>IF(AND(_Ped_TPN_SST1Keuze=13),ROUND(PedBerTPN!F6,0),"")</f>
        <v/>
      </c>
      <c r="H38" s="28"/>
    </row>
    <row r="39" spans="1:8" ht="15.95" customHeight="1" x14ac:dyDescent="0.2">
      <c r="A39" s="27"/>
      <c r="B39" s="32"/>
      <c r="C39" s="32"/>
      <c r="D39" s="32"/>
      <c r="E39" s="1030" t="s">
        <v>230</v>
      </c>
      <c r="F39" s="1030"/>
      <c r="G39" s="60">
        <f>SUM(G30:G38)</f>
        <v>0</v>
      </c>
      <c r="H39" s="28"/>
    </row>
    <row r="40" spans="1:8" ht="10.5" customHeight="1" thickBot="1" x14ac:dyDescent="0.25">
      <c r="A40" s="27"/>
      <c r="B40" s="32"/>
      <c r="C40" s="32"/>
      <c r="D40" s="32"/>
      <c r="E40" s="32"/>
      <c r="F40" s="32"/>
      <c r="G40" s="32"/>
      <c r="H40" s="28"/>
    </row>
    <row r="41" spans="1:8" ht="15.95" customHeight="1" thickTop="1" x14ac:dyDescent="0.2">
      <c r="A41" s="34"/>
      <c r="B41" s="1037" t="s">
        <v>257</v>
      </c>
      <c r="C41" s="1038"/>
      <c r="D41" s="1038"/>
      <c r="E41" s="1038"/>
      <c r="F41" s="1039"/>
      <c r="G41" s="35" t="s">
        <v>258</v>
      </c>
      <c r="H41" s="35"/>
    </row>
    <row r="42" spans="1:8" ht="15.95" customHeight="1" x14ac:dyDescent="0.2">
      <c r="A42" s="36"/>
      <c r="B42" s="1040" t="s">
        <v>259</v>
      </c>
      <c r="C42" s="1041"/>
      <c r="D42" s="1041"/>
      <c r="E42" s="1041"/>
      <c r="F42" s="1042"/>
      <c r="G42" s="30" t="s">
        <v>260</v>
      </c>
      <c r="H42" s="28"/>
    </row>
    <row r="43" spans="1:8" ht="15.95" customHeight="1" x14ac:dyDescent="0.2">
      <c r="A43" s="36"/>
      <c r="B43" s="1040" t="s">
        <v>261</v>
      </c>
      <c r="C43" s="1041"/>
      <c r="D43" s="1041"/>
      <c r="E43" s="1041"/>
      <c r="F43" s="1042"/>
      <c r="G43" s="30" t="s">
        <v>258</v>
      </c>
      <c r="H43" s="31"/>
    </row>
    <row r="45" spans="1:8" x14ac:dyDescent="0.2">
      <c r="A45" s="8" t="s">
        <v>262</v>
      </c>
    </row>
    <row r="46" spans="1:8" x14ac:dyDescent="0.2">
      <c r="A46" s="8" t="s">
        <v>229</v>
      </c>
    </row>
    <row r="47" spans="1:8" x14ac:dyDescent="0.2">
      <c r="A47" s="8" t="s">
        <v>263</v>
      </c>
    </row>
    <row r="49" spans="1:6" x14ac:dyDescent="0.2">
      <c r="A49" s="8" t="s">
        <v>82</v>
      </c>
    </row>
    <row r="51" spans="1:6" x14ac:dyDescent="0.2">
      <c r="F51" s="2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21"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  <mergeCell ref="E39:F39"/>
    <mergeCell ref="B41:F41"/>
    <mergeCell ref="B42:F42"/>
    <mergeCell ref="B43:F43"/>
    <mergeCell ref="B36:E36"/>
    <mergeCell ref="B37:E37"/>
    <mergeCell ref="B38:E38"/>
  </mergeCells>
  <phoneticPr fontId="28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50" max="7" man="1"/>
  </row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50"/>
  <sheetViews>
    <sheetView zoomScaleNormal="100" workbookViewId="0">
      <selection activeCell="B5" sqref="B5"/>
    </sheetView>
  </sheetViews>
  <sheetFormatPr defaultColWidth="9.140625" defaultRowHeight="12.75" x14ac:dyDescent="0.2"/>
  <cols>
    <col min="1" max="1" width="8.7109375" style="8" customWidth="1"/>
    <col min="2" max="2" width="23.85546875" style="8" customWidth="1"/>
    <col min="3" max="3" width="9.28515625" style="8" bestFit="1" customWidth="1"/>
    <col min="4" max="6" width="10.7109375" style="8" customWidth="1"/>
    <col min="7" max="7" width="9.140625" style="8"/>
    <col min="8" max="8" width="14.7109375" style="8" customWidth="1"/>
    <col min="9" max="16384" width="9.140625" style="8"/>
  </cols>
  <sheetData>
    <row r="1" spans="1:8" x14ac:dyDescent="0.2">
      <c r="A1" s="374" t="s">
        <v>264</v>
      </c>
      <c r="F1" s="2" t="s">
        <v>109</v>
      </c>
    </row>
    <row r="3" spans="1:8" x14ac:dyDescent="0.2">
      <c r="A3" s="8" t="s">
        <v>265</v>
      </c>
      <c r="B3" s="38">
        <f ca="1">TODAY()</f>
        <v>42748</v>
      </c>
      <c r="F3" s="44">
        <f>__0_PatNum</f>
        <v>0</v>
      </c>
      <c r="G3" s="45"/>
      <c r="H3" s="46"/>
    </row>
    <row r="4" spans="1:8" x14ac:dyDescent="0.2">
      <c r="A4" s="139" t="s">
        <v>535</v>
      </c>
      <c r="B4" s="8">
        <f>__1_Bed</f>
        <v>0</v>
      </c>
      <c r="F4" s="47" t="str">
        <f>__2_AchterNaam&amp;",  "&amp;__3_VoorNaam</f>
        <v xml:space="preserve">,  </v>
      </c>
      <c r="G4" s="48"/>
      <c r="H4" s="49"/>
    </row>
    <row r="5" spans="1:8" x14ac:dyDescent="0.2">
      <c r="A5" s="8" t="s">
        <v>266</v>
      </c>
      <c r="B5" s="8" t="s">
        <v>391</v>
      </c>
      <c r="F5" s="50">
        <f>__4_GebDatum</f>
        <v>1462</v>
      </c>
      <c r="G5" s="48"/>
      <c r="H5" s="49"/>
    </row>
    <row r="6" spans="1:8" x14ac:dyDescent="0.2">
      <c r="A6" s="374"/>
      <c r="F6" s="47" t="s">
        <v>286</v>
      </c>
      <c r="G6" s="48" t="str">
        <f>_Pat_Gewicht/10&amp;" kg"</f>
        <v>0 kg</v>
      </c>
      <c r="H6" s="49"/>
    </row>
    <row r="7" spans="1:8" x14ac:dyDescent="0.2">
      <c r="A7" s="8" t="s">
        <v>333</v>
      </c>
      <c r="B7" s="8" t="s">
        <v>267</v>
      </c>
      <c r="F7" s="51"/>
      <c r="G7" s="43"/>
      <c r="H7" s="52"/>
    </row>
    <row r="8" spans="1:8" x14ac:dyDescent="0.2">
      <c r="A8" s="8" t="s">
        <v>302</v>
      </c>
      <c r="B8" s="8" t="s">
        <v>267</v>
      </c>
    </row>
    <row r="10" spans="1:8" ht="13.5" thickBot="1" x14ac:dyDescent="0.25">
      <c r="A10" s="8" t="s">
        <v>372</v>
      </c>
      <c r="C10" s="8">
        <f>PedBerTPN!F24</f>
        <v>0</v>
      </c>
      <c r="D10" s="8" t="s">
        <v>334</v>
      </c>
    </row>
    <row r="11" spans="1:8" ht="13.5" thickTop="1" x14ac:dyDescent="0.2">
      <c r="A11" s="1012" t="s">
        <v>16</v>
      </c>
      <c r="B11" s="1013"/>
      <c r="C11" s="1013"/>
      <c r="D11" s="1013"/>
      <c r="E11" s="1013"/>
      <c r="F11" s="1013"/>
      <c r="G11" s="1013"/>
      <c r="H11" s="1014"/>
    </row>
    <row r="12" spans="1:8" ht="25.5" x14ac:dyDescent="0.2">
      <c r="A12" s="27" t="s">
        <v>320</v>
      </c>
      <c r="B12" s="1015" t="s">
        <v>180</v>
      </c>
      <c r="C12" s="1017"/>
      <c r="D12" s="1019" t="s">
        <v>181</v>
      </c>
      <c r="E12" s="1019" t="s">
        <v>182</v>
      </c>
      <c r="F12" s="1019" t="s">
        <v>183</v>
      </c>
      <c r="G12" s="28"/>
      <c r="H12" s="28" t="s">
        <v>184</v>
      </c>
    </row>
    <row r="13" spans="1:8" ht="25.5" x14ac:dyDescent="0.2">
      <c r="A13" s="29" t="s">
        <v>185</v>
      </c>
      <c r="B13" s="1016"/>
      <c r="C13" s="1018"/>
      <c r="D13" s="1020"/>
      <c r="E13" s="1020"/>
      <c r="F13" s="1020"/>
      <c r="G13" s="28" t="s">
        <v>186</v>
      </c>
      <c r="H13" s="30" t="s">
        <v>187</v>
      </c>
    </row>
    <row r="14" spans="1:8" ht="20.100000000000001" customHeight="1" x14ac:dyDescent="0.2">
      <c r="A14" s="1026" t="str">
        <f>IF(_Ped_TPN_Keuze&lt;&gt;1,ROUND(G22/24,1)&amp;" ml/u","")</f>
        <v/>
      </c>
      <c r="B14" s="63" t="s">
        <v>34</v>
      </c>
      <c r="C14" s="64"/>
      <c r="D14" s="64" t="s">
        <v>188</v>
      </c>
      <c r="E14" s="64" t="s">
        <v>188</v>
      </c>
      <c r="F14" s="65" t="s">
        <v>188</v>
      </c>
      <c r="G14" s="66" t="str">
        <f>IF(AND(_Ped_TPN_Keuze&lt;&gt;1,G16&lt;&gt;0),ROUND(PedBerTPN!F7,0),"")</f>
        <v/>
      </c>
      <c r="H14" s="28"/>
    </row>
    <row r="15" spans="1:8" ht="20.100000000000001" customHeight="1" x14ac:dyDescent="0.2">
      <c r="A15" s="1027"/>
      <c r="B15" s="67" t="s">
        <v>416</v>
      </c>
      <c r="C15" s="68"/>
      <c r="D15" s="68" t="s">
        <v>421</v>
      </c>
      <c r="E15" s="68" t="s">
        <v>44</v>
      </c>
      <c r="F15" s="69" t="s">
        <v>44</v>
      </c>
      <c r="G15" s="66" t="str">
        <f>IF(AND(_Ped_TPN_Keuze&lt;&gt;1,G16&lt;&gt;0),ROUND(PedBerTPN!F8,0),"")</f>
        <v/>
      </c>
      <c r="H15" s="28"/>
    </row>
    <row r="16" spans="1:8" ht="20.100000000000001" customHeight="1" x14ac:dyDescent="0.2">
      <c r="A16" s="27"/>
      <c r="B16" s="67" t="s">
        <v>430</v>
      </c>
      <c r="C16" s="68"/>
      <c r="D16" s="68" t="s">
        <v>399</v>
      </c>
      <c r="E16" s="68" t="s">
        <v>189</v>
      </c>
      <c r="F16" s="69" t="s">
        <v>423</v>
      </c>
      <c r="G16" s="70" t="str">
        <f>IF(_Ped_TPN_Keuze&lt;&gt;1,PedBerTPN!F4,"")</f>
        <v/>
      </c>
      <c r="H16" s="28"/>
    </row>
    <row r="17" spans="1:8" ht="20.100000000000001" customHeight="1" x14ac:dyDescent="0.2">
      <c r="A17" s="27"/>
      <c r="B17" s="67" t="s">
        <v>322</v>
      </c>
      <c r="C17" s="68"/>
      <c r="D17" s="68"/>
      <c r="E17" s="1047" t="s">
        <v>138</v>
      </c>
      <c r="F17" s="1048"/>
      <c r="G17" s="70">
        <f>ROUND(PedBerTPN!F5,0)</f>
        <v>0</v>
      </c>
      <c r="H17" s="28"/>
    </row>
    <row r="18" spans="1:8" ht="20.100000000000001" customHeight="1" x14ac:dyDescent="0.2">
      <c r="A18" s="27"/>
      <c r="B18" s="67" t="s">
        <v>315</v>
      </c>
      <c r="C18" s="68"/>
      <c r="D18" s="68" t="s">
        <v>139</v>
      </c>
      <c r="E18" s="68"/>
      <c r="F18" s="69"/>
      <c r="G18" s="70" t="str">
        <f>IF(AND(_Ped_TPN_SST1Keuze=2,_Ped_TPN_Keuze&lt;&gt;1),ROUND(PedBerTPN!F6,0),"")</f>
        <v/>
      </c>
      <c r="H18" s="28"/>
    </row>
    <row r="19" spans="1:8" ht="20.100000000000001" customHeight="1" x14ac:dyDescent="0.2">
      <c r="A19" s="27"/>
      <c r="B19" s="67" t="s">
        <v>97</v>
      </c>
      <c r="C19" s="68"/>
      <c r="D19" s="68"/>
      <c r="E19" s="68" t="s">
        <v>140</v>
      </c>
      <c r="F19" s="69"/>
      <c r="G19" s="70" t="str">
        <f>IF(AND(_Ped_TPN_SST1Keuze=6,_Ped_TPN_Keuze&lt;&gt;1),ROUND(PedBerTPN!F6,0),"")</f>
        <v/>
      </c>
      <c r="H19" s="28"/>
    </row>
    <row r="20" spans="1:8" ht="20.100000000000001" customHeight="1" x14ac:dyDescent="0.2">
      <c r="A20" s="27"/>
      <c r="B20" s="67" t="s">
        <v>226</v>
      </c>
      <c r="C20" s="68"/>
      <c r="D20" s="68"/>
      <c r="E20" s="68"/>
      <c r="F20" s="69" t="s">
        <v>141</v>
      </c>
      <c r="G20" s="70" t="str">
        <f>IF(AND(_Ped_TPN_SST1Keuze=8,_Ped_TPN_Keuze&lt;&gt;1),ROUND(PedBerTPN!F6,0),"")</f>
        <v/>
      </c>
      <c r="H20" s="28"/>
    </row>
    <row r="21" spans="1:8" ht="20.100000000000001" customHeight="1" x14ac:dyDescent="0.2">
      <c r="A21" s="27"/>
      <c r="B21" s="67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68"/>
      <c r="D21" s="68"/>
      <c r="E21" s="68"/>
      <c r="F21" s="69"/>
      <c r="G21" s="70" t="str">
        <f>IF(AND(_Ped_TPN_Keuze&lt;&gt;1,B20&lt;&gt;""),IF(AND(_Ped_TPN_SST1Keuze&lt;&gt;2,_Ped_TPN_SST1Keuze&lt;&gt;6,_Ped_TPN_SST1Keuze&lt;&gt;8,_Ped_TPN_SST1Keuze&lt;11),ROUND(PedBerTPN!F6,0),""),"")</f>
        <v/>
      </c>
      <c r="H21" s="28"/>
    </row>
    <row r="22" spans="1:8" ht="15.95" customHeight="1" x14ac:dyDescent="0.2">
      <c r="A22" s="27"/>
      <c r="B22" s="62"/>
      <c r="C22" s="62"/>
      <c r="D22" s="62"/>
      <c r="E22" s="1033" t="s">
        <v>228</v>
      </c>
      <c r="F22" s="1033"/>
      <c r="G22" s="59">
        <f>SUM(G14:G21)</f>
        <v>0</v>
      </c>
      <c r="H22" s="57"/>
    </row>
    <row r="23" spans="1:8" ht="10.5" customHeight="1" x14ac:dyDescent="0.2">
      <c r="A23" s="27"/>
      <c r="B23" s="56"/>
      <c r="C23" s="56"/>
      <c r="D23" s="56"/>
      <c r="E23" s="56"/>
      <c r="F23" s="56"/>
      <c r="G23" s="32"/>
      <c r="H23" s="28"/>
    </row>
    <row r="24" spans="1:8" ht="20.100000000000001" customHeight="1" x14ac:dyDescent="0.2">
      <c r="A24" s="1026" t="str">
        <f>IF(_Ped_TPN_Keuze&lt;&gt;1,ROUND(G27/24,1)&amp;" ml/u","")</f>
        <v/>
      </c>
      <c r="B24" s="63" t="s">
        <v>208</v>
      </c>
      <c r="C24" s="64"/>
      <c r="D24" s="64" t="s">
        <v>398</v>
      </c>
      <c r="E24" s="64" t="s">
        <v>399</v>
      </c>
      <c r="F24" s="65" t="s">
        <v>189</v>
      </c>
      <c r="G24" s="66">
        <f>ROUND(PedBerTPN!F13,0)</f>
        <v>0</v>
      </c>
      <c r="H24" s="33"/>
    </row>
    <row r="25" spans="1:8" ht="20.100000000000001" customHeight="1" x14ac:dyDescent="0.2">
      <c r="A25" s="1027"/>
      <c r="B25" s="67" t="s">
        <v>209</v>
      </c>
      <c r="C25" s="68"/>
      <c r="D25" s="68"/>
      <c r="E25" s="1047" t="s">
        <v>383</v>
      </c>
      <c r="F25" s="1048"/>
      <c r="G25" s="70">
        <f>ROUND(PedBerTPN!F14,0)</f>
        <v>0</v>
      </c>
      <c r="H25" s="28"/>
    </row>
    <row r="26" spans="1:8" ht="20.100000000000001" customHeight="1" x14ac:dyDescent="0.2">
      <c r="A26" s="27"/>
      <c r="B26" s="67" t="s">
        <v>225</v>
      </c>
      <c r="C26" s="68"/>
      <c r="D26" s="68"/>
      <c r="E26" s="1047" t="s">
        <v>383</v>
      </c>
      <c r="F26" s="1048"/>
      <c r="G26" s="70">
        <f>ROUND(PedBerTPN!F15,0)</f>
        <v>0</v>
      </c>
      <c r="H26" s="28"/>
    </row>
    <row r="27" spans="1:8" ht="15.95" customHeight="1" x14ac:dyDescent="0.2">
      <c r="A27" s="27"/>
      <c r="B27" s="56"/>
      <c r="C27" s="56"/>
      <c r="D27" s="56"/>
      <c r="E27" s="1033" t="s">
        <v>228</v>
      </c>
      <c r="F27" s="1033"/>
      <c r="G27" s="61">
        <f>SUM(G24:G26)</f>
        <v>0</v>
      </c>
      <c r="H27" s="57"/>
    </row>
    <row r="28" spans="1:8" ht="10.5" customHeight="1" thickBot="1" x14ac:dyDescent="0.25">
      <c r="A28" s="27"/>
      <c r="B28" s="56"/>
      <c r="C28" s="56"/>
      <c r="D28" s="56"/>
      <c r="E28" s="56"/>
      <c r="F28" s="56"/>
      <c r="G28" s="32"/>
      <c r="H28" s="28"/>
    </row>
    <row r="29" spans="1:8" ht="15.95" customHeight="1" thickTop="1" x14ac:dyDescent="0.2">
      <c r="A29" s="34"/>
      <c r="B29" s="1028" t="s">
        <v>121</v>
      </c>
      <c r="C29" s="1029"/>
      <c r="D29" s="1029"/>
      <c r="E29" s="1029"/>
      <c r="F29" s="1029"/>
      <c r="G29" s="53"/>
      <c r="H29" s="35"/>
    </row>
    <row r="30" spans="1:8" ht="20.100000000000001" customHeight="1" x14ac:dyDescent="0.2">
      <c r="A30" s="1026" t="str">
        <f>ROUND(G38/24,1)&amp;" ml/u"</f>
        <v>0 ml/u</v>
      </c>
      <c r="B30" s="74" t="s">
        <v>34</v>
      </c>
      <c r="C30" s="76"/>
      <c r="D30" s="76"/>
      <c r="E30" s="76"/>
      <c r="F30" s="77"/>
      <c r="G30" s="81">
        <f>IF(AND(OR(_Ped_TPN_Keuze=1,AND(_Ped_TPN_Keuze=2,_Ped_TPN_SST1Keuze&gt;10))),ROUND(PedBerTPN!F7,0),"")</f>
        <v>0</v>
      </c>
      <c r="H30" s="28"/>
    </row>
    <row r="31" spans="1:8" ht="20.100000000000001" customHeight="1" x14ac:dyDescent="0.2">
      <c r="A31" s="1027"/>
      <c r="B31" s="75" t="s">
        <v>419</v>
      </c>
      <c r="C31" s="78"/>
      <c r="D31" s="78"/>
      <c r="E31" s="78"/>
      <c r="F31" s="79"/>
      <c r="G31" s="83">
        <f>IF(AND(OR(_Ped_TPN_Keuze=1,AND(_Ped_TPN_Keuze=2,_Ped_TPN_SST1Keuze&gt;10))),ROUND(PedBerTPN!F8,0),"")</f>
        <v>0</v>
      </c>
      <c r="H31" s="28"/>
    </row>
    <row r="32" spans="1:8" ht="20.100000000000001" customHeight="1" x14ac:dyDescent="0.2">
      <c r="A32" s="55"/>
      <c r="B32" s="75" t="s">
        <v>439</v>
      </c>
      <c r="C32" s="78"/>
      <c r="D32" s="78"/>
      <c r="E32" s="78"/>
      <c r="F32" s="79"/>
      <c r="G32" s="83">
        <f>PedBerTPN!F9</f>
        <v>0</v>
      </c>
      <c r="H32" s="28"/>
    </row>
    <row r="33" spans="1:8" ht="20.100000000000001" customHeight="1" x14ac:dyDescent="0.2">
      <c r="A33" s="55"/>
      <c r="B33" s="75" t="s">
        <v>440</v>
      </c>
      <c r="C33" s="78"/>
      <c r="D33" s="78"/>
      <c r="E33" s="78"/>
      <c r="F33" s="79"/>
      <c r="G33" s="83">
        <f>PedBerTPN!F10</f>
        <v>0</v>
      </c>
      <c r="H33" s="28"/>
    </row>
    <row r="34" spans="1:8" ht="20.100000000000001" customHeight="1" x14ac:dyDescent="0.2">
      <c r="A34" s="55"/>
      <c r="B34" s="75" t="s">
        <v>315</v>
      </c>
      <c r="C34" s="78"/>
      <c r="D34" s="78"/>
      <c r="E34" s="78"/>
      <c r="F34" s="79"/>
      <c r="G34" s="83">
        <f>PedBerTPN!F17+IF(AND(_Ped_TPN_SST1Keuze=2,_Ped_TPN_Keuze=1),ROUND(PedBerTPN!F6,0),0)</f>
        <v>0</v>
      </c>
      <c r="H34" s="28"/>
    </row>
    <row r="35" spans="1:8" ht="20.100000000000001" customHeight="1" x14ac:dyDescent="0.2">
      <c r="A35" s="55"/>
      <c r="B35" s="75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5" s="78"/>
      <c r="D35" s="78"/>
      <c r="E35" s="78"/>
      <c r="F35" s="79"/>
      <c r="G35" s="83">
        <f>IF(AND(OR(_Ped_TPN_Keuze=1,AND(_Ped_TPN_Keuze=2,_Ped_TPN_SST1Keuze&gt;10)),_Ped_TPN_SST1Keuze&lt;&gt;2,_Ped_TPN_SST1Keuze&lt;&gt;12,_Ped_TPN_SST1Keuze&lt;&gt;13),ROUND(PedBerTPN!F6,0),"")</f>
        <v>0</v>
      </c>
      <c r="H35" s="28"/>
    </row>
    <row r="36" spans="1:8" ht="20.100000000000001" customHeight="1" x14ac:dyDescent="0.2">
      <c r="A36" s="55"/>
      <c r="B36" s="1043" t="s">
        <v>35</v>
      </c>
      <c r="C36" s="1044"/>
      <c r="D36" s="1044"/>
      <c r="E36" s="1044"/>
      <c r="F36" s="79"/>
      <c r="G36" s="83" t="str">
        <f>IF(AND(_Ped_TPN_SST1Keuze=12),ROUND(PedBerTPN!F6,0),"")</f>
        <v/>
      </c>
      <c r="H36" s="28"/>
    </row>
    <row r="37" spans="1:8" ht="20.100000000000001" customHeight="1" x14ac:dyDescent="0.2">
      <c r="A37" s="27"/>
      <c r="B37" s="1043" t="s">
        <v>36</v>
      </c>
      <c r="C37" s="1044"/>
      <c r="D37" s="1044"/>
      <c r="E37" s="1044"/>
      <c r="F37" s="79"/>
      <c r="G37" s="83" t="str">
        <f>IF(AND(_Ped_TPN_SST1Keuze=13),ROUND(PedBerTPN!F6,0),"")</f>
        <v/>
      </c>
      <c r="H37" s="28"/>
    </row>
    <row r="38" spans="1:8" ht="15.95" customHeight="1" x14ac:dyDescent="0.2">
      <c r="A38" s="27"/>
      <c r="B38" s="56"/>
      <c r="C38" s="56"/>
      <c r="D38" s="56"/>
      <c r="E38" s="1033" t="s">
        <v>230</v>
      </c>
      <c r="F38" s="1033"/>
      <c r="G38" s="60">
        <f>SUM(G30:G37)</f>
        <v>0</v>
      </c>
      <c r="H38" s="28"/>
    </row>
    <row r="39" spans="1:8" ht="15.95" customHeight="1" thickBot="1" x14ac:dyDescent="0.25">
      <c r="A39" s="27"/>
      <c r="B39" s="56"/>
      <c r="C39" s="56"/>
      <c r="D39" s="56"/>
      <c r="E39" s="56"/>
      <c r="F39" s="56"/>
      <c r="G39" s="32"/>
      <c r="H39" s="28"/>
    </row>
    <row r="40" spans="1:8" ht="15.95" customHeight="1" thickTop="1" x14ac:dyDescent="0.2">
      <c r="A40" s="34"/>
      <c r="B40" s="1034" t="s">
        <v>257</v>
      </c>
      <c r="C40" s="1035"/>
      <c r="D40" s="1035"/>
      <c r="E40" s="1035"/>
      <c r="F40" s="1036"/>
      <c r="G40" s="35" t="s">
        <v>258</v>
      </c>
      <c r="H40" s="35"/>
    </row>
    <row r="41" spans="1:8" ht="15.95" customHeight="1" x14ac:dyDescent="0.2">
      <c r="A41" s="36"/>
      <c r="B41" s="1021" t="s">
        <v>259</v>
      </c>
      <c r="C41" s="1022"/>
      <c r="D41" s="1022"/>
      <c r="E41" s="1022"/>
      <c r="F41" s="1023"/>
      <c r="G41" s="30" t="s">
        <v>260</v>
      </c>
      <c r="H41" s="28"/>
    </row>
    <row r="42" spans="1:8" ht="15.95" customHeight="1" x14ac:dyDescent="0.2">
      <c r="A42" s="36"/>
      <c r="B42" s="1021" t="s">
        <v>261</v>
      </c>
      <c r="C42" s="1022"/>
      <c r="D42" s="1022"/>
      <c r="E42" s="1022"/>
      <c r="F42" s="1023"/>
      <c r="G42" s="30" t="s">
        <v>258</v>
      </c>
      <c r="H42" s="31"/>
    </row>
    <row r="44" spans="1:8" x14ac:dyDescent="0.2">
      <c r="A44" s="8" t="s">
        <v>262</v>
      </c>
    </row>
    <row r="45" spans="1:8" x14ac:dyDescent="0.2">
      <c r="A45" s="8" t="s">
        <v>229</v>
      </c>
    </row>
    <row r="46" spans="1:8" x14ac:dyDescent="0.2">
      <c r="A46" s="8" t="s">
        <v>263</v>
      </c>
    </row>
    <row r="48" spans="1:8" x14ac:dyDescent="0.2">
      <c r="A48" s="8" t="s">
        <v>82</v>
      </c>
    </row>
    <row r="50" spans="6:6" x14ac:dyDescent="0.2">
      <c r="F50" s="2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21">
    <mergeCell ref="E38:F38"/>
    <mergeCell ref="B40:F40"/>
    <mergeCell ref="B41:F41"/>
    <mergeCell ref="B42:F42"/>
    <mergeCell ref="B36:E36"/>
    <mergeCell ref="B37:E37"/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</mergeCells>
  <phoneticPr fontId="28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9" max="7" man="1"/>
  </rowBreak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51"/>
  <sheetViews>
    <sheetView zoomScaleNormal="100" workbookViewId="0">
      <selection activeCell="B5" sqref="B5"/>
    </sheetView>
  </sheetViews>
  <sheetFormatPr defaultColWidth="9.140625" defaultRowHeight="12.75" x14ac:dyDescent="0.2"/>
  <cols>
    <col min="1" max="1" width="8.7109375" style="8" customWidth="1"/>
    <col min="2" max="2" width="23.85546875" style="8" customWidth="1"/>
    <col min="3" max="3" width="9.28515625" style="8" bestFit="1" customWidth="1"/>
    <col min="4" max="6" width="10.7109375" style="8" customWidth="1"/>
    <col min="7" max="7" width="9.140625" style="8"/>
    <col min="8" max="8" width="14.7109375" style="8" customWidth="1"/>
    <col min="9" max="16384" width="9.140625" style="8"/>
  </cols>
  <sheetData>
    <row r="1" spans="1:8" x14ac:dyDescent="0.2">
      <c r="A1" s="374" t="s">
        <v>264</v>
      </c>
      <c r="F1" s="2" t="s">
        <v>110</v>
      </c>
    </row>
    <row r="3" spans="1:8" x14ac:dyDescent="0.2">
      <c r="A3" s="8" t="s">
        <v>265</v>
      </c>
      <c r="B3" s="38">
        <f ca="1">TODAY()</f>
        <v>42748</v>
      </c>
      <c r="F3" s="44">
        <f>__0_PatNum</f>
        <v>0</v>
      </c>
      <c r="G3" s="45"/>
      <c r="H3" s="46"/>
    </row>
    <row r="4" spans="1:8" x14ac:dyDescent="0.2">
      <c r="A4" s="139" t="s">
        <v>535</v>
      </c>
      <c r="B4" s="8">
        <f>__1_Bed</f>
        <v>0</v>
      </c>
      <c r="F4" s="47" t="str">
        <f>__2_AchterNaam&amp;",  "&amp;__3_VoorNaam</f>
        <v xml:space="preserve">,  </v>
      </c>
      <c r="G4" s="48"/>
      <c r="H4" s="49"/>
    </row>
    <row r="5" spans="1:8" x14ac:dyDescent="0.2">
      <c r="A5" s="8" t="s">
        <v>266</v>
      </c>
      <c r="B5" s="8" t="s">
        <v>391</v>
      </c>
      <c r="F5" s="50">
        <f>__4_GebDatum</f>
        <v>1462</v>
      </c>
      <c r="G5" s="48"/>
      <c r="H5" s="49"/>
    </row>
    <row r="6" spans="1:8" x14ac:dyDescent="0.2">
      <c r="A6" s="374"/>
      <c r="F6" s="47" t="s">
        <v>286</v>
      </c>
      <c r="G6" s="48" t="str">
        <f>_Pat_Gewicht/10&amp;" kg"</f>
        <v>0 kg</v>
      </c>
      <c r="H6" s="49"/>
    </row>
    <row r="7" spans="1:8" x14ac:dyDescent="0.2">
      <c r="A7" s="8" t="s">
        <v>333</v>
      </c>
      <c r="B7" s="8" t="s">
        <v>267</v>
      </c>
      <c r="F7" s="51"/>
      <c r="G7" s="43"/>
      <c r="H7" s="52"/>
    </row>
    <row r="8" spans="1:8" x14ac:dyDescent="0.2">
      <c r="A8" s="8" t="s">
        <v>302</v>
      </c>
      <c r="B8" s="8" t="s">
        <v>267</v>
      </c>
    </row>
    <row r="9" spans="1:8" ht="13.5" thickBot="1" x14ac:dyDescent="0.25">
      <c r="A9" s="8" t="s">
        <v>371</v>
      </c>
      <c r="C9" s="8">
        <f>PedBerTPN!F24</f>
        <v>0</v>
      </c>
      <c r="D9" s="8" t="s">
        <v>334</v>
      </c>
    </row>
    <row r="10" spans="1:8" ht="13.5" thickTop="1" x14ac:dyDescent="0.2">
      <c r="A10" s="1012" t="s">
        <v>16</v>
      </c>
      <c r="B10" s="1013"/>
      <c r="C10" s="1013"/>
      <c r="D10" s="1013"/>
      <c r="E10" s="1013"/>
      <c r="F10" s="1013"/>
      <c r="G10" s="1013"/>
      <c r="H10" s="1014"/>
    </row>
    <row r="11" spans="1:8" ht="25.5" x14ac:dyDescent="0.2">
      <c r="A11" s="27" t="s">
        <v>320</v>
      </c>
      <c r="B11" s="1015" t="s">
        <v>180</v>
      </c>
      <c r="C11" s="1017"/>
      <c r="D11" s="1019" t="s">
        <v>181</v>
      </c>
      <c r="E11" s="1019" t="s">
        <v>182</v>
      </c>
      <c r="F11" s="1019" t="s">
        <v>183</v>
      </c>
      <c r="G11" s="28"/>
      <c r="H11" s="28" t="s">
        <v>184</v>
      </c>
    </row>
    <row r="12" spans="1:8" ht="25.5" x14ac:dyDescent="0.2">
      <c r="A12" s="29" t="s">
        <v>185</v>
      </c>
      <c r="B12" s="1016"/>
      <c r="C12" s="1018"/>
      <c r="D12" s="1020"/>
      <c r="E12" s="1020"/>
      <c r="F12" s="1020"/>
      <c r="G12" s="28" t="s">
        <v>186</v>
      </c>
      <c r="H12" s="30" t="s">
        <v>187</v>
      </c>
    </row>
    <row r="13" spans="1:8" ht="20.100000000000001" customHeight="1" x14ac:dyDescent="0.2">
      <c r="A13" s="1026" t="str">
        <f>IF(G22&lt;&gt;0,ROUND(G22/24,1)&amp;" ml/u","")</f>
        <v/>
      </c>
      <c r="B13" s="63" t="s">
        <v>34</v>
      </c>
      <c r="C13" s="64"/>
      <c r="D13" s="64" t="s">
        <v>188</v>
      </c>
      <c r="E13" s="64" t="s">
        <v>188</v>
      </c>
      <c r="F13" s="65" t="s">
        <v>188</v>
      </c>
      <c r="G13" s="66" t="str">
        <f>IF(AND(_Ped_TPN_Keuze&lt;&gt;1,G15&lt;&gt;0),ROUND(PedBerTPN!F7,0),"")</f>
        <v/>
      </c>
      <c r="H13" s="28"/>
    </row>
    <row r="14" spans="1:8" ht="20.100000000000001" customHeight="1" x14ac:dyDescent="0.2">
      <c r="A14" s="1027"/>
      <c r="B14" s="67" t="s">
        <v>416</v>
      </c>
      <c r="C14" s="68"/>
      <c r="D14" s="68" t="s">
        <v>421</v>
      </c>
      <c r="E14" s="68" t="s">
        <v>44</v>
      </c>
      <c r="F14" s="69" t="s">
        <v>44</v>
      </c>
      <c r="G14" s="66" t="str">
        <f>IF(AND(_Ped_TPN_Keuze&lt;&gt;1,G15&lt;&gt;0),ROUND(PedBerTPN!F8,0),"")</f>
        <v/>
      </c>
      <c r="H14" s="28"/>
    </row>
    <row r="15" spans="1:8" ht="20.100000000000001" customHeight="1" x14ac:dyDescent="0.2">
      <c r="A15" s="27"/>
      <c r="B15" s="67" t="s">
        <v>142</v>
      </c>
      <c r="C15" s="68"/>
      <c r="D15" s="68" t="s">
        <v>398</v>
      </c>
      <c r="E15" s="68" t="s">
        <v>143</v>
      </c>
      <c r="F15" s="69" t="s">
        <v>148</v>
      </c>
      <c r="G15" s="70" t="str">
        <f>IF(_Ped_TPN_Keuze&lt;&gt;1,PedBerTPN!F4,"")</f>
        <v/>
      </c>
      <c r="H15" s="28"/>
    </row>
    <row r="16" spans="1:8" ht="20.100000000000001" customHeight="1" x14ac:dyDescent="0.2">
      <c r="A16" s="27"/>
      <c r="B16" s="67" t="s">
        <v>322</v>
      </c>
      <c r="C16" s="68"/>
      <c r="D16" s="68"/>
      <c r="E16" s="1047" t="s">
        <v>138</v>
      </c>
      <c r="F16" s="1048"/>
      <c r="G16" s="70" t="str">
        <f>IF(AND(_Ped_TPN_SST1Keuze&lt;11,_Ped_TPN_Keuze&lt;&gt;1),ROUND(PedBerTPN!F5,0),"")</f>
        <v/>
      </c>
      <c r="H16" s="28"/>
    </row>
    <row r="17" spans="1:8" ht="20.100000000000001" customHeight="1" x14ac:dyDescent="0.2">
      <c r="A17" s="27"/>
      <c r="B17" s="67" t="s">
        <v>315</v>
      </c>
      <c r="C17" s="68"/>
      <c r="D17" s="68" t="s">
        <v>144</v>
      </c>
      <c r="E17" s="68"/>
      <c r="F17" s="69"/>
      <c r="G17" s="70" t="str">
        <f>IF(AND(_Ped_TPN_SST1Keuze=2,_Ped_TPN_Keuze&lt;&gt;1),ROUND(PedBerTPN!F6,0),"")</f>
        <v/>
      </c>
      <c r="H17" s="28"/>
    </row>
    <row r="18" spans="1:8" ht="20.100000000000001" customHeight="1" x14ac:dyDescent="0.2">
      <c r="A18" s="27"/>
      <c r="B18" s="67" t="s">
        <v>97</v>
      </c>
      <c r="C18" s="68"/>
      <c r="D18" s="68"/>
      <c r="E18" s="68" t="s">
        <v>145</v>
      </c>
      <c r="F18" s="69"/>
      <c r="G18" s="70" t="str">
        <f>IF(AND(_Ped_TPN_SST1Keuze=6,_Ped_TPN_Keuze&lt;&gt;1),ROUND(PedBerTPN!F6,0),"")</f>
        <v/>
      </c>
      <c r="H18" s="28"/>
    </row>
    <row r="19" spans="1:8" ht="20.100000000000001" customHeight="1" x14ac:dyDescent="0.2">
      <c r="A19" s="27"/>
      <c r="B19" s="67" t="s">
        <v>146</v>
      </c>
      <c r="C19" s="68" t="s">
        <v>249</v>
      </c>
      <c r="D19" s="68"/>
      <c r="E19" s="68"/>
      <c r="F19" s="69" t="s">
        <v>429</v>
      </c>
      <c r="G19" s="70" t="str">
        <f>IF(AND(_Ped_TPN_SST1Keuze=7,_Ped_TPN_Keuze&lt;&gt;1),ROUND(PedBerTPN!F6,0),"")</f>
        <v/>
      </c>
      <c r="H19" s="28"/>
    </row>
    <row r="20" spans="1:8" ht="20.100000000000001" customHeight="1" x14ac:dyDescent="0.2">
      <c r="A20" s="27"/>
      <c r="B20" s="67" t="s">
        <v>147</v>
      </c>
      <c r="C20" s="68"/>
      <c r="D20" s="68"/>
      <c r="E20" s="68"/>
      <c r="F20" s="69" t="s">
        <v>423</v>
      </c>
      <c r="G20" s="70" t="str">
        <f>IF(AND(_Ped_TPN_SST1Keuze=9,_Ped_TPN_Keuze&lt;&gt;1),ROUND(PedBerTPN!F6,0),"")</f>
        <v/>
      </c>
      <c r="H20" s="28"/>
    </row>
    <row r="21" spans="1:8" ht="20.100000000000001" customHeight="1" x14ac:dyDescent="0.2">
      <c r="A21" s="27"/>
      <c r="B21" s="71" t="str">
        <f>IF(AND(_Ped_TPN_Keuze=2,_Ped_TPN_SST1Keuze&lt;&gt;2,_Ped_TPN_SST1Keuze&lt;&gt;6,_Ped_TPN_SST1Keuze&lt;&gt;7,_Ped_TPN_SST1Keuze&lt;&gt;9,_Ped_TPN_SST1Keuze&lt;11),INDEX(tblSSTGlucose,_Ped_TPN_SST1Keuze,1),"Glucose       %")</f>
        <v>Glucose       %</v>
      </c>
      <c r="C21" s="72"/>
      <c r="D21" s="72"/>
      <c r="E21" s="72"/>
      <c r="F21" s="73"/>
      <c r="G21" s="70" t="str">
        <f>IF(AND(_Ped_TPN_Keuze&lt;&gt;1,B19&lt;&gt;""),IF(AND(_Ped_TPN_SST1Keuze&lt;&gt;2,_Ped_TPN_SST1Keuze&lt;&gt;6,_Ped_TPN_SST1Keuze&lt;&gt;7,_Ped_TPN_SST1Keuze&lt;&gt;9,_Ped_TPN_SST1Keuze&lt;11),ROUND(PedBerTPN!F6,0),""),"")</f>
        <v/>
      </c>
      <c r="H21" s="28"/>
    </row>
    <row r="22" spans="1:8" ht="15.95" customHeight="1" x14ac:dyDescent="0.2">
      <c r="A22" s="27"/>
      <c r="B22" s="62"/>
      <c r="C22" s="62"/>
      <c r="D22" s="62"/>
      <c r="E22" s="1033" t="s">
        <v>228</v>
      </c>
      <c r="F22" s="1033"/>
      <c r="G22" s="59">
        <f>SUM(G13:G21)</f>
        <v>0</v>
      </c>
      <c r="H22" s="57"/>
    </row>
    <row r="23" spans="1:8" ht="10.5" customHeight="1" x14ac:dyDescent="0.2">
      <c r="A23" s="27"/>
      <c r="B23" s="56"/>
      <c r="C23" s="56"/>
      <c r="D23" s="56"/>
      <c r="E23" s="56"/>
      <c r="F23" s="56"/>
      <c r="G23" s="32"/>
      <c r="H23" s="28"/>
    </row>
    <row r="24" spans="1:8" ht="20.100000000000001" customHeight="1" x14ac:dyDescent="0.2">
      <c r="A24" s="1026" t="str">
        <f>IF(G27&lt;&gt;0,ROUND(G27/24,1)&amp;" ml/u","")</f>
        <v/>
      </c>
      <c r="B24" s="63" t="s">
        <v>208</v>
      </c>
      <c r="C24" s="64"/>
      <c r="D24" s="64" t="s">
        <v>370</v>
      </c>
      <c r="E24" s="64" t="s">
        <v>188</v>
      </c>
      <c r="F24" s="65" t="s">
        <v>399</v>
      </c>
      <c r="G24" s="66">
        <f>ROUND(PedBerTPN!F13,0)</f>
        <v>0</v>
      </c>
      <c r="H24" s="33"/>
    </row>
    <row r="25" spans="1:8" ht="20.100000000000001" customHeight="1" x14ac:dyDescent="0.2">
      <c r="A25" s="1027"/>
      <c r="B25" s="67" t="s">
        <v>209</v>
      </c>
      <c r="C25" s="68"/>
      <c r="D25" s="68"/>
      <c r="E25" s="1047" t="s">
        <v>383</v>
      </c>
      <c r="F25" s="1048"/>
      <c r="G25" s="70">
        <f>ROUND(PedBerTPN!F14,0)</f>
        <v>0</v>
      </c>
      <c r="H25" s="28"/>
    </row>
    <row r="26" spans="1:8" ht="20.100000000000001" customHeight="1" x14ac:dyDescent="0.2">
      <c r="A26" s="27"/>
      <c r="B26" s="67" t="s">
        <v>225</v>
      </c>
      <c r="C26" s="68"/>
      <c r="D26" s="68"/>
      <c r="E26" s="1047" t="s">
        <v>383</v>
      </c>
      <c r="F26" s="1048"/>
      <c r="G26" s="70">
        <f>ROUND(PedBerTPN!F15,0)</f>
        <v>0</v>
      </c>
      <c r="H26" s="28"/>
    </row>
    <row r="27" spans="1:8" ht="15.95" customHeight="1" x14ac:dyDescent="0.2">
      <c r="A27" s="27"/>
      <c r="B27" s="56"/>
      <c r="C27" s="56"/>
      <c r="D27" s="56"/>
      <c r="E27" s="1033" t="s">
        <v>228</v>
      </c>
      <c r="F27" s="1033"/>
      <c r="G27" s="61">
        <f>SUM(G24:G26)</f>
        <v>0</v>
      </c>
      <c r="H27" s="57"/>
    </row>
    <row r="28" spans="1:8" ht="10.5" customHeight="1" thickBot="1" x14ac:dyDescent="0.25">
      <c r="A28" s="27"/>
      <c r="B28" s="56"/>
      <c r="C28" s="56"/>
      <c r="D28" s="56"/>
      <c r="E28" s="56"/>
      <c r="F28" s="56"/>
      <c r="G28" s="32"/>
      <c r="H28" s="28"/>
    </row>
    <row r="29" spans="1:8" ht="15.95" customHeight="1" thickTop="1" x14ac:dyDescent="0.2">
      <c r="A29" s="34"/>
      <c r="B29" s="1045" t="s">
        <v>121</v>
      </c>
      <c r="C29" s="1046"/>
      <c r="D29" s="1046"/>
      <c r="E29" s="1046"/>
      <c r="F29" s="1046"/>
      <c r="G29" s="53"/>
      <c r="H29" s="35"/>
    </row>
    <row r="30" spans="1:8" ht="20.100000000000001" customHeight="1" x14ac:dyDescent="0.2">
      <c r="A30" s="1026" t="str">
        <f>IF(G38&lt;&gt;0,ROUND(G38/24,1)&amp;" ml/u","")</f>
        <v/>
      </c>
      <c r="B30" s="74" t="s">
        <v>34</v>
      </c>
      <c r="C30" s="76"/>
      <c r="D30" s="76"/>
      <c r="E30" s="76"/>
      <c r="F30" s="80"/>
      <c r="G30" s="81">
        <f>IF(AND(OR(_Ped_TPN_Keuze=1,AND(_Ped_TPN_Keuze=2,_Ped_TPN_SST1Keuze&gt;10))),ROUND(PedBerTPN!F7,0),"")</f>
        <v>0</v>
      </c>
      <c r="H30" s="28"/>
    </row>
    <row r="31" spans="1:8" ht="20.100000000000001" customHeight="1" x14ac:dyDescent="0.2">
      <c r="A31" s="1027"/>
      <c r="B31" s="75" t="s">
        <v>419</v>
      </c>
      <c r="C31" s="78"/>
      <c r="D31" s="78"/>
      <c r="E31" s="78"/>
      <c r="F31" s="82"/>
      <c r="G31" s="83">
        <f>IF(AND(OR(_Ped_TPN_Keuze=1,AND(_Ped_TPN_Keuze=2,_Ped_TPN_SST1Keuze&gt;10))),ROUND(PedBerTPN!F8,0),"")</f>
        <v>0</v>
      </c>
      <c r="H31" s="28"/>
    </row>
    <row r="32" spans="1:8" ht="20.100000000000001" customHeight="1" x14ac:dyDescent="0.2">
      <c r="A32" s="55"/>
      <c r="B32" s="75" t="s">
        <v>439</v>
      </c>
      <c r="C32" s="78"/>
      <c r="D32" s="78"/>
      <c r="E32" s="78"/>
      <c r="F32" s="82"/>
      <c r="G32" s="83">
        <f>PedBerTPN!F9</f>
        <v>0</v>
      </c>
      <c r="H32" s="28"/>
    </row>
    <row r="33" spans="1:8" ht="20.100000000000001" customHeight="1" x14ac:dyDescent="0.2">
      <c r="A33" s="55"/>
      <c r="B33" s="75" t="s">
        <v>440</v>
      </c>
      <c r="C33" s="78"/>
      <c r="D33" s="78"/>
      <c r="E33" s="78"/>
      <c r="F33" s="82"/>
      <c r="G33" s="83">
        <f>PedBerTPN!F10</f>
        <v>0</v>
      </c>
      <c r="H33" s="28"/>
    </row>
    <row r="34" spans="1:8" ht="20.100000000000001" customHeight="1" x14ac:dyDescent="0.2">
      <c r="A34" s="55"/>
      <c r="B34" s="75" t="s">
        <v>315</v>
      </c>
      <c r="C34" s="78"/>
      <c r="D34" s="78"/>
      <c r="E34" s="78"/>
      <c r="F34" s="82"/>
      <c r="G34" s="83">
        <f>PedBerTPN!F17+IF(AND(_Ped_TPN_SST1Keuze=2,_Ped_TPN_Keuze=1),ROUND(PedBerTPN!F6,0),0)</f>
        <v>0</v>
      </c>
      <c r="H34" s="28"/>
    </row>
    <row r="35" spans="1:8" ht="20.100000000000001" customHeight="1" x14ac:dyDescent="0.2">
      <c r="A35" s="55"/>
      <c r="B35" s="75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5" s="78"/>
      <c r="D35" s="78"/>
      <c r="E35" s="78"/>
      <c r="F35" s="82"/>
      <c r="G35" s="83">
        <f>IF(AND(OR(_Ped_TPN_Keuze=1,AND(_Ped_TPN_Keuze=2,_Ped_TPN_SST1Keuze&gt;10)),_Ped_TPN_SST1Keuze&lt;&gt;2,_Ped_TPN_SST1Keuze&lt;&gt;12,_Ped_TPN_SST1Keuze&lt;&gt;13),PedBerTPN!F6,"")</f>
        <v>0</v>
      </c>
      <c r="H35" s="28"/>
    </row>
    <row r="36" spans="1:8" ht="20.100000000000001" customHeight="1" x14ac:dyDescent="0.2">
      <c r="A36" s="55"/>
      <c r="B36" s="1043" t="s">
        <v>35</v>
      </c>
      <c r="C36" s="1044"/>
      <c r="D36" s="1044"/>
      <c r="E36" s="1044"/>
      <c r="F36" s="82"/>
      <c r="G36" s="83" t="str">
        <f>IF(AND(_Ped_TPN_SST1Keuze=12),ROUND(PedBerTPN!F6,0),"")</f>
        <v/>
      </c>
      <c r="H36" s="28"/>
    </row>
    <row r="37" spans="1:8" ht="20.100000000000001" customHeight="1" x14ac:dyDescent="0.2">
      <c r="A37" s="27"/>
      <c r="B37" s="1043" t="s">
        <v>36</v>
      </c>
      <c r="C37" s="1044"/>
      <c r="D37" s="1044"/>
      <c r="E37" s="1044"/>
      <c r="F37" s="82"/>
      <c r="G37" s="83" t="str">
        <f>IF(AND(_Ped_TPN_SST1Keuze=13),ROUND(PedBerTPN!F6,0),"")</f>
        <v/>
      </c>
      <c r="H37" s="28"/>
    </row>
    <row r="38" spans="1:8" ht="15.95" customHeight="1" x14ac:dyDescent="0.2">
      <c r="A38" s="27"/>
      <c r="B38" s="32"/>
      <c r="C38" s="32"/>
      <c r="D38" s="32"/>
      <c r="E38" s="1030" t="s">
        <v>230</v>
      </c>
      <c r="F38" s="1030"/>
      <c r="G38" s="60">
        <f>SUM(G30:G37)</f>
        <v>0</v>
      </c>
      <c r="H38" s="28"/>
    </row>
    <row r="39" spans="1:8" ht="10.5" customHeight="1" thickBot="1" x14ac:dyDescent="0.25">
      <c r="A39" s="27"/>
      <c r="B39" s="32"/>
      <c r="C39" s="32"/>
      <c r="D39" s="32"/>
      <c r="E39" s="32"/>
      <c r="F39" s="32"/>
      <c r="G39" s="32"/>
      <c r="H39" s="28"/>
    </row>
    <row r="40" spans="1:8" ht="15.95" customHeight="1" thickTop="1" x14ac:dyDescent="0.2">
      <c r="A40" s="34"/>
      <c r="B40" s="1034" t="s">
        <v>257</v>
      </c>
      <c r="C40" s="1035"/>
      <c r="D40" s="1035"/>
      <c r="E40" s="1035"/>
      <c r="F40" s="1036"/>
      <c r="G40" s="35" t="s">
        <v>258</v>
      </c>
      <c r="H40" s="35"/>
    </row>
    <row r="41" spans="1:8" ht="15.95" customHeight="1" x14ac:dyDescent="0.2">
      <c r="A41" s="36"/>
      <c r="B41" s="1021" t="s">
        <v>259</v>
      </c>
      <c r="C41" s="1022"/>
      <c r="D41" s="1022"/>
      <c r="E41" s="1022"/>
      <c r="F41" s="1023"/>
      <c r="G41" s="30" t="s">
        <v>260</v>
      </c>
      <c r="H41" s="28"/>
    </row>
    <row r="42" spans="1:8" ht="15.95" customHeight="1" x14ac:dyDescent="0.2">
      <c r="A42" s="36"/>
      <c r="B42" s="1021" t="s">
        <v>261</v>
      </c>
      <c r="C42" s="1022"/>
      <c r="D42" s="1022"/>
      <c r="E42" s="1022"/>
      <c r="F42" s="1023"/>
      <c r="G42" s="30" t="s">
        <v>258</v>
      </c>
      <c r="H42" s="31"/>
    </row>
    <row r="44" spans="1:8" x14ac:dyDescent="0.2">
      <c r="A44" s="8" t="s">
        <v>262</v>
      </c>
    </row>
    <row r="45" spans="1:8" x14ac:dyDescent="0.2">
      <c r="A45" s="8" t="s">
        <v>229</v>
      </c>
    </row>
    <row r="47" spans="1:8" x14ac:dyDescent="0.2">
      <c r="A47" s="8" t="s">
        <v>263</v>
      </c>
    </row>
    <row r="49" spans="1:6" x14ac:dyDescent="0.2">
      <c r="A49" s="8" t="s">
        <v>82</v>
      </c>
    </row>
    <row r="51" spans="1:6" x14ac:dyDescent="0.2">
      <c r="F51" s="2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21"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8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50" max="7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8"/>
  <sheetViews>
    <sheetView zoomScaleNormal="100" workbookViewId="0">
      <selection activeCell="B5" sqref="B5"/>
    </sheetView>
  </sheetViews>
  <sheetFormatPr defaultColWidth="9.140625" defaultRowHeight="12.75" x14ac:dyDescent="0.2"/>
  <cols>
    <col min="1" max="1" width="8.7109375" style="8" customWidth="1"/>
    <col min="2" max="2" width="23.85546875" style="8" customWidth="1"/>
    <col min="3" max="3" width="9.28515625" style="8" bestFit="1" customWidth="1"/>
    <col min="4" max="6" width="10.7109375" style="8" customWidth="1"/>
    <col min="7" max="7" width="9.140625" style="8"/>
    <col min="8" max="8" width="14.7109375" style="8" customWidth="1"/>
    <col min="9" max="16384" width="9.140625" style="8"/>
  </cols>
  <sheetData>
    <row r="1" spans="1:8" x14ac:dyDescent="0.2">
      <c r="A1" s="374" t="s">
        <v>264</v>
      </c>
      <c r="F1" s="2" t="s">
        <v>397</v>
      </c>
    </row>
    <row r="3" spans="1:8" x14ac:dyDescent="0.2">
      <c r="A3" s="8" t="s">
        <v>265</v>
      </c>
      <c r="B3" s="38">
        <f ca="1">TODAY()</f>
        <v>42748</v>
      </c>
      <c r="F3" s="44">
        <f>__0_PatNum</f>
        <v>0</v>
      </c>
      <c r="G3" s="45"/>
      <c r="H3" s="46"/>
    </row>
    <row r="4" spans="1:8" x14ac:dyDescent="0.2">
      <c r="A4" s="139" t="s">
        <v>535</v>
      </c>
      <c r="B4" s="8">
        <f>__1_Bed</f>
        <v>0</v>
      </c>
      <c r="F4" s="47" t="str">
        <f>__2_AchterNaam&amp;",  "&amp;__3_VoorNaam</f>
        <v xml:space="preserve">,  </v>
      </c>
      <c r="G4" s="48"/>
      <c r="H4" s="49"/>
    </row>
    <row r="5" spans="1:8" x14ac:dyDescent="0.2">
      <c r="A5" s="8" t="s">
        <v>266</v>
      </c>
      <c r="B5" s="8" t="s">
        <v>391</v>
      </c>
      <c r="F5" s="50">
        <f>__4_GebDatum</f>
        <v>1462</v>
      </c>
      <c r="G5" s="48"/>
      <c r="H5" s="49"/>
    </row>
    <row r="6" spans="1:8" x14ac:dyDescent="0.2">
      <c r="A6" s="374"/>
      <c r="F6" s="47" t="s">
        <v>286</v>
      </c>
      <c r="G6" s="48" t="str">
        <f>_Pat_Gewicht/10&amp;" kg"</f>
        <v>0 kg</v>
      </c>
      <c r="H6" s="49"/>
    </row>
    <row r="7" spans="1:8" x14ac:dyDescent="0.2">
      <c r="A7" s="8" t="s">
        <v>333</v>
      </c>
      <c r="B7" s="8" t="s">
        <v>267</v>
      </c>
      <c r="F7" s="51"/>
      <c r="G7" s="43"/>
      <c r="H7" s="52"/>
    </row>
    <row r="8" spans="1:8" x14ac:dyDescent="0.2">
      <c r="A8" s="8" t="s">
        <v>302</v>
      </c>
      <c r="B8" s="8" t="s">
        <v>267</v>
      </c>
    </row>
    <row r="9" spans="1:8" ht="13.5" thickBot="1" x14ac:dyDescent="0.25">
      <c r="A9" s="8" t="str">
        <f>IF(_Pat_Gewicht/10&lt;7,"Tot. hoev. vocht* (150 ml/kg/24 uur):","Tot. hoev. vocht* (110-90 ml/kg/24 uur):")</f>
        <v>Tot. hoev. vocht* (150 ml/kg/24 uur):</v>
      </c>
      <c r="C9" s="8">
        <f>PedBerTPN!F24</f>
        <v>0</v>
      </c>
      <c r="D9" s="8" t="s">
        <v>334</v>
      </c>
    </row>
    <row r="10" spans="1:8" ht="13.5" thickTop="1" x14ac:dyDescent="0.2">
      <c r="A10" s="1012" t="s">
        <v>16</v>
      </c>
      <c r="B10" s="1013"/>
      <c r="C10" s="1013"/>
      <c r="D10" s="1013"/>
      <c r="E10" s="1013"/>
      <c r="F10" s="1013"/>
      <c r="G10" s="1013"/>
      <c r="H10" s="1014"/>
    </row>
    <row r="11" spans="1:8" ht="25.5" x14ac:dyDescent="0.2">
      <c r="A11" s="27" t="s">
        <v>320</v>
      </c>
      <c r="B11" s="1015" t="s">
        <v>180</v>
      </c>
      <c r="C11" s="1017"/>
      <c r="D11" s="1019" t="s">
        <v>181</v>
      </c>
      <c r="E11" s="1019" t="s">
        <v>182</v>
      </c>
      <c r="F11" s="1019" t="s">
        <v>183</v>
      </c>
      <c r="G11" s="28"/>
      <c r="H11" s="28" t="s">
        <v>184</v>
      </c>
    </row>
    <row r="12" spans="1:8" ht="25.5" x14ac:dyDescent="0.2">
      <c r="A12" s="29" t="s">
        <v>185</v>
      </c>
      <c r="B12" s="1016"/>
      <c r="C12" s="1018"/>
      <c r="D12" s="1020"/>
      <c r="E12" s="1020"/>
      <c r="F12" s="1020"/>
      <c r="G12" s="28" t="s">
        <v>186</v>
      </c>
      <c r="H12" s="30" t="s">
        <v>187</v>
      </c>
    </row>
    <row r="13" spans="1:8" ht="20.100000000000001" customHeight="1" x14ac:dyDescent="0.2">
      <c r="A13" s="84" t="str">
        <f>IF(G15&lt;&gt;0,ROUND(G15/24,1)&amp;" ml/u","")</f>
        <v/>
      </c>
      <c r="B13" s="67" t="s">
        <v>73</v>
      </c>
      <c r="C13" s="68"/>
      <c r="D13" s="68" t="s">
        <v>74</v>
      </c>
      <c r="E13" s="68" t="s">
        <v>75</v>
      </c>
      <c r="F13" s="69" t="s">
        <v>76</v>
      </c>
      <c r="G13" s="89" t="str">
        <f>IF(_Ped_TPN_Keuze&lt;&gt;1,PedBerTPN!F4,"")</f>
        <v/>
      </c>
      <c r="H13" s="28"/>
    </row>
    <row r="14" spans="1:8" ht="20.100000000000001" customHeight="1" x14ac:dyDescent="0.2">
      <c r="A14" s="85"/>
      <c r="B14" s="67"/>
      <c r="C14" s="68"/>
      <c r="D14" s="68"/>
      <c r="E14" s="68"/>
      <c r="F14" s="69"/>
      <c r="G14" s="70"/>
      <c r="H14" s="28"/>
    </row>
    <row r="15" spans="1:8" ht="20.100000000000001" customHeight="1" x14ac:dyDescent="0.2">
      <c r="A15" s="27"/>
      <c r="B15" s="87"/>
      <c r="C15" s="87"/>
      <c r="D15" s="87"/>
      <c r="E15" s="87"/>
      <c r="F15" s="87" t="s">
        <v>230</v>
      </c>
      <c r="G15" s="88">
        <f>SUM(G13:G14)</f>
        <v>0</v>
      </c>
      <c r="H15" s="28"/>
    </row>
    <row r="16" spans="1:8" ht="20.100000000000001" customHeight="1" x14ac:dyDescent="0.2">
      <c r="A16" s="27"/>
      <c r="B16" s="68"/>
      <c r="C16" s="68"/>
      <c r="D16" s="68"/>
      <c r="E16" s="68"/>
      <c r="F16" s="68"/>
      <c r="G16" s="86"/>
      <c r="H16" s="28"/>
    </row>
    <row r="17" spans="1:8" ht="20.100000000000001" customHeight="1" x14ac:dyDescent="0.2">
      <c r="A17" s="85" t="str">
        <f>IF(G19&lt;&gt;0,ROUND(G19/24,1)&amp;" ml/u","")</f>
        <v/>
      </c>
      <c r="B17" s="67" t="s">
        <v>322</v>
      </c>
      <c r="C17" s="68"/>
      <c r="D17" s="68"/>
      <c r="E17" s="64"/>
      <c r="F17" s="65" t="s">
        <v>189</v>
      </c>
      <c r="G17" s="70">
        <f>IF(AND(OR(_Ped_TPN_SST1Keuze&lt;11,_Pat_Gewicht/10&gt;50),_Ped_TPN_Keuze&lt;&gt;1),ROUND(PedBerTPN!F5,0),0)</f>
        <v>0</v>
      </c>
      <c r="H17" s="28"/>
    </row>
    <row r="18" spans="1:8" ht="20.100000000000001" customHeight="1" x14ac:dyDescent="0.2">
      <c r="A18" s="27"/>
      <c r="B18" s="67" t="s">
        <v>315</v>
      </c>
      <c r="C18" s="68"/>
      <c r="D18" s="68"/>
      <c r="E18" s="68"/>
      <c r="F18" s="69" t="s">
        <v>72</v>
      </c>
      <c r="G18" s="70">
        <f>IF(G17&gt;0,100,0)</f>
        <v>0</v>
      </c>
      <c r="H18" s="28"/>
    </row>
    <row r="19" spans="1:8" ht="20.100000000000001" customHeight="1" x14ac:dyDescent="0.2">
      <c r="A19" s="27"/>
      <c r="B19" s="62"/>
      <c r="C19" s="62"/>
      <c r="D19" s="62"/>
      <c r="E19" s="1033" t="s">
        <v>228</v>
      </c>
      <c r="F19" s="1033"/>
      <c r="G19" s="59">
        <f>SUM(G17:G18)</f>
        <v>0</v>
      </c>
      <c r="H19" s="28"/>
    </row>
    <row r="20" spans="1:8" ht="20.100000000000001" customHeight="1" x14ac:dyDescent="0.2">
      <c r="A20" s="27"/>
      <c r="B20" s="56"/>
      <c r="C20" s="56"/>
      <c r="D20" s="56"/>
      <c r="E20" s="56"/>
      <c r="F20" s="56"/>
      <c r="G20" s="32"/>
      <c r="H20" s="28"/>
    </row>
    <row r="21" spans="1:8" ht="20.100000000000001" customHeight="1" x14ac:dyDescent="0.2">
      <c r="A21" s="27" t="str">
        <f>IF(G24&lt;&gt;0,ROUND(G24/24,1)&amp;" ml/u","")</f>
        <v/>
      </c>
      <c r="B21" s="63" t="s">
        <v>208</v>
      </c>
      <c r="C21" s="64"/>
      <c r="D21" s="64" t="s">
        <v>77</v>
      </c>
      <c r="E21" s="64" t="s">
        <v>78</v>
      </c>
      <c r="F21" s="65" t="s">
        <v>79</v>
      </c>
      <c r="G21" s="66">
        <f>ROUND(PedBerTPN!F13,0)</f>
        <v>0</v>
      </c>
      <c r="H21" s="28"/>
    </row>
    <row r="22" spans="1:8" ht="20.100000000000001" customHeight="1" x14ac:dyDescent="0.2">
      <c r="A22" s="27"/>
      <c r="B22" s="67" t="s">
        <v>209</v>
      </c>
      <c r="C22" s="68"/>
      <c r="D22" s="68"/>
      <c r="E22" s="64"/>
      <c r="F22" s="65" t="s">
        <v>80</v>
      </c>
      <c r="G22" s="70">
        <f>ROUND(PedBerTPN!F14,0)</f>
        <v>0</v>
      </c>
      <c r="H22" s="28"/>
    </row>
    <row r="23" spans="1:8" ht="20.100000000000001" customHeight="1" x14ac:dyDescent="0.2">
      <c r="A23" s="27"/>
      <c r="B23" s="67" t="s">
        <v>225</v>
      </c>
      <c r="C23" s="68"/>
      <c r="D23" s="68"/>
      <c r="E23" s="64"/>
      <c r="F23" s="65" t="s">
        <v>80</v>
      </c>
      <c r="G23" s="70">
        <f>ROUND(PedBerTPN!F15,0)</f>
        <v>0</v>
      </c>
      <c r="H23" s="28"/>
    </row>
    <row r="24" spans="1:8" ht="20.100000000000001" customHeight="1" x14ac:dyDescent="0.2">
      <c r="A24" s="27"/>
      <c r="B24" s="56"/>
      <c r="C24" s="56"/>
      <c r="D24" s="56"/>
      <c r="E24" s="1033" t="s">
        <v>228</v>
      </c>
      <c r="F24" s="1033"/>
      <c r="G24" s="61">
        <f>SUM(G21:G23)</f>
        <v>0</v>
      </c>
      <c r="H24" s="57"/>
    </row>
    <row r="25" spans="1:8" ht="15.95" customHeight="1" thickBot="1" x14ac:dyDescent="0.25">
      <c r="A25" s="27"/>
      <c r="B25" s="56"/>
      <c r="C25" s="56"/>
      <c r="D25" s="56"/>
      <c r="E25" s="56"/>
      <c r="F25" s="56"/>
      <c r="G25" s="32"/>
      <c r="H25" s="28"/>
    </row>
    <row r="26" spans="1:8" ht="15.95" customHeight="1" thickTop="1" x14ac:dyDescent="0.2">
      <c r="A26" s="34"/>
      <c r="B26" s="1045" t="s">
        <v>121</v>
      </c>
      <c r="C26" s="1046"/>
      <c r="D26" s="1046"/>
      <c r="E26" s="1046"/>
      <c r="F26" s="1046"/>
      <c r="G26" s="53"/>
      <c r="H26" s="35"/>
    </row>
    <row r="27" spans="1:8" ht="20.100000000000001" customHeight="1" x14ac:dyDescent="0.2">
      <c r="A27" s="1026" t="str">
        <f>IF(G35&lt;&gt;0,ROUND(G35/24,1)&amp;" ml/u","")</f>
        <v/>
      </c>
      <c r="B27" s="74" t="s">
        <v>34</v>
      </c>
      <c r="C27" s="76"/>
      <c r="D27" s="76"/>
      <c r="E27" s="76"/>
      <c r="F27" s="80"/>
      <c r="G27" s="81">
        <f>IF(AND(OR(_Ped_TPN_Keuze=1,_Pat_Gewicht/10&gt;50,AND(_Ped_TPN_Keuze=2,_Ped_TPN_SST1Keuze&gt;10))),ROUND(PedBerTPN!F7,0),"")</f>
        <v>0</v>
      </c>
      <c r="H27" s="28"/>
    </row>
    <row r="28" spans="1:8" ht="20.100000000000001" customHeight="1" x14ac:dyDescent="0.2">
      <c r="A28" s="1027"/>
      <c r="B28" s="75" t="s">
        <v>419</v>
      </c>
      <c r="C28" s="78"/>
      <c r="D28" s="78"/>
      <c r="E28" s="78"/>
      <c r="F28" s="82"/>
      <c r="G28" s="83">
        <f>IF(AND(OR(_Ped_TPN_Keuze=1,_Pat_Gewicht/10&gt;50,AND(_Ped_TPN_Keuze=2,_Ped_TPN_SST1Keuze&gt;10))),ROUND(PedBerTPN!F8,0),"")</f>
        <v>0</v>
      </c>
      <c r="H28" s="28"/>
    </row>
    <row r="29" spans="1:8" ht="15.95" customHeight="1" x14ac:dyDescent="0.2">
      <c r="A29" s="55"/>
      <c r="B29" s="75" t="s">
        <v>439</v>
      </c>
      <c r="C29" s="78"/>
      <c r="D29" s="78"/>
      <c r="E29" s="78"/>
      <c r="F29" s="82"/>
      <c r="G29" s="83">
        <f>PedBerTPN!F9</f>
        <v>0</v>
      </c>
      <c r="H29" s="28"/>
    </row>
    <row r="30" spans="1:8" ht="15.95" customHeight="1" x14ac:dyDescent="0.2">
      <c r="A30" s="55"/>
      <c r="B30" s="75" t="s">
        <v>440</v>
      </c>
      <c r="C30" s="78"/>
      <c r="D30" s="78"/>
      <c r="E30" s="78"/>
      <c r="F30" s="82"/>
      <c r="G30" s="83">
        <f>PedBerTPN!F10</f>
        <v>0</v>
      </c>
      <c r="H30" s="28"/>
    </row>
    <row r="31" spans="1:8" ht="15.95" customHeight="1" x14ac:dyDescent="0.2">
      <c r="A31" s="55"/>
      <c r="B31" s="75" t="s">
        <v>315</v>
      </c>
      <c r="C31" s="78"/>
      <c r="D31" s="78"/>
      <c r="E31" s="78"/>
      <c r="F31" s="82"/>
      <c r="G31" s="83">
        <f>IF(_Pat_Gewicht/10&lt;=50,PedBerTPN!F17,0)+IF(OR(AND(_Ped_TPN_SST1Keuze=2,_Ped_TPN_Keuze=1),AND(_Ped_TPN_SST1Keuze=2,_Pat_Gewicht/10&gt;50)),ROUND(PedBerTPN!F6,0),0)</f>
        <v>0</v>
      </c>
      <c r="H31" s="28"/>
    </row>
    <row r="32" spans="1:8" ht="15.95" customHeight="1" x14ac:dyDescent="0.2">
      <c r="A32" s="55"/>
      <c r="B32" s="75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2" s="78"/>
      <c r="D32" s="78"/>
      <c r="E32" s="78"/>
      <c r="F32" s="82"/>
      <c r="G32" s="83">
        <f>IF(AND(_Ped_TPN_SST1Keuze&lt;&gt;2,_Ped_TPN_SST1Keuze&lt;&gt;12,_Ped_TPN_SST1Keuze&lt;&gt;13),PedBerTPN!F6,"")</f>
        <v>0</v>
      </c>
      <c r="H32" s="28"/>
    </row>
    <row r="33" spans="1:8" ht="15.95" customHeight="1" x14ac:dyDescent="0.2">
      <c r="A33" s="55"/>
      <c r="B33" s="1043" t="s">
        <v>35</v>
      </c>
      <c r="C33" s="1044"/>
      <c r="D33" s="1044"/>
      <c r="E33" s="1044"/>
      <c r="F33" s="82"/>
      <c r="G33" s="83" t="str">
        <f>IF(AND(_Ped_TPN_SST1Keuze=12),ROUND(PedBerTPN!F6,0),"")</f>
        <v/>
      </c>
      <c r="H33" s="28"/>
    </row>
    <row r="34" spans="1:8" ht="20.100000000000001" customHeight="1" x14ac:dyDescent="0.2">
      <c r="A34" s="27"/>
      <c r="B34" s="1043" t="s">
        <v>36</v>
      </c>
      <c r="C34" s="1044"/>
      <c r="D34" s="1044"/>
      <c r="E34" s="1044"/>
      <c r="F34" s="82"/>
      <c r="G34" s="83" t="str">
        <f>IF(AND(_Ped_TPN_SST1Keuze=13),ROUND(PedBerTPN!F6,0),"")</f>
        <v/>
      </c>
      <c r="H34" s="28"/>
    </row>
    <row r="35" spans="1:8" ht="20.100000000000001" customHeight="1" x14ac:dyDescent="0.2">
      <c r="A35" s="27"/>
      <c r="B35" s="32"/>
      <c r="C35" s="32"/>
      <c r="D35" s="32"/>
      <c r="E35" s="1030" t="s">
        <v>230</v>
      </c>
      <c r="F35" s="1030"/>
      <c r="G35" s="60">
        <f>SUM(G27:G34)</f>
        <v>0</v>
      </c>
      <c r="H35" s="28"/>
    </row>
    <row r="36" spans="1:8" ht="20.100000000000001" customHeight="1" thickBot="1" x14ac:dyDescent="0.25">
      <c r="A36" s="27"/>
      <c r="B36" s="32"/>
      <c r="C36" s="32"/>
      <c r="D36" s="32"/>
      <c r="E36" s="32"/>
      <c r="F36" s="32"/>
      <c r="G36" s="32"/>
      <c r="H36" s="28"/>
    </row>
    <row r="37" spans="1:8" ht="20.100000000000001" customHeight="1" thickTop="1" x14ac:dyDescent="0.2">
      <c r="A37" s="34"/>
      <c r="B37" s="1034" t="s">
        <v>257</v>
      </c>
      <c r="C37" s="1035"/>
      <c r="D37" s="1035"/>
      <c r="E37" s="1035"/>
      <c r="F37" s="1036"/>
      <c r="G37" s="35" t="s">
        <v>258</v>
      </c>
      <c r="H37" s="35"/>
    </row>
    <row r="38" spans="1:8" ht="20.100000000000001" customHeight="1" x14ac:dyDescent="0.2">
      <c r="A38" s="36"/>
      <c r="B38" s="1021" t="s">
        <v>259</v>
      </c>
      <c r="C38" s="1022"/>
      <c r="D38" s="1022"/>
      <c r="E38" s="1022"/>
      <c r="F38" s="1023"/>
      <c r="G38" s="30" t="s">
        <v>260</v>
      </c>
      <c r="H38" s="28"/>
    </row>
    <row r="39" spans="1:8" ht="20.100000000000001" customHeight="1" x14ac:dyDescent="0.2">
      <c r="A39" s="36"/>
      <c r="B39" s="1021" t="s">
        <v>261</v>
      </c>
      <c r="C39" s="1022"/>
      <c r="D39" s="1022"/>
      <c r="E39" s="1022"/>
      <c r="F39" s="1023"/>
      <c r="G39" s="30" t="s">
        <v>258</v>
      </c>
      <c r="H39" s="31"/>
    </row>
    <row r="40" spans="1:8" ht="20.100000000000001" customHeight="1" x14ac:dyDescent="0.2"/>
    <row r="41" spans="1:8" ht="15.95" customHeight="1" x14ac:dyDescent="0.2">
      <c r="A41" s="8" t="s">
        <v>262</v>
      </c>
    </row>
    <row r="42" spans="1:8" ht="10.5" customHeight="1" x14ac:dyDescent="0.2">
      <c r="A42" s="8" t="s">
        <v>229</v>
      </c>
    </row>
    <row r="43" spans="1:8" ht="15.95" customHeight="1" x14ac:dyDescent="0.2"/>
    <row r="44" spans="1:8" ht="15.95" customHeight="1" x14ac:dyDescent="0.2">
      <c r="A44" s="8" t="s">
        <v>263</v>
      </c>
    </row>
    <row r="45" spans="1:8" ht="15.95" customHeight="1" x14ac:dyDescent="0.2"/>
    <row r="46" spans="1:8" x14ac:dyDescent="0.2">
      <c r="A46" s="8" t="s">
        <v>82</v>
      </c>
    </row>
    <row r="48" spans="1:8" x14ac:dyDescent="0.2">
      <c r="F48" s="2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6">
    <mergeCell ref="B37:F37"/>
    <mergeCell ref="B38:F38"/>
    <mergeCell ref="B39:F39"/>
    <mergeCell ref="B33:E33"/>
    <mergeCell ref="B34:E34"/>
    <mergeCell ref="E35:F35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</mergeCells>
  <phoneticPr fontId="28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3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O75"/>
  <sheetViews>
    <sheetView workbookViewId="0">
      <pane ySplit="8" topLeftCell="A9" activePane="bottomLeft" state="frozenSplit"/>
      <selection activeCell="A9" sqref="A9"/>
      <selection pane="bottomLeft" activeCell="K3" sqref="K3:N6"/>
    </sheetView>
  </sheetViews>
  <sheetFormatPr defaultColWidth="9.140625" defaultRowHeight="15.95" customHeight="1" x14ac:dyDescent="0.2"/>
  <cols>
    <col min="1" max="1" width="3.7109375" style="208" customWidth="1"/>
    <col min="2" max="5" width="12.42578125" style="208" customWidth="1"/>
    <col min="6" max="6" width="10.7109375" style="208" customWidth="1"/>
    <col min="7" max="11" width="12.42578125" style="208" customWidth="1"/>
    <col min="12" max="12" width="5.28515625" style="208" customWidth="1"/>
    <col min="13" max="13" width="7.85546875" style="208" customWidth="1"/>
    <col min="14" max="14" width="17.140625" style="208" customWidth="1"/>
    <col min="15" max="19" width="12.42578125" style="208" customWidth="1"/>
    <col min="20" max="16384" width="9.140625" style="208"/>
  </cols>
  <sheetData>
    <row r="1" spans="1:15" ht="9.75" customHeight="1" x14ac:dyDescent="0.2">
      <c r="A1" s="375"/>
      <c r="B1" s="589" t="str">
        <f>IF(E60&lt;0,"Te weinig volume voor TPN!","")</f>
        <v/>
      </c>
    </row>
    <row r="2" spans="1:15" ht="15.95" customHeight="1" x14ac:dyDescent="0.2">
      <c r="B2" s="582" t="s">
        <v>367</v>
      </c>
      <c r="C2" s="582" t="s">
        <v>576</v>
      </c>
      <c r="D2" s="582" t="s">
        <v>577</v>
      </c>
      <c r="E2" s="582" t="s">
        <v>118</v>
      </c>
      <c r="F2" s="583"/>
      <c r="G2" s="582"/>
      <c r="H2" s="582" t="s">
        <v>576</v>
      </c>
      <c r="I2" s="582" t="s">
        <v>577</v>
      </c>
      <c r="J2" s="582" t="s">
        <v>118</v>
      </c>
    </row>
    <row r="3" spans="1:15" ht="15.95" customHeight="1" x14ac:dyDescent="0.2">
      <c r="B3" s="584" t="s">
        <v>323</v>
      </c>
      <c r="C3" s="585" t="e">
        <f ca="1">ROUND(NeoBerInfB!K50/(_Pat_Gewicht/10),0)&amp;" ml/kg"</f>
        <v>#DIV/0!</v>
      </c>
      <c r="D3" s="585" t="e">
        <f>ROUND(NeoBerInfB!K49/(_Pat_Gewicht/10),0)&amp;" ml/kg"</f>
        <v>#DIV/0!</v>
      </c>
      <c r="E3" s="585" t="e">
        <f ca="1">ROUND(NeoBerInfB!K47/(_Pat_Gewicht/10),0)&amp;" ml/kg  "&amp;"= "&amp;ROUND(NeoBerInfB!K47,0)&amp;" ml"</f>
        <v>#DIV/0!</v>
      </c>
      <c r="F3" s="583"/>
      <c r="G3" s="584" t="s">
        <v>177</v>
      </c>
      <c r="H3" s="585" t="e">
        <f ca="1">ROUND(NeoBerInfB!L50/(_Pat_Gewicht/10),1)&amp;" mmol/kg"</f>
        <v>#DIV/0!</v>
      </c>
      <c r="I3" s="585" t="e">
        <f>ROUND(NeoBerInfB!L49/(_Pat_Gewicht/10),1)&amp;" mmol/kg"</f>
        <v>#DIV/0!</v>
      </c>
      <c r="J3" s="585" t="e">
        <f ca="1">ROUND(NeoBerInfB!L47/(_Pat_Gewicht/10),1)&amp;" mmol/kg"</f>
        <v>#DIV/0!</v>
      </c>
      <c r="K3" s="1049" t="s">
        <v>1153</v>
      </c>
      <c r="L3" s="1049"/>
      <c r="M3" s="1049"/>
      <c r="N3" s="1049"/>
    </row>
    <row r="4" spans="1:15" ht="15.95" customHeight="1" x14ac:dyDescent="0.2">
      <c r="B4" s="584" t="s">
        <v>232</v>
      </c>
      <c r="C4" s="585" t="e">
        <f ca="1">ROUND(NeoBerInfB!Q50/(_Pat_Gewicht/10),1)&amp;" g/kg"</f>
        <v>#DIV/0!</v>
      </c>
      <c r="D4" s="585" t="e">
        <f>ROUND(NeoBerInfB!Q49/(_Pat_Gewicht/10),1)&amp;" g/kg"</f>
        <v>#DIV/0!</v>
      </c>
      <c r="E4" s="585" t="e">
        <f ca="1">ROUND(NeoBerInfB!Q47/(_Pat_Gewicht/10),1)&amp;" g/kg"</f>
        <v>#DIV/0!</v>
      </c>
      <c r="F4" s="583"/>
      <c r="G4" s="584" t="s">
        <v>291</v>
      </c>
      <c r="H4" s="585" t="e">
        <f ca="1">ROUND(NeoBerInfB!M50/(_Pat_Gewicht/10),1)&amp;" mmol/kg"</f>
        <v>#DIV/0!</v>
      </c>
      <c r="I4" s="585" t="e">
        <f>ROUND(NeoBerInfB!M49/(_Pat_Gewicht/10),1)&amp;" mmol/kg"</f>
        <v>#DIV/0!</v>
      </c>
      <c r="J4" s="585" t="e">
        <f ca="1">ROUND(NeoBerInfB!M47/(_Pat_Gewicht/10),1)&amp;" mmol/kg"</f>
        <v>#DIV/0!</v>
      </c>
      <c r="K4" s="1049"/>
      <c r="L4" s="1049"/>
      <c r="M4" s="1049"/>
      <c r="N4" s="1049"/>
    </row>
    <row r="5" spans="1:15" ht="15.95" customHeight="1" x14ac:dyDescent="0.2">
      <c r="B5" s="584" t="s">
        <v>233</v>
      </c>
      <c r="C5" s="585" t="e">
        <f ca="1">ROUND(NeoBerInfB!S50/(_Pat_Gewicht/10),1)&amp;" g/kg"</f>
        <v>#DIV/0!</v>
      </c>
      <c r="D5" s="585" t="e">
        <f>ROUND(NeoBerInfB!S49/(_Pat_Gewicht/10),1)&amp;" g/kg"</f>
        <v>#DIV/0!</v>
      </c>
      <c r="E5" s="585" t="e">
        <f ca="1">ROUND(NeoBerInfB!S47/(_Pat_Gewicht/10),1)&amp;" g/kg"</f>
        <v>#DIV/0!</v>
      </c>
      <c r="F5" s="583"/>
      <c r="G5" s="584" t="s">
        <v>234</v>
      </c>
      <c r="H5" s="585" t="e">
        <f ca="1">ROUND(NeoBerInfB!N50/(_Pat_Gewicht/10),1)&amp;" mmol/kg"</f>
        <v>#DIV/0!</v>
      </c>
      <c r="I5" s="585" t="e">
        <f>ROUND(NeoBerInfB!N49/(_Pat_Gewicht/10),1)&amp;" mmol/kg"</f>
        <v>#DIV/0!</v>
      </c>
      <c r="J5" s="585" t="e">
        <f ca="1">ROUND(NeoBerInfB!N47/(_Pat_Gewicht/10),1)&amp;" mmol/kg"</f>
        <v>#DIV/0!</v>
      </c>
      <c r="K5" s="1049"/>
      <c r="L5" s="1049"/>
      <c r="M5" s="1049"/>
      <c r="N5" s="1049"/>
    </row>
    <row r="6" spans="1:15" ht="15.95" customHeight="1" x14ac:dyDescent="0.2">
      <c r="A6" s="375"/>
      <c r="B6" s="584" t="s">
        <v>578</v>
      </c>
      <c r="C6" s="585" t="e">
        <f>ROUND(1000*NeoBerInfB!R50/(_Pat_Gewicht/10)/1440,1)&amp;" mg/kg/min"</f>
        <v>#DIV/0!</v>
      </c>
      <c r="D6" s="585" t="e">
        <f>ROUND(1000*NeoBerInfB!R49/(_Pat_Gewicht/10)/1440,1)&amp;" mg/kg/min"</f>
        <v>#DIV/0!</v>
      </c>
      <c r="E6" s="585" t="e">
        <f>ROUND(1000*NeoBerInfB!R47/(_Pat_Gewicht/10)/1440,1)&amp;" mg/kg/min"</f>
        <v>#DIV/0!</v>
      </c>
      <c r="F6" s="583"/>
      <c r="G6" s="584" t="s">
        <v>328</v>
      </c>
      <c r="H6" s="585" t="e">
        <f ca="1">ROUND(NeoBerInfB!O50/(_Pat_Gewicht/10),1)&amp;" mmol/kg"</f>
        <v>#DIV/0!</v>
      </c>
      <c r="I6" s="585" t="e">
        <f>ROUND(NeoBerInfB!O49/(_Pat_Gewicht/10),1)&amp;" mmol/kg"</f>
        <v>#DIV/0!</v>
      </c>
      <c r="J6" s="585" t="e">
        <f ca="1">ROUND(NeoBerInfB!O47/(_Pat_Gewicht/10),1)&amp;" mmol/kg"</f>
        <v>#DIV/0!</v>
      </c>
      <c r="K6" s="1049"/>
      <c r="L6" s="1049"/>
      <c r="M6" s="1049"/>
      <c r="N6" s="1049"/>
    </row>
    <row r="7" spans="1:15" ht="15.95" customHeight="1" x14ac:dyDescent="0.2">
      <c r="B7" s="584" t="s">
        <v>571</v>
      </c>
      <c r="C7" s="585" t="e">
        <f ca="1">ROUND(NeoBerInfB!T50/(_Pat_Gewicht/10),1)&amp; " kcal/kg"</f>
        <v>#DIV/0!</v>
      </c>
      <c r="D7" s="585" t="e">
        <f>ROUND(NeoBerInfB!T49/(_Pat_Gewicht/10),1)&amp; " kcal/kg"</f>
        <v>#DIV/0!</v>
      </c>
      <c r="E7" s="585" t="e">
        <f ca="1">ROUND(NeoBerInfB!T47/(_Pat_Gewicht/10),1)&amp; " kcal/kg"</f>
        <v>#DIV/0!</v>
      </c>
      <c r="F7" s="583"/>
      <c r="G7" s="584" t="s">
        <v>579</v>
      </c>
      <c r="H7" s="585" t="e">
        <f ca="1">ROUND(NeoBerInfB!U50/(_Pat_Gewicht/10),1)&amp;" mmol/kg"</f>
        <v>#DIV/0!</v>
      </c>
      <c r="I7" s="585" t="e">
        <f>ROUND(NeoBerInfB!U49/(_Pat_Gewicht/10),1)&amp;" mmol/kg"</f>
        <v>#DIV/0!</v>
      </c>
      <c r="J7" s="585" t="e">
        <f ca="1">ROUND(NeoBerInfB!U47/(_Pat_Gewicht/10),1)&amp;" mmol/kg"</f>
        <v>#DIV/0!</v>
      </c>
    </row>
    <row r="8" spans="1:15" ht="15.95" customHeight="1" thickBot="1" x14ac:dyDescent="0.25">
      <c r="A8" s="591"/>
      <c r="B8" s="586" t="s">
        <v>580</v>
      </c>
      <c r="C8" s="587" t="str">
        <f ca="1">ROUND(NeoBerInfB!V50,0)&amp; " IE"</f>
        <v>0 IE</v>
      </c>
      <c r="D8" s="587" t="str">
        <f>ROUND(NeoBerInfB!V49,0)&amp; " IE"</f>
        <v>0 IE</v>
      </c>
      <c r="E8" s="587" t="str">
        <f ca="1">ROUND(NeoBerInfB!V47,0)&amp; " IE"</f>
        <v>0 IE</v>
      </c>
      <c r="F8" s="588"/>
      <c r="G8" s="586" t="s">
        <v>235</v>
      </c>
      <c r="H8" s="587" t="e">
        <f>ROUND(NeoBerInfB!P50/(_Pat_Gewicht/10),1)&amp;" mmol/kg"</f>
        <v>#DIV/0!</v>
      </c>
      <c r="I8" s="587" t="e">
        <f>ROUND(NeoBerInfB!P49/(_Pat_Gewicht/10),1)&amp;" mmol/kg"</f>
        <v>#DIV/0!</v>
      </c>
      <c r="J8" s="587" t="e">
        <f>ROUND(NeoBerInfB!P47/(_Pat_Gewicht/10),1)&amp;" mmol/kg"</f>
        <v>#DIV/0!</v>
      </c>
      <c r="K8" s="591"/>
      <c r="L8" s="591"/>
      <c r="M8" s="591"/>
      <c r="N8" s="591"/>
      <c r="O8" s="591"/>
    </row>
    <row r="9" spans="1:15" ht="8.25" customHeight="1" thickTop="1" x14ac:dyDescent="0.2">
      <c r="A9" s="592"/>
      <c r="B9" s="330"/>
      <c r="C9" s="593"/>
      <c r="D9" s="593"/>
      <c r="E9" s="593"/>
      <c r="F9" s="218"/>
      <c r="G9" s="330"/>
      <c r="H9" s="593"/>
      <c r="I9" s="593"/>
      <c r="J9" s="593"/>
      <c r="K9" s="218"/>
      <c r="L9" s="218"/>
      <c r="M9" s="218"/>
      <c r="N9" s="218"/>
    </row>
    <row r="10" spans="1:15" ht="15.95" customHeight="1" x14ac:dyDescent="0.2">
      <c r="B10" s="564" t="s">
        <v>581</v>
      </c>
      <c r="C10" s="565"/>
      <c r="D10" s="565"/>
      <c r="E10" s="565"/>
      <c r="F10" s="565"/>
      <c r="G10" s="566" t="s">
        <v>357</v>
      </c>
      <c r="H10" s="565"/>
      <c r="I10" s="565">
        <f>__0_PatNum</f>
        <v>0</v>
      </c>
      <c r="J10" s="565"/>
      <c r="K10" s="565"/>
      <c r="L10" s="565"/>
      <c r="M10" s="565"/>
    </row>
    <row r="11" spans="1:15" ht="15.95" customHeight="1" x14ac:dyDescent="0.2">
      <c r="B11" s="564" t="s">
        <v>582</v>
      </c>
      <c r="C11" s="565"/>
      <c r="D11" s="565"/>
      <c r="E11" s="565"/>
      <c r="F11" s="565"/>
      <c r="G11" s="566" t="s">
        <v>28</v>
      </c>
      <c r="H11" s="565"/>
      <c r="I11" s="567" t="str">
        <f>__2_AchterNaam &amp;",  "&amp;__3_VoorNaam</f>
        <v xml:space="preserve">,  </v>
      </c>
      <c r="J11" s="568"/>
      <c r="K11" s="565"/>
      <c r="L11" s="565"/>
      <c r="M11" s="565"/>
    </row>
    <row r="12" spans="1:15" ht="15.95" customHeight="1" x14ac:dyDescent="0.2">
      <c r="B12" s="564" t="s">
        <v>583</v>
      </c>
      <c r="C12" s="565"/>
      <c r="D12" s="565"/>
      <c r="E12" s="565"/>
      <c r="F12" s="565"/>
      <c r="G12" s="566" t="s">
        <v>584</v>
      </c>
      <c r="H12" s="565"/>
      <c r="I12" s="569">
        <f>NeoBerInfB!B3-NeoBerInfB!C3</f>
        <v>1462</v>
      </c>
      <c r="J12" s="570" t="str">
        <f ca="1">"=dag "&amp;NeoBerInfB!B6</f>
        <v>=dag 41287</v>
      </c>
      <c r="K12" s="565"/>
      <c r="L12" s="565"/>
      <c r="M12" s="565"/>
    </row>
    <row r="13" spans="1:15" ht="15.95" customHeight="1" x14ac:dyDescent="0.2">
      <c r="B13" s="565"/>
      <c r="C13" s="565"/>
      <c r="D13" s="565"/>
      <c r="E13" s="565"/>
      <c r="F13" s="565"/>
      <c r="G13" s="566" t="s">
        <v>541</v>
      </c>
      <c r="H13" s="571">
        <f>NeoBerInfB!D4</f>
        <v>0</v>
      </c>
      <c r="I13" s="572" t="s">
        <v>585</v>
      </c>
      <c r="J13" s="571">
        <f>NeoBerInfB!D5</f>
        <v>0</v>
      </c>
      <c r="K13" s="572" t="s">
        <v>586</v>
      </c>
      <c r="L13" s="572"/>
      <c r="M13" s="565"/>
    </row>
    <row r="14" spans="1:15" ht="15.95" customHeight="1" x14ac:dyDescent="0.2">
      <c r="B14" s="566" t="s">
        <v>316</v>
      </c>
      <c r="C14" s="569">
        <f>NeoBerInfB!B5</f>
        <v>1462</v>
      </c>
      <c r="D14" s="565"/>
      <c r="E14" s="565"/>
      <c r="F14" s="565"/>
      <c r="G14" s="565"/>
      <c r="H14" s="565"/>
      <c r="I14" s="565"/>
      <c r="J14" s="565"/>
      <c r="K14" s="565"/>
      <c r="L14" s="565"/>
      <c r="M14" s="565"/>
    </row>
    <row r="15" spans="1:15" ht="15.95" customHeight="1" x14ac:dyDescent="0.2">
      <c r="B15" s="573" t="s">
        <v>536</v>
      </c>
      <c r="C15" s="574">
        <f>__1_Bed</f>
        <v>0</v>
      </c>
      <c r="D15" s="575"/>
      <c r="E15" s="565"/>
      <c r="F15" s="565"/>
      <c r="G15" s="566" t="s">
        <v>287</v>
      </c>
      <c r="H15" s="576" t="str">
        <f ca="1">IF(PatDetails!B16&lt;&gt;"",TRUNC((H13*7+J13+NeoBerInfB!B6-1)/7)&amp;" weken en "&amp; H13*7+J13+NeoBerInfB!B6-1-TRUNC((H13*7+J13+NeoBerInfB!B6-1)/7)*7&amp;" dag(-en)","")</f>
        <v/>
      </c>
      <c r="I15" s="565"/>
      <c r="J15" s="565"/>
      <c r="K15" s="565"/>
      <c r="L15" s="565"/>
      <c r="M15" s="565"/>
    </row>
    <row r="16" spans="1:15" ht="15.95" customHeight="1" x14ac:dyDescent="0.2">
      <c r="B16" s="577"/>
      <c r="C16" s="578"/>
      <c r="D16" s="578"/>
      <c r="E16" s="578"/>
      <c r="F16" s="578"/>
      <c r="G16" s="577" t="s">
        <v>555</v>
      </c>
      <c r="H16" s="578" t="str">
        <f>NeoBerInfB!B4&amp;" kg"</f>
        <v>0 kg</v>
      </c>
      <c r="I16" s="578"/>
      <c r="J16" s="578"/>
      <c r="K16" s="578"/>
      <c r="L16" s="578"/>
      <c r="M16" s="578"/>
    </row>
    <row r="17" spans="1:15" ht="15.95" customHeight="1" x14ac:dyDescent="0.2">
      <c r="B17" s="335"/>
      <c r="K17" s="597" t="s">
        <v>587</v>
      </c>
      <c r="L17" s="597"/>
    </row>
    <row r="18" spans="1:15" ht="15.95" customHeight="1" x14ac:dyDescent="0.2">
      <c r="B18" s="335" t="s">
        <v>588</v>
      </c>
      <c r="E18" s="598" t="e">
        <f ca="1">IF(NeoBerInfB!B17,NeoBerInfB!C16,ROUND(NeoBerInfB!K47/(_Pat_Gewicht/10),1))</f>
        <v>#DIV/0!</v>
      </c>
      <c r="F18" s="210" t="s">
        <v>589</v>
      </c>
      <c r="K18" s="599" t="str">
        <f ca="1">ROUND(NeoBerInfB!B16,0)&amp;" ml/ kg/ 24 uur"</f>
        <v>160 ml/ kg/ 24 uur</v>
      </c>
      <c r="L18" s="599"/>
      <c r="M18" s="308"/>
    </row>
    <row r="19" spans="1:15" ht="15.95" customHeight="1" x14ac:dyDescent="0.2">
      <c r="B19" s="335" t="s">
        <v>590</v>
      </c>
      <c r="F19" s="210"/>
      <c r="K19" s="600"/>
      <c r="L19" s="600"/>
      <c r="M19" s="218"/>
    </row>
    <row r="21" spans="1:15" ht="15.95" customHeight="1" x14ac:dyDescent="0.2">
      <c r="D21" s="601" t="s">
        <v>591</v>
      </c>
      <c r="E21" s="594">
        <f>IF(Var_Neo_InfB_Voeding&gt;1,NeoBerInfB!D10,"")</f>
        <v>0</v>
      </c>
      <c r="F21" s="594" t="s">
        <v>592</v>
      </c>
      <c r="G21" s="209" t="str">
        <f>IF(Var_Neo_InfB_Voeding&gt;1,NeoBerInfB!D11/10&amp;" ml","")</f>
        <v>0 ml</v>
      </c>
      <c r="H21" s="602" t="s">
        <v>593</v>
      </c>
    </row>
    <row r="22" spans="1:15" ht="15.95" customHeight="1" x14ac:dyDescent="0.2">
      <c r="D22" s="601" t="s">
        <v>594</v>
      </c>
      <c r="E22" s="594">
        <f>IF(Var_Neo_InfB_Voeding&gt;1,NeoBerInfB!D12,"")</f>
        <v>0</v>
      </c>
      <c r="F22" s="594" t="s">
        <v>592</v>
      </c>
      <c r="G22" s="209" t="str">
        <f>IF(Var_Neo_InfB_Voeding&gt;1,NeoBerInfB!D13/10&amp;" ml","")</f>
        <v>0 ml</v>
      </c>
      <c r="I22" s="601" t="s">
        <v>948</v>
      </c>
      <c r="M22" s="601" t="s">
        <v>949</v>
      </c>
    </row>
    <row r="23" spans="1:15" ht="15.95" customHeight="1" x14ac:dyDescent="0.2">
      <c r="H23" s="601"/>
      <c r="I23" s="603" t="s">
        <v>966</v>
      </c>
      <c r="K23" s="308" t="e">
        <f>INDEX(tbl_Neo_NutrBMFWaard,NeoBerInfB!K52)&amp;" %"</f>
        <v>#VALUE!</v>
      </c>
    </row>
    <row r="24" spans="1:15" ht="15.95" customHeight="1" x14ac:dyDescent="0.2">
      <c r="H24" s="601"/>
      <c r="K24" s="308" t="e">
        <f>INDEX(tbl_Neo_NutrToevWaard,NeoBerInfB!K53)&amp;" %"</f>
        <v>#VALUE!</v>
      </c>
      <c r="O24" s="308" t="e">
        <f>INDEX(tbl_Neo_NutrToevWaard,NeoBerInfB!K58)&amp;" %"</f>
        <v>#VALUE!</v>
      </c>
    </row>
    <row r="25" spans="1:15" ht="15.95" customHeight="1" x14ac:dyDescent="0.2">
      <c r="H25" s="601"/>
      <c r="K25" s="308" t="e">
        <f>INDEX(tbl_Neo_NutrToevWaard,NeoBerInfB!K54)&amp;" %"</f>
        <v>#VALUE!</v>
      </c>
      <c r="O25" s="308" t="e">
        <f>INDEX(tbl_Neo_NutrToevWaard,NeoBerInfB!K59)&amp;" %"</f>
        <v>#VALUE!</v>
      </c>
    </row>
    <row r="26" spans="1:15" ht="15.95" customHeight="1" x14ac:dyDescent="0.2">
      <c r="H26" s="601"/>
      <c r="K26" s="308" t="e">
        <f>INDEX(tbl_Neo_NutrToevWaard,NeoBerInfB!K55)&amp;" %"</f>
        <v>#VALUE!</v>
      </c>
      <c r="O26" s="308" t="e">
        <f>INDEX(tbl_Neo_NutrToevWaard,NeoBerInfB!K60)&amp;" %"</f>
        <v>#VALUE!</v>
      </c>
    </row>
    <row r="27" spans="1:15" ht="15.95" customHeight="1" x14ac:dyDescent="0.2">
      <c r="B27" s="213"/>
      <c r="C27" s="213"/>
      <c r="D27" s="213"/>
      <c r="E27" s="604"/>
      <c r="F27" s="213"/>
      <c r="G27" s="213"/>
      <c r="H27" s="604"/>
      <c r="I27" s="213"/>
      <c r="J27" s="213"/>
      <c r="K27" s="308" t="e">
        <f>INDEX(tbl_Neo_NutrToevWaard,NeoBerInfB!K56)&amp;" %"</f>
        <v>#VALUE!</v>
      </c>
      <c r="L27" s="213"/>
      <c r="M27" s="213"/>
      <c r="N27" s="213"/>
      <c r="O27" s="308" t="e">
        <f>INDEX(tbl_Neo_NutrToevWaard,NeoBerInfB!K61)&amp;" %"</f>
        <v>#VALUE!</v>
      </c>
    </row>
    <row r="28" spans="1:15" ht="15.95" customHeight="1" x14ac:dyDescent="0.2">
      <c r="B28" s="335" t="s">
        <v>595</v>
      </c>
      <c r="E28" s="598">
        <f ca="1">IF(NeoBerInfB!B17,NeoBerInfB!C17,NeoBerInfB!K50)</f>
        <v>0</v>
      </c>
      <c r="F28" s="210" t="s">
        <v>596</v>
      </c>
    </row>
    <row r="29" spans="1:15" ht="15.95" customHeight="1" x14ac:dyDescent="0.2">
      <c r="H29" s="597" t="s">
        <v>597</v>
      </c>
      <c r="I29" s="597"/>
      <c r="J29" s="605" t="s">
        <v>545</v>
      </c>
      <c r="K29" s="597" t="s">
        <v>598</v>
      </c>
      <c r="L29" s="597"/>
      <c r="N29" s="597" t="s">
        <v>599</v>
      </c>
    </row>
    <row r="30" spans="1:15" ht="15.95" customHeight="1" x14ac:dyDescent="0.2">
      <c r="A30" s="606"/>
      <c r="B30" s="330" t="s">
        <v>764</v>
      </c>
      <c r="C30" s="218"/>
      <c r="D30" s="218"/>
      <c r="E30" s="218"/>
      <c r="F30" s="218"/>
      <c r="G30" s="607" t="str">
        <f>NeoBerInfB!B18/10&amp;" ml/uur"</f>
        <v>0 ml/uur</v>
      </c>
      <c r="H30" s="218"/>
      <c r="I30" s="218"/>
      <c r="J30" s="218"/>
      <c r="K30" s="218"/>
      <c r="L30" s="218"/>
      <c r="M30" s="608"/>
      <c r="N30" s="218"/>
    </row>
    <row r="31" spans="1:15" ht="7.5" customHeight="1" x14ac:dyDescent="0.2">
      <c r="A31" s="606"/>
      <c r="B31" s="330"/>
      <c r="C31" s="218"/>
      <c r="D31" s="218"/>
      <c r="E31" s="218"/>
      <c r="F31" s="218"/>
      <c r="G31" s="607"/>
      <c r="H31" s="218"/>
      <c r="I31" s="218"/>
      <c r="J31" s="218"/>
      <c r="K31" s="218"/>
      <c r="L31" s="218"/>
      <c r="M31" s="608"/>
      <c r="N31" s="218"/>
    </row>
    <row r="32" spans="1:15" ht="15.95" customHeight="1" x14ac:dyDescent="0.2">
      <c r="A32" s="606">
        <v>1</v>
      </c>
      <c r="B32" s="609"/>
      <c r="C32" s="610" t="str">
        <f>IF(NeoBerInfB!C20&gt;0,IF(NeoBerInfB!B20&lt;&gt;5,NeoBerInfB!C20/10&amp;" mg",NeoBerInfB!C20/10&amp;" mg"),"")</f>
        <v/>
      </c>
      <c r="D32" s="610" t="str">
        <f>IF(NeoBerInfB!D20&gt;0,"in "&amp;NeoBerInfB!D20&amp;" ml","")</f>
        <v/>
      </c>
      <c r="E32" s="609"/>
      <c r="F32" s="609"/>
      <c r="G32" s="611" t="str">
        <f>IF(NeoBerInfB!F20/10&gt;0,NeoBerInfB!F20/10&amp;" ml/uur","")</f>
        <v/>
      </c>
      <c r="H32" s="610" t="str">
        <f>IF(AND(NeoBerInfB!H20&gt;0),ROUND(NeoBerInfB!H20,2),"")</f>
        <v/>
      </c>
      <c r="I32" s="610">
        <f>IF(Var_Neo_InfB_Medicament_1&gt;0,INDEX(tbl_Neo_MedIV,NeoBerInfB!B20,6),"")</f>
        <v>0</v>
      </c>
      <c r="J32" s="308"/>
      <c r="K32" s="599">
        <f>INDEX(tbl_Neo_MedIV,NeoBerInfB!B20,2)</f>
        <v>0</v>
      </c>
      <c r="L32" s="599"/>
      <c r="M32" s="612"/>
      <c r="N32" s="613" t="str">
        <f>IF(NeoBerInfB!H20&gt;0,IF(NeoBerInfB!X20*10&gt;1,NeoBerInfB!W20&amp;" uren",NeoBerInfB!W20&amp;" minuten"),"")</f>
        <v/>
      </c>
    </row>
    <row r="33" spans="1:14" ht="15.95" customHeight="1" x14ac:dyDescent="0.2">
      <c r="A33" s="606">
        <v>2</v>
      </c>
      <c r="B33" s="614"/>
      <c r="C33" s="615" t="str">
        <f>IF(NeoBerInfB!C21&gt;0,NeoBerInfB!C21/10&amp;" mg","")</f>
        <v/>
      </c>
      <c r="D33" s="615" t="str">
        <f>IF(NeoBerInfB!D21&gt;0,"in "&amp;NeoBerInfB!D21&amp;" ml","")</f>
        <v/>
      </c>
      <c r="E33" s="614"/>
      <c r="F33" s="614"/>
      <c r="G33" s="616" t="str">
        <f>IF(NeoBerInfB!F21/10&gt;0,NeoBerInfB!F21/10&amp;" ml/uur","")</f>
        <v/>
      </c>
      <c r="H33" s="610" t="str">
        <f>IF(AND(NeoBerInfB!H21&gt;0),ROUND(NeoBerInfB!H21,2),"")</f>
        <v/>
      </c>
      <c r="I33" s="610">
        <f>IF(Var_Neo_InfB_Medicament_1&gt;0,INDEX(tbl_Neo_MedIV,NeoBerInfB!B21,6),"")</f>
        <v>0</v>
      </c>
      <c r="J33" s="617"/>
      <c r="K33" s="618">
        <f>INDEX(tbl_Neo_MedIV,NeoBerInfB!B21,2)</f>
        <v>0</v>
      </c>
      <c r="L33" s="618"/>
      <c r="M33" s="619"/>
      <c r="N33" s="620" t="str">
        <f>IF(NeoBerInfB!H21&gt;0,IF(NeoBerInfB!X21*10&gt;1,NeoBerInfB!W21&amp;" uren",NeoBerInfB!W21&amp;" minuten"),"")</f>
        <v/>
      </c>
    </row>
    <row r="34" spans="1:14" ht="15.95" customHeight="1" x14ac:dyDescent="0.2">
      <c r="A34" s="606">
        <v>3</v>
      </c>
      <c r="B34" s="614"/>
      <c r="C34" s="615" t="str">
        <f>IF(NeoBerInfB!C22&gt;0,NeoBerInfB!C22/10&amp;" mg","")</f>
        <v/>
      </c>
      <c r="D34" s="615" t="str">
        <f>IF(NeoBerInfB!D22&gt;0,"in "&amp;NeoBerInfB!D22&amp;" ml","")</f>
        <v/>
      </c>
      <c r="E34" s="614"/>
      <c r="F34" s="614"/>
      <c r="G34" s="616" t="str">
        <f>IF(NeoBerInfB!F22/10&gt;0,NeoBerInfB!F22/10&amp;" ml/uur","")</f>
        <v/>
      </c>
      <c r="H34" s="610" t="str">
        <f>IF(AND(NeoBerInfB!H22&gt;0),ROUND(NeoBerInfB!H22,2),"")</f>
        <v/>
      </c>
      <c r="I34" s="610">
        <f>IF(Var_Neo_InfB_Medicament_1&gt;0,INDEX(tbl_Neo_MedIV,NeoBerInfB!B22,6),"")</f>
        <v>0</v>
      </c>
      <c r="J34" s="617"/>
      <c r="K34" s="618">
        <f>INDEX(tbl_Neo_MedIV,NeoBerInfB!B22,2)</f>
        <v>0</v>
      </c>
      <c r="L34" s="618"/>
      <c r="M34" s="619"/>
      <c r="N34" s="620" t="str">
        <f>IF(NeoBerInfB!H22&gt;0,IF(NeoBerInfB!X22*10&gt;1,NeoBerInfB!W22&amp;" uren",NeoBerInfB!W22&amp;" minuten"),"")</f>
        <v/>
      </c>
    </row>
    <row r="35" spans="1:14" ht="15.95" customHeight="1" x14ac:dyDescent="0.2">
      <c r="A35" s="606">
        <v>4</v>
      </c>
      <c r="B35" s="614"/>
      <c r="C35" s="615" t="str">
        <f>IF(NeoBerInfB!C23&gt;0,NeoBerInfB!C23/10&amp;" mg","")</f>
        <v/>
      </c>
      <c r="D35" s="615" t="str">
        <f>IF(NeoBerInfB!D23&gt;0,"in "&amp;NeoBerInfB!D23&amp;" ml","")</f>
        <v/>
      </c>
      <c r="E35" s="614"/>
      <c r="F35" s="614"/>
      <c r="G35" s="616" t="str">
        <f>IF(NeoBerInfB!F23/10&gt;0,NeoBerInfB!F23/10&amp;" ml/uur","")</f>
        <v/>
      </c>
      <c r="H35" s="610" t="str">
        <f>IF(AND(NeoBerInfB!H23&gt;0),ROUND(NeoBerInfB!H23,2),"")</f>
        <v/>
      </c>
      <c r="I35" s="610">
        <f>IF(Var_Neo_InfB_Medicament_1&gt;0,INDEX(tbl_Neo_MedIV,NeoBerInfB!B23,6),"")</f>
        <v>0</v>
      </c>
      <c r="J35" s="617"/>
      <c r="K35" s="618">
        <f>INDEX(tbl_Neo_MedIV,NeoBerInfB!B23,2)</f>
        <v>0</v>
      </c>
      <c r="L35" s="618"/>
      <c r="M35" s="619"/>
      <c r="N35" s="620" t="str">
        <f>IF(NeoBerInfB!H23&gt;0,IF(NeoBerInfB!X23*10&gt;1,NeoBerInfB!W23&amp;" uren",NeoBerInfB!W23&amp;" minuten"),"")</f>
        <v/>
      </c>
    </row>
    <row r="36" spans="1:14" ht="15.95" customHeight="1" x14ac:dyDescent="0.2">
      <c r="A36" s="606">
        <v>5</v>
      </c>
      <c r="B36" s="614"/>
      <c r="C36" s="615" t="str">
        <f>IF(NeoBerInfB!C24&gt;0,NeoBerInfB!C24/10&amp;" mg","")</f>
        <v/>
      </c>
      <c r="D36" s="615" t="str">
        <f>IF(NeoBerInfB!D24&gt;0,"in "&amp;NeoBerInfB!D24&amp;" ml","")</f>
        <v/>
      </c>
      <c r="E36" s="614"/>
      <c r="F36" s="614"/>
      <c r="G36" s="616" t="str">
        <f>IF(NeoBerInfB!F24/10&gt;0,NeoBerInfB!F24/10&amp;" ml/uur","")</f>
        <v/>
      </c>
      <c r="H36" s="610" t="str">
        <f>IF(AND(NeoBerInfB!H24&gt;0),ROUND(NeoBerInfB!H24,2),"")</f>
        <v/>
      </c>
      <c r="I36" s="610">
        <f>IF(Var_Neo_InfB_Medicament_1&gt;0,INDEX(tbl_Neo_MedIV,NeoBerInfB!B24,6),"")</f>
        <v>0</v>
      </c>
      <c r="J36" s="617"/>
      <c r="K36" s="618">
        <f>INDEX(tbl_Neo_MedIV,NeoBerInfB!B24,2)</f>
        <v>0</v>
      </c>
      <c r="L36" s="618"/>
      <c r="M36" s="619"/>
      <c r="N36" s="620" t="str">
        <f>IF(NeoBerInfB!H24&gt;0,IF(NeoBerInfB!X24*10&gt;1,NeoBerInfB!W24&amp;" uren",NeoBerInfB!W24&amp;" minuten"),"")</f>
        <v/>
      </c>
    </row>
    <row r="37" spans="1:14" ht="15.95" customHeight="1" x14ac:dyDescent="0.2">
      <c r="A37" s="606">
        <v>6</v>
      </c>
      <c r="B37" s="614"/>
      <c r="C37" s="615" t="str">
        <f>IF(NeoBerInfB!C25&gt;0,NeoBerInfB!C25/10&amp;" mg","")</f>
        <v/>
      </c>
      <c r="D37" s="615" t="str">
        <f>IF(NeoBerInfB!D25&gt;0,"in "&amp;NeoBerInfB!D25&amp;" ml","")</f>
        <v/>
      </c>
      <c r="E37" s="614"/>
      <c r="F37" s="614"/>
      <c r="G37" s="616" t="str">
        <f>IF(NeoBerInfB!F25/10&gt;0,NeoBerInfB!F25/10&amp;" ml/uur","")</f>
        <v/>
      </c>
      <c r="H37" s="610" t="str">
        <f>IF(AND(NeoBerInfB!H25&gt;0),ROUND(NeoBerInfB!H25,2),"")</f>
        <v/>
      </c>
      <c r="I37" s="610">
        <f>IF(Var_Neo_InfB_Medicament_1&gt;0,INDEX(tbl_Neo_MedIV,NeoBerInfB!B25,6),"")</f>
        <v>0</v>
      </c>
      <c r="J37" s="617"/>
      <c r="K37" s="618">
        <f>INDEX(tbl_Neo_MedIV,NeoBerInfB!B25,2)</f>
        <v>0</v>
      </c>
      <c r="L37" s="618"/>
      <c r="M37" s="619"/>
      <c r="N37" s="620" t="str">
        <f>IF(NeoBerInfB!H25&gt;0,IF(NeoBerInfB!X25*10&gt;1,NeoBerInfB!W25&amp;" uren",NeoBerInfB!W25&amp;" minuten"),"")</f>
        <v/>
      </c>
    </row>
    <row r="38" spans="1:14" ht="15.95" customHeight="1" x14ac:dyDescent="0.2">
      <c r="A38" s="606">
        <v>7</v>
      </c>
      <c r="B38" s="614"/>
      <c r="C38" s="615" t="str">
        <f>IF(NeoBerInfB!C26&gt;0,NeoBerInfB!C26/10&amp;" mg","")</f>
        <v/>
      </c>
      <c r="D38" s="615" t="str">
        <f>IF(NeoBerInfB!D26&gt;0,"in "&amp;NeoBerInfB!D26&amp;" ml","")</f>
        <v/>
      </c>
      <c r="E38" s="614"/>
      <c r="F38" s="614"/>
      <c r="G38" s="616" t="str">
        <f>IF(NeoBerInfB!F26/10&gt;0,NeoBerInfB!F26/10&amp;" ml/uur","")</f>
        <v/>
      </c>
      <c r="H38" s="610" t="str">
        <f>IF(AND(NeoBerInfB!H26&gt;0),ROUND(NeoBerInfB!H26,2),"")</f>
        <v/>
      </c>
      <c r="I38" s="610">
        <f>IF(Var_Neo_InfB_Medicament_1&gt;0,INDEX(tbl_Neo_MedIV,NeoBerInfB!B26,6),"")</f>
        <v>0</v>
      </c>
      <c r="J38" s="617"/>
      <c r="K38" s="618">
        <f>INDEX(tbl_Neo_MedIV,NeoBerInfB!B26,2)</f>
        <v>0</v>
      </c>
      <c r="L38" s="618"/>
      <c r="M38" s="619"/>
      <c r="N38" s="620" t="str">
        <f>IF(NeoBerInfB!H26&gt;0,IF(NeoBerInfB!X26*10&gt;1,NeoBerInfB!W26&amp;" uren",NeoBerInfB!W26&amp;" minuten"),"")</f>
        <v/>
      </c>
    </row>
    <row r="39" spans="1:14" ht="15.95" customHeight="1" x14ac:dyDescent="0.2">
      <c r="A39" s="606">
        <v>8</v>
      </c>
      <c r="B39" s="614"/>
      <c r="C39" s="615" t="str">
        <f>IF(NeoBerInfB!C27&gt;0,NeoBerInfB!C27/10&amp;" mg","")</f>
        <v/>
      </c>
      <c r="D39" s="615" t="str">
        <f>IF(NeoBerInfB!D27&gt;0,"in "&amp;NeoBerInfB!D27&amp;" ml","")</f>
        <v/>
      </c>
      <c r="E39" s="614"/>
      <c r="F39" s="614"/>
      <c r="G39" s="616" t="str">
        <f>IF(NeoBerInfB!F27/10&gt;0,NeoBerInfB!F27/10&amp;" ml/uur","")</f>
        <v/>
      </c>
      <c r="H39" s="610" t="str">
        <f>IF(AND(NeoBerInfB!H27&gt;0),ROUND(NeoBerInfB!H27,2),"")</f>
        <v/>
      </c>
      <c r="I39" s="610">
        <f>IF(Var_Neo_InfB_Medicament_1&gt;0,INDEX(tbl_Neo_MedIV,NeoBerInfB!B27,6),"")</f>
        <v>0</v>
      </c>
      <c r="J39" s="617"/>
      <c r="K39" s="618">
        <f>INDEX(tbl_Neo_MedIV,NeoBerInfB!B27,2)</f>
        <v>0</v>
      </c>
      <c r="L39" s="618"/>
      <c r="M39" s="619"/>
      <c r="N39" s="620" t="str">
        <f>IF(NeoBerInfB!H27&gt;0,IF(NeoBerInfB!X27*10&gt;1,NeoBerInfB!W27&amp;" uren",NeoBerInfB!W27&amp;" minuten"),"")</f>
        <v/>
      </c>
    </row>
    <row r="40" spans="1:14" ht="15.95" customHeight="1" x14ac:dyDescent="0.2">
      <c r="A40" s="606">
        <v>9</v>
      </c>
      <c r="B40" s="614"/>
      <c r="C40" s="615" t="str">
        <f>IF(NeoBerInfB!C28&gt;0,NeoBerInfB!C28/10&amp;" mg","")</f>
        <v/>
      </c>
      <c r="D40" s="615" t="str">
        <f>IF(NeoBerInfB!D28&gt;0,"in "&amp;NeoBerInfB!D28&amp;" ml","")</f>
        <v/>
      </c>
      <c r="E40" s="614"/>
      <c r="F40" s="609"/>
      <c r="G40" s="611" t="str">
        <f>IF(NeoBerInfB!F28/10&gt;0,NeoBerInfB!F28/10&amp;" ml/uur","")</f>
        <v/>
      </c>
      <c r="H40" s="610" t="str">
        <f>IF(AND(NeoBerInfB!H28&gt;0),ROUND(NeoBerInfB!H28,2),"")</f>
        <v/>
      </c>
      <c r="I40" s="610">
        <f>IF(Var_Neo_InfB_Medicament_1&gt;0,INDEX(tbl_Neo_MedIV,NeoBerInfB!B28,6),"")</f>
        <v>0</v>
      </c>
      <c r="J40" s="308"/>
      <c r="K40" s="618">
        <f>INDEX(tbl_Neo_MedIV,NeoBerInfB!B28,2)</f>
        <v>0</v>
      </c>
      <c r="L40" s="618"/>
      <c r="M40" s="619"/>
      <c r="N40" s="620" t="str">
        <f>IF(NeoBerInfB!H28&gt;0,IF(NeoBerInfB!X28*10&gt;1,NeoBerInfB!W28&amp;" uren",NeoBerInfB!W28&amp;" minuten"),"")</f>
        <v/>
      </c>
    </row>
    <row r="41" spans="1:14" ht="9.75" customHeight="1" x14ac:dyDescent="0.2">
      <c r="A41" s="606"/>
      <c r="B41" s="621"/>
      <c r="C41" s="622"/>
      <c r="D41" s="622"/>
      <c r="E41" s="621"/>
      <c r="F41" s="218"/>
      <c r="G41" s="607"/>
      <c r="H41" s="622"/>
      <c r="I41" s="218"/>
      <c r="J41" s="218"/>
      <c r="K41" s="623"/>
      <c r="L41" s="623"/>
      <c r="M41" s="624"/>
      <c r="N41" s="625"/>
    </row>
    <row r="42" spans="1:14" ht="15.95" customHeight="1" x14ac:dyDescent="0.2">
      <c r="A42" s="606">
        <v>10</v>
      </c>
      <c r="B42" s="626" t="s">
        <v>600</v>
      </c>
      <c r="C42" s="610"/>
      <c r="D42" s="610"/>
      <c r="E42" s="610"/>
      <c r="F42" s="610"/>
      <c r="G42" s="611" t="str">
        <f>IF(NeoBerInfB!F29/10&gt;0,NeoBerInfB!F29/10&amp;" ml/uur","")</f>
        <v/>
      </c>
      <c r="H42" s="247" t="str">
        <f>IF(NeoBerInfB!H32&gt;0,"= "&amp;ROUND(NeoBerInfB!H32,2),"")</f>
        <v/>
      </c>
      <c r="I42" s="247"/>
      <c r="J42" s="218"/>
      <c r="K42" s="600"/>
      <c r="L42" s="600"/>
      <c r="M42" s="627"/>
      <c r="N42" s="607"/>
    </row>
    <row r="43" spans="1:14" ht="15.95" customHeight="1" x14ac:dyDescent="0.2">
      <c r="A43" s="606">
        <v>11</v>
      </c>
      <c r="B43" s="626" t="s">
        <v>601</v>
      </c>
      <c r="C43" s="610"/>
      <c r="D43" s="610"/>
      <c r="E43" s="610"/>
      <c r="F43" s="610"/>
      <c r="G43" s="611" t="str">
        <f>IF(NeoBerInfB!F30/10&gt;0,NeoBerInfB!F30/10&amp;" ml/uur","")</f>
        <v/>
      </c>
      <c r="H43" s="247" t="str">
        <f>IF(NeoBerInfB!H33&gt;0,"= "&amp;ROUND(NeoBerInfB!H33,2),"")</f>
        <v/>
      </c>
      <c r="I43" s="247"/>
      <c r="J43" s="218"/>
      <c r="K43" s="600"/>
      <c r="L43" s="600"/>
      <c r="M43" s="627"/>
      <c r="N43" s="607"/>
    </row>
    <row r="44" spans="1:14" ht="15.95" customHeight="1" x14ac:dyDescent="0.2">
      <c r="A44" s="606">
        <v>12</v>
      </c>
      <c r="B44" s="626" t="s">
        <v>602</v>
      </c>
      <c r="C44" s="610"/>
      <c r="D44" s="610"/>
      <c r="E44" s="610"/>
      <c r="F44" s="610"/>
      <c r="G44" s="611" t="str">
        <f>IF(NeoBerInfB!F31/10&gt;0,NeoBerInfB!F31/10&amp;" ml/uur","")</f>
        <v/>
      </c>
      <c r="H44" s="247" t="str">
        <f>IF(NeoBerInfB!H34&gt;0,"= "&amp;ROUND(NeoBerInfB!H34,2),"")</f>
        <v/>
      </c>
      <c r="I44" s="247"/>
      <c r="J44" s="218"/>
      <c r="K44" s="600"/>
      <c r="L44" s="600"/>
      <c r="M44" s="627"/>
      <c r="N44" s="607"/>
    </row>
    <row r="45" spans="1:14" ht="15.95" customHeight="1" x14ac:dyDescent="0.2">
      <c r="A45" s="606">
        <v>13</v>
      </c>
      <c r="B45" s="616" t="str">
        <f>IF(Var_Neo_InfB_MedTekst_1="","",Var_Neo_InfB_MedTekst_1)</f>
        <v/>
      </c>
      <c r="C45" s="615"/>
      <c r="D45" s="615"/>
      <c r="E45" s="615"/>
      <c r="F45" s="615"/>
      <c r="G45" s="615"/>
      <c r="H45" s="610"/>
      <c r="I45" s="610"/>
      <c r="J45" s="218"/>
      <c r="K45" s="600"/>
      <c r="L45" s="600"/>
      <c r="M45" s="627"/>
      <c r="N45" s="607"/>
    </row>
    <row r="46" spans="1:14" ht="15.95" customHeight="1" x14ac:dyDescent="0.2">
      <c r="A46" s="606">
        <v>14</v>
      </c>
      <c r="B46" s="607" t="str">
        <f>IF(Var_Neo_InfB_MedTekst_2="","",Var_Neo_InfB_MedTekst_2)</f>
        <v/>
      </c>
      <c r="C46" s="247"/>
      <c r="D46" s="247"/>
      <c r="E46" s="247"/>
      <c r="F46" s="247"/>
      <c r="G46" s="247"/>
      <c r="H46" s="247"/>
      <c r="I46" s="247"/>
      <c r="J46" s="218"/>
      <c r="K46" s="600"/>
      <c r="L46" s="600"/>
      <c r="M46" s="627"/>
      <c r="N46" s="607"/>
    </row>
    <row r="47" spans="1:14" ht="15.95" customHeight="1" x14ac:dyDescent="0.2">
      <c r="D47" s="257"/>
      <c r="K47" s="628" t="s">
        <v>587</v>
      </c>
      <c r="L47" s="628"/>
    </row>
    <row r="48" spans="1:14" ht="15.95" customHeight="1" x14ac:dyDescent="0.2">
      <c r="B48" s="595"/>
      <c r="C48" s="596"/>
      <c r="D48" s="629"/>
      <c r="E48" s="630" t="str">
        <f ca="1">IF(NeoBerInfB!C35&gt;0,NeoBerInfB!C35&amp;" ml","")</f>
        <v/>
      </c>
      <c r="F48" s="257" t="str">
        <f ca="1">IF(E48&lt;&gt;"",ROUND(NeoBerInfB!C35/(_Pat_Gewicht/10),0)&amp;" ml/ kg","")</f>
        <v/>
      </c>
      <c r="K48" s="599" t="str">
        <f ca="1">IF(NeoBerInfB!B35&gt;0,NeoBerInfB!B35&amp;" ml","")</f>
        <v/>
      </c>
      <c r="L48" s="599"/>
      <c r="M48" s="308"/>
    </row>
    <row r="49" spans="1:13" ht="12" customHeight="1" x14ac:dyDescent="0.2">
      <c r="B49" s="330"/>
      <c r="C49" s="218"/>
      <c r="D49" s="247"/>
      <c r="E49" s="607"/>
    </row>
    <row r="50" spans="1:13" ht="15.75" customHeight="1" x14ac:dyDescent="0.2">
      <c r="B50" s="631"/>
    </row>
    <row r="51" spans="1:13" ht="15.95" customHeight="1" x14ac:dyDescent="0.2">
      <c r="B51" s="335" t="s">
        <v>604</v>
      </c>
    </row>
    <row r="52" spans="1:13" ht="15.75" customHeight="1" x14ac:dyDescent="0.2">
      <c r="B52" s="632" t="s">
        <v>347</v>
      </c>
      <c r="C52" s="308"/>
      <c r="D52" s="308"/>
      <c r="E52" s="613" t="str">
        <f ca="1">IF(NeoBerInfB!$D$36=1,NeoBerInfB!C37&amp;" ml","")</f>
        <v>0 ml</v>
      </c>
      <c r="F52" s="308"/>
      <c r="G52" s="308"/>
      <c r="H52" s="308"/>
      <c r="I52" s="613" t="str">
        <f>IF(NeoBerInfB!$D$36=3,NeoBerInfB!C37&amp;" ml","")</f>
        <v/>
      </c>
      <c r="J52" s="308"/>
      <c r="K52" s="599" t="str">
        <f ca="1">IF(NeoBerInfB!B37&gt;0,NeoBerInfB!B37&amp;" ml","")</f>
        <v/>
      </c>
      <c r="L52" s="599"/>
      <c r="M52" s="308"/>
    </row>
    <row r="53" spans="1:13" ht="15.95" customHeight="1" x14ac:dyDescent="0.2">
      <c r="B53" s="633" t="s">
        <v>605</v>
      </c>
      <c r="C53" s="617"/>
      <c r="D53" s="617"/>
      <c r="E53" s="620" t="str">
        <f ca="1">IF(NeoBerInfB!$D$36=1,NeoBerInfB!C38&amp;" ml","")</f>
        <v>0 ml</v>
      </c>
      <c r="F53" s="617"/>
      <c r="G53" s="617"/>
      <c r="H53" s="617"/>
      <c r="I53" s="620" t="str">
        <f>IF(NeoBerInfB!$D$36=3,NeoBerInfB!C38&amp;" ml","")</f>
        <v/>
      </c>
      <c r="J53" s="617"/>
      <c r="K53" s="618" t="str">
        <f ca="1">IF(NeoBerInfB!B38&gt;0,NeoBerInfB!B38&amp;" ml","")</f>
        <v/>
      </c>
      <c r="L53" s="618"/>
      <c r="M53" s="618"/>
    </row>
    <row r="54" spans="1:13" ht="15.95" customHeight="1" x14ac:dyDescent="0.2">
      <c r="B54" s="633" t="s">
        <v>606</v>
      </c>
      <c r="C54" s="617"/>
      <c r="D54" s="617"/>
      <c r="E54" s="620" t="str">
        <f ca="1">IF(NeoBerInfB!$D$36=1,NeoBerInfB!C39&amp;" ml","")</f>
        <v>0 ml</v>
      </c>
      <c r="F54" s="617"/>
      <c r="G54" s="617"/>
      <c r="H54" s="617"/>
      <c r="I54" s="617"/>
      <c r="J54" s="617"/>
      <c r="K54" s="618" t="str">
        <f ca="1">IF(NeoBerInfB!B39&gt;0,NeoBerInfB!B39&amp;" ml","")</f>
        <v/>
      </c>
      <c r="L54" s="618"/>
      <c r="M54" s="618"/>
    </row>
    <row r="55" spans="1:13" ht="15.95" customHeight="1" x14ac:dyDescent="0.2">
      <c r="B55" s="633" t="s">
        <v>607</v>
      </c>
      <c r="C55" s="617"/>
      <c r="D55" s="617"/>
      <c r="E55" s="620" t="str">
        <f ca="1">IF(NeoBerInfB!$D$36=1,NeoBerInfB!C40&amp;" ml","")</f>
        <v>0 ml</v>
      </c>
      <c r="F55" s="617"/>
      <c r="G55" s="617"/>
      <c r="H55" s="617"/>
      <c r="I55" s="617"/>
      <c r="J55" s="617"/>
      <c r="K55" s="618" t="str">
        <f ca="1">IF(NeoBerInfB!B40&gt;0,NeoBerInfB!B40&amp;" ml","")</f>
        <v/>
      </c>
      <c r="L55" s="618"/>
      <c r="M55" s="618"/>
    </row>
    <row r="56" spans="1:13" ht="15.95" customHeight="1" x14ac:dyDescent="0.2">
      <c r="B56" s="633" t="s">
        <v>210</v>
      </c>
      <c r="C56" s="617"/>
      <c r="D56" s="617"/>
      <c r="E56" s="620" t="str">
        <f ca="1">IF(NeoBerInfB!$D$36=1,NeoBerInfB!C41&amp;" ml","")</f>
        <v>0 ml</v>
      </c>
      <c r="F56" s="617"/>
      <c r="G56" s="617"/>
      <c r="H56" s="617"/>
      <c r="I56" s="617"/>
      <c r="J56" s="617"/>
      <c r="K56" s="618" t="str">
        <f ca="1">IF(NeoBerInfB!B41&gt;0,NeoBerInfB!B41&amp;" ml","")</f>
        <v/>
      </c>
      <c r="L56" s="618"/>
      <c r="M56" s="618"/>
    </row>
    <row r="57" spans="1:13" ht="15.95" customHeight="1" x14ac:dyDescent="0.2">
      <c r="B57" s="633" t="s">
        <v>562</v>
      </c>
      <c r="C57" s="617"/>
      <c r="D57" s="617"/>
      <c r="E57" s="620" t="str">
        <f ca="1">IF(NeoBerInfB!$D$36=1,NeoBerInfB!C42&amp;" ml","")</f>
        <v>0 ml</v>
      </c>
      <c r="F57" s="617"/>
      <c r="G57" s="617"/>
      <c r="H57" s="617"/>
      <c r="I57" s="617"/>
      <c r="J57" s="617"/>
      <c r="K57" s="618" t="str">
        <f ca="1">IF(NeoBerInfB!B42&gt;0,NeoBerInfB!B42&amp;" ml","")</f>
        <v/>
      </c>
      <c r="L57" s="618"/>
      <c r="M57" s="618"/>
    </row>
    <row r="58" spans="1:13" ht="15.95" customHeight="1" x14ac:dyDescent="0.2">
      <c r="B58" s="633" t="s">
        <v>563</v>
      </c>
      <c r="C58" s="617"/>
      <c r="D58" s="617"/>
      <c r="E58" s="617"/>
      <c r="F58" s="617"/>
      <c r="G58" s="620" t="str">
        <f>IF(NeoBerInfB!D36=2,NeoBerInfB!C43&amp;" ml","")</f>
        <v/>
      </c>
      <c r="H58" s="634" t="str">
        <f>IF(G58&lt;&gt;"","("&amp;ROUND(NeoBerInfB!C43/(_Pat_Gewicht/10),0)&amp;" ml/kg)","")</f>
        <v/>
      </c>
      <c r="I58" s="617"/>
      <c r="J58" s="617"/>
      <c r="K58" s="618" t="str">
        <f ca="1">IF(NeoBerInfB!B43&gt;0,NeoBerInfB!B43&amp;" ml","")</f>
        <v/>
      </c>
      <c r="L58" s="618"/>
      <c r="M58" s="618"/>
    </row>
    <row r="59" spans="1:13" ht="15.95" customHeight="1" x14ac:dyDescent="0.2">
      <c r="B59" s="633" t="s">
        <v>345</v>
      </c>
      <c r="C59" s="617"/>
      <c r="D59" s="617"/>
      <c r="E59" s="617"/>
      <c r="F59" s="617"/>
      <c r="G59" s="617"/>
      <c r="H59" s="617"/>
      <c r="I59" s="620" t="str">
        <f>IF(NeoBerInfB!$D$36=3,NeoBerInfB!C44&amp;" ml","")</f>
        <v/>
      </c>
      <c r="J59" s="634" t="str">
        <f>IF(I59&lt;&gt;"","("&amp;ROUND(NeoBerInfB!C44/(_Pat_Gewicht/10),0)&amp;" ml/kg)","")</f>
        <v/>
      </c>
      <c r="K59" s="618" t="str">
        <f ca="1">IF(NeoBerInfB!B44&gt;0,NeoBerInfB!B44&amp;" ml","")</f>
        <v/>
      </c>
      <c r="L59" s="618"/>
      <c r="M59" s="618"/>
    </row>
    <row r="60" spans="1:13" ht="20.100000000000001" customHeight="1" x14ac:dyDescent="0.2">
      <c r="B60" s="617"/>
      <c r="C60" s="617"/>
      <c r="D60" s="617"/>
      <c r="E60" s="635">
        <f>IF(NeoBerInfB!D36=1,NeoBerInfB!K45,"")</f>
        <v>0</v>
      </c>
      <c r="F60" s="617" t="str">
        <f>IF(E60&lt;&gt;"","ml","")</f>
        <v>ml</v>
      </c>
      <c r="G60" s="635" t="str">
        <f>IF(NeoBerInfB!D36=2,NeoBerInfB!K45,"")</f>
        <v/>
      </c>
      <c r="H60" s="617" t="str">
        <f>IF(G60&lt;&gt;"","ml","")</f>
        <v/>
      </c>
      <c r="I60" s="635" t="str">
        <f>IF(NeoBerInfB!D36=3,NeoBerInfB!K45,"")</f>
        <v/>
      </c>
      <c r="J60" s="617" t="str">
        <f>IF(I60&lt;&gt;"","ml","")</f>
        <v/>
      </c>
      <c r="K60" s="618"/>
      <c r="L60" s="618"/>
      <c r="M60" s="618"/>
    </row>
    <row r="63" spans="1:13" ht="15.95" customHeight="1" x14ac:dyDescent="0.2">
      <c r="B63" s="596"/>
      <c r="C63" s="596"/>
      <c r="D63" s="596"/>
      <c r="E63" s="596"/>
      <c r="F63" s="596"/>
      <c r="G63" s="596"/>
      <c r="H63" s="596"/>
      <c r="I63" s="596"/>
      <c r="J63" s="596"/>
      <c r="K63" s="218"/>
      <c r="L63" s="218"/>
      <c r="M63" s="218"/>
    </row>
    <row r="64" spans="1:13" ht="15.95" customHeight="1" x14ac:dyDescent="0.2">
      <c r="A64" s="636"/>
      <c r="B64" s="637" t="s">
        <v>122</v>
      </c>
      <c r="C64" s="638"/>
      <c r="D64" s="638"/>
      <c r="E64" s="638"/>
      <c r="F64" s="638"/>
      <c r="G64" s="638"/>
      <c r="H64" s="638"/>
      <c r="I64" s="638"/>
      <c r="J64" s="638"/>
      <c r="K64" s="218"/>
      <c r="L64" s="218"/>
      <c r="M64" s="218"/>
    </row>
    <row r="65" spans="1:10" ht="12.75" x14ac:dyDescent="0.2">
      <c r="A65" s="639"/>
      <c r="B65" s="639"/>
      <c r="C65" s="590" t="s">
        <v>390</v>
      </c>
      <c r="D65" s="590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E65" s="590"/>
      <c r="F65" s="590"/>
      <c r="G65" s="590"/>
      <c r="H65" s="590"/>
      <c r="I65" s="590"/>
      <c r="J65" s="590"/>
    </row>
    <row r="66" spans="1:10" s="641" customFormat="1" ht="12.75" x14ac:dyDescent="0.2">
      <c r="A66" s="640"/>
      <c r="B66" s="640"/>
      <c r="C66" s="590" t="s">
        <v>755</v>
      </c>
      <c r="D66" s="590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E66" s="590"/>
      <c r="F66" s="590"/>
      <c r="G66" s="590"/>
      <c r="H66" s="590"/>
      <c r="I66" s="590"/>
      <c r="J66" s="590"/>
    </row>
    <row r="67" spans="1:10" s="641" customFormat="1" ht="12.75" x14ac:dyDescent="0.2">
      <c r="A67" s="640"/>
      <c r="B67" s="640"/>
      <c r="C67" s="590" t="s">
        <v>756</v>
      </c>
      <c r="D67" s="590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E67" s="590"/>
      <c r="F67" s="590"/>
      <c r="G67" s="590"/>
      <c r="H67" s="590"/>
      <c r="I67" s="590"/>
      <c r="J67" s="590"/>
    </row>
    <row r="68" spans="1:10" s="641" customFormat="1" ht="12.75" x14ac:dyDescent="0.2">
      <c r="A68" s="640"/>
      <c r="B68" s="640"/>
      <c r="C68" s="590" t="s">
        <v>757</v>
      </c>
      <c r="D68" s="590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E68" s="590"/>
      <c r="F68" s="590"/>
      <c r="G68" s="590"/>
      <c r="H68" s="590"/>
      <c r="I68" s="590"/>
      <c r="J68" s="590"/>
    </row>
    <row r="69" spans="1:10" s="641" customFormat="1" ht="12.75" x14ac:dyDescent="0.2">
      <c r="A69" s="640"/>
      <c r="B69" s="640"/>
      <c r="C69" s="590" t="s">
        <v>154</v>
      </c>
      <c r="D69" s="590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E69" s="590"/>
      <c r="F69" s="590"/>
      <c r="G69" s="590"/>
      <c r="H69" s="590"/>
      <c r="I69" s="590"/>
      <c r="J69" s="590"/>
    </row>
    <row r="70" spans="1:10" s="641" customFormat="1" ht="12.75" x14ac:dyDescent="0.2">
      <c r="A70" s="640"/>
      <c r="B70" s="640"/>
      <c r="C70" s="590" t="s">
        <v>758</v>
      </c>
      <c r="D70" s="590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E70" s="590"/>
      <c r="F70" s="590"/>
      <c r="G70" s="590"/>
      <c r="H70" s="590"/>
      <c r="I70" s="590"/>
      <c r="J70" s="590"/>
    </row>
    <row r="71" spans="1:10" s="641" customFormat="1" ht="12.75" x14ac:dyDescent="0.2">
      <c r="A71" s="640"/>
      <c r="B71" s="640"/>
      <c r="C71" s="590" t="s">
        <v>1166</v>
      </c>
      <c r="D71" s="590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E71" s="590"/>
      <c r="F71" s="590"/>
      <c r="G71" s="590"/>
      <c r="H71" s="590"/>
      <c r="I71" s="590"/>
      <c r="J71" s="590"/>
    </row>
    <row r="72" spans="1:10" s="641" customFormat="1" ht="12.75" x14ac:dyDescent="0.2">
      <c r="A72" s="640"/>
      <c r="B72" s="640"/>
      <c r="C72" s="590" t="s">
        <v>1168</v>
      </c>
      <c r="D72" s="590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E72" s="590"/>
      <c r="F72" s="590"/>
      <c r="G72" s="590"/>
      <c r="H72" s="590"/>
      <c r="I72" s="590"/>
      <c r="J72" s="590"/>
    </row>
    <row r="73" spans="1:10" s="641" customFormat="1" ht="12.75" x14ac:dyDescent="0.2">
      <c r="A73" s="640"/>
      <c r="B73" s="640"/>
      <c r="C73" s="590" t="s">
        <v>1167</v>
      </c>
      <c r="D73" s="590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E73" s="590"/>
      <c r="F73" s="590"/>
      <c r="G73" s="590"/>
      <c r="H73" s="590"/>
      <c r="I73" s="590"/>
      <c r="J73" s="590"/>
    </row>
    <row r="74" spans="1:10" ht="15.95" customHeight="1" x14ac:dyDescent="0.2">
      <c r="A74" s="639"/>
      <c r="B74" s="639"/>
      <c r="C74" s="590" t="s">
        <v>304</v>
      </c>
      <c r="D74" s="1050" t="str">
        <f>IF(_Neo_Lab_Opm=0,"",_Neo_Lab_Opm)</f>
        <v/>
      </c>
      <c r="E74" s="1050"/>
      <c r="F74" s="1050"/>
      <c r="G74" s="1050"/>
      <c r="H74" s="1050"/>
      <c r="I74" s="1050"/>
      <c r="J74" s="1050"/>
    </row>
    <row r="75" spans="1:10" ht="15.95" customHeight="1" x14ac:dyDescent="0.2">
      <c r="A75" s="638"/>
      <c r="B75" s="638"/>
      <c r="C75" s="642"/>
      <c r="D75" s="1051"/>
      <c r="E75" s="1051"/>
      <c r="F75" s="1051"/>
      <c r="G75" s="1051"/>
      <c r="H75" s="1051"/>
      <c r="I75" s="1051"/>
      <c r="J75" s="1051"/>
    </row>
  </sheetData>
  <mergeCells count="2">
    <mergeCell ref="K3:N6"/>
    <mergeCell ref="D74:J75"/>
  </mergeCells>
  <conditionalFormatting sqref="E60:J60 E28">
    <cfRule type="cellIs" dxfId="6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Afspraken_Vervolgkeuzelijst1_BijWijzigen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190500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Vervolgkeuzelijst2_BijWijzigen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190500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Vervolgkeuzelijst3_BijWijzigen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190500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Vervolgkeuzelijst4_BijWijzigen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190500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Vervolgkeuzelijst5_BijWijzigen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190500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Vervolgkeuzelijst6_BijWijzigen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190500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Vervolgkeuzelijst7_BijWijzigen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190500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7</xdr:col>
                    <xdr:colOff>19050</xdr:colOff>
                    <xdr:row>29</xdr:row>
                    <xdr:rowOff>9525</xdr:rowOff>
                  </from>
                  <to>
                    <xdr:col>7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7</xdr:col>
                    <xdr:colOff>19050</xdr:colOff>
                    <xdr:row>31</xdr:row>
                    <xdr:rowOff>9525</xdr:rowOff>
                  </from>
                  <to>
                    <xdr:col>7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28575</xdr:rowOff>
                  </from>
                  <to>
                    <xdr:col>2</xdr:col>
                    <xdr:colOff>390525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1</xdr:col>
                    <xdr:colOff>209550</xdr:colOff>
                    <xdr:row>21</xdr:row>
                    <xdr:rowOff>38100</xdr:rowOff>
                  </from>
                  <to>
                    <xdr:col>2</xdr:col>
                    <xdr:colOff>390525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4</xdr:col>
                    <xdr:colOff>685800</xdr:colOff>
                    <xdr:row>20</xdr:row>
                    <xdr:rowOff>9525</xdr:rowOff>
                  </from>
                  <to>
                    <xdr:col>4</xdr:col>
                    <xdr:colOff>809625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6</xdr:col>
                    <xdr:colOff>685800</xdr:colOff>
                    <xdr:row>20</xdr:row>
                    <xdr:rowOff>9525</xdr:rowOff>
                  </from>
                  <to>
                    <xdr:col>6</xdr:col>
                    <xdr:colOff>809625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>
                <anchor moveWithCells="1" sizeWithCells="1">
                  <from>
                    <xdr:col>4</xdr:col>
                    <xdr:colOff>714375</xdr:colOff>
                    <xdr:row>17</xdr:row>
                    <xdr:rowOff>9525</xdr:rowOff>
                  </from>
                  <to>
                    <xdr:col>5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Option Button 22">
              <controlPr defaultSize="0" autoFill="0" autoLine="0" autoPict="0">
                <anchor moveWithCells="1">
                  <from>
                    <xdr:col>3</xdr:col>
                    <xdr:colOff>657225</xdr:colOff>
                    <xdr:row>49</xdr:row>
                    <xdr:rowOff>180975</xdr:rowOff>
                  </from>
                  <to>
                    <xdr:col>4</xdr:col>
                    <xdr:colOff>647700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Option Button 23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171450</xdr:rowOff>
                  </from>
                  <to>
                    <xdr:col>7</xdr:col>
                    <xdr:colOff>209550</xdr:colOff>
                    <xdr:row>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Option Button 24">
              <controlPr defaultSize="0" autoFill="0" autoLine="0" autoPict="0">
                <anchor moveWithCells="1">
                  <from>
                    <xdr:col>8</xdr:col>
                    <xdr:colOff>9525</xdr:colOff>
                    <xdr:row>49</xdr:row>
                    <xdr:rowOff>180975</xdr:rowOff>
                  </from>
                  <to>
                    <xdr:col>9</xdr:col>
                    <xdr:colOff>314325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Spinner 25">
              <controlPr defaultSize="0" autoPict="0">
                <anchor moveWithCells="1" sizeWithCells="1">
                  <from>
                    <xdr:col>4</xdr:col>
                    <xdr:colOff>685800</xdr:colOff>
                    <xdr:row>51</xdr:row>
                    <xdr:rowOff>0</xdr:rowOff>
                  </from>
                  <to>
                    <xdr:col>4</xdr:col>
                    <xdr:colOff>809625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Spinner 26">
              <controlPr defaultSize="0" autoPict="0">
                <anchor moveWithCells="1" sizeWithCells="1">
                  <from>
                    <xdr:col>4</xdr:col>
                    <xdr:colOff>685800</xdr:colOff>
                    <xdr:row>52</xdr:row>
                    <xdr:rowOff>0</xdr:rowOff>
                  </from>
                  <to>
                    <xdr:col>4</xdr:col>
                    <xdr:colOff>809625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Spinner 27">
              <controlPr defaultSize="0" autoPict="0">
                <anchor moveWithCells="1" sizeWithCells="1">
                  <from>
                    <xdr:col>4</xdr:col>
                    <xdr:colOff>685800</xdr:colOff>
                    <xdr:row>53</xdr:row>
                    <xdr:rowOff>0</xdr:rowOff>
                  </from>
                  <to>
                    <xdr:col>4</xdr:col>
                    <xdr:colOff>809625</xdr:colOff>
                    <xdr:row>53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Spinner 28">
              <controlPr defaultSize="0" autoPict="0">
                <anchor moveWithCells="1" sizeWithCells="1">
                  <from>
                    <xdr:col>4</xdr:col>
                    <xdr:colOff>685800</xdr:colOff>
                    <xdr:row>54</xdr:row>
                    <xdr:rowOff>0</xdr:rowOff>
                  </from>
                  <to>
                    <xdr:col>4</xdr:col>
                    <xdr:colOff>809625</xdr:colOff>
                    <xdr:row>54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Spinner 29">
              <controlPr defaultSize="0" autoPict="0">
                <anchor moveWithCells="1" sizeWithCells="1">
                  <from>
                    <xdr:col>4</xdr:col>
                    <xdr:colOff>685800</xdr:colOff>
                    <xdr:row>55</xdr:row>
                    <xdr:rowOff>0</xdr:rowOff>
                  </from>
                  <to>
                    <xdr:col>4</xdr:col>
                    <xdr:colOff>809625</xdr:colOff>
                    <xdr:row>55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Spinner 30">
              <controlPr defaultSize="0" autoPict="0">
                <anchor moveWithCells="1" sizeWithCells="1">
                  <from>
                    <xdr:col>4</xdr:col>
                    <xdr:colOff>685800</xdr:colOff>
                    <xdr:row>56</xdr:row>
                    <xdr:rowOff>0</xdr:rowOff>
                  </from>
                  <to>
                    <xdr:col>4</xdr:col>
                    <xdr:colOff>809625</xdr:colOff>
                    <xdr:row>56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3" name="Spinner 31">
              <controlPr defaultSize="0" autoPict="0">
                <anchor moveWithCells="1" sizeWithCells="1">
                  <from>
                    <xdr:col>6</xdr:col>
                    <xdr:colOff>704850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4" name="Spinner 32">
              <controlPr defaultSize="0" autoPict="0">
                <anchor moveWithCells="1" sizeWithCells="1">
                  <from>
                    <xdr:col>8</xdr:col>
                    <xdr:colOff>695325</xdr:colOff>
                    <xdr:row>51</xdr:row>
                    <xdr:rowOff>0</xdr:rowOff>
                  </from>
                  <to>
                    <xdr:col>8</xdr:col>
                    <xdr:colOff>819150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5" name="Spinner 33">
              <controlPr defaultSize="0" autoPict="0">
                <anchor moveWithCells="1" sizeWithCells="1">
                  <from>
                    <xdr:col>8</xdr:col>
                    <xdr:colOff>695325</xdr:colOff>
                    <xdr:row>52</xdr:row>
                    <xdr:rowOff>0</xdr:rowOff>
                  </from>
                  <to>
                    <xdr:col>8</xdr:col>
                    <xdr:colOff>819150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6" name="Spinner 34">
              <controlPr defaultSize="0" autoPict="0">
                <anchor moveWithCells="1" sizeWithCells="1">
                  <from>
                    <xdr:col>8</xdr:col>
                    <xdr:colOff>695325</xdr:colOff>
                    <xdr:row>58</xdr:row>
                    <xdr:rowOff>0</xdr:rowOff>
                  </from>
                  <to>
                    <xdr:col>8</xdr:col>
                    <xdr:colOff>819150</xdr:colOff>
                    <xdr:row>58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7" name="Option Button 35">
              <controlPr defaultSize="0" autoFill="0" autoLine="0" autoPict="0">
                <anchor moveWithCells="1">
                  <from>
                    <xdr:col>2</xdr:col>
                    <xdr:colOff>171450</xdr:colOff>
                    <xdr:row>17</xdr:row>
                    <xdr:rowOff>180975</xdr:rowOff>
                  </from>
                  <to>
                    <xdr:col>2</xdr:col>
                    <xdr:colOff>781050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8" name="Option Button 36">
              <controlPr defaultSize="0" autoFill="0" autoLine="0" autoPict="0">
                <anchor moveWithCells="1">
                  <from>
                    <xdr:col>2</xdr:col>
                    <xdr:colOff>552450</xdr:colOff>
                    <xdr:row>17</xdr:row>
                    <xdr:rowOff>180975</xdr:rowOff>
                  </from>
                  <to>
                    <xdr:col>3</xdr:col>
                    <xdr:colOff>333375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9" name="Drop Down 37">
              <controlPr defaultSize="0" autoLine="0" autoPict="0">
                <anchor moveWithCells="1">
                  <from>
                    <xdr:col>4</xdr:col>
                    <xdr:colOff>323850</xdr:colOff>
                    <xdr:row>31</xdr:row>
                    <xdr:rowOff>0</xdr:rowOff>
                  </from>
                  <to>
                    <xdr:col>5</xdr:col>
                    <xdr:colOff>609600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0" name="Drop Down 38">
              <controlPr defaultSize="0" autoLine="0" autoPict="0">
                <anchor moveWithCells="1">
                  <from>
                    <xdr:col>4</xdr:col>
                    <xdr:colOff>323850</xdr:colOff>
                    <xdr:row>32</xdr:row>
                    <xdr:rowOff>0</xdr:rowOff>
                  </from>
                  <to>
                    <xdr:col>5</xdr:col>
                    <xdr:colOff>609600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1" name="Drop Down 39">
              <controlPr defaultSize="0" autoLine="0" autoPict="0">
                <anchor moveWithCells="1">
                  <from>
                    <xdr:col>4</xdr:col>
                    <xdr:colOff>323850</xdr:colOff>
                    <xdr:row>33</xdr:row>
                    <xdr:rowOff>0</xdr:rowOff>
                  </from>
                  <to>
                    <xdr:col>5</xdr:col>
                    <xdr:colOff>609600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2" name="Drop Down 40">
              <controlPr defaultSize="0" autoLine="0" autoPict="0">
                <anchor moveWithCells="1">
                  <from>
                    <xdr:col>4</xdr:col>
                    <xdr:colOff>323850</xdr:colOff>
                    <xdr:row>34</xdr:row>
                    <xdr:rowOff>0</xdr:rowOff>
                  </from>
                  <to>
                    <xdr:col>5</xdr:col>
                    <xdr:colOff>609600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3" name="Drop Down 41">
              <controlPr defaultSize="0" autoLine="0" autoPict="0">
                <anchor moveWithCells="1">
                  <from>
                    <xdr:col>4</xdr:col>
                    <xdr:colOff>323850</xdr:colOff>
                    <xdr:row>35</xdr:row>
                    <xdr:rowOff>0</xdr:rowOff>
                  </from>
                  <to>
                    <xdr:col>5</xdr:col>
                    <xdr:colOff>609600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4" name="Drop Down 42">
              <controlPr defaultSize="0" autoLine="0" autoPict="0">
                <anchor moveWithCells="1">
                  <from>
                    <xdr:col>4</xdr:col>
                    <xdr:colOff>323850</xdr:colOff>
                    <xdr:row>36</xdr:row>
                    <xdr:rowOff>0</xdr:rowOff>
                  </from>
                  <to>
                    <xdr:col>5</xdr:col>
                    <xdr:colOff>609600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5" name="Spinner 43">
              <controlPr defaultSize="0" autoPict="0">
                <anchor moveWithCells="1" sizeWithCells="1">
                  <from>
                    <xdr:col>4</xdr:col>
                    <xdr:colOff>152400</xdr:colOff>
                    <xdr:row>31</xdr:row>
                    <xdr:rowOff>0</xdr:rowOff>
                  </from>
                  <to>
                    <xdr:col>4</xdr:col>
                    <xdr:colOff>276225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6" name="Spinner 44">
              <controlPr defaultSize="0" autoPict="0">
                <anchor moveWithCells="1" sizeWithCells="1">
                  <from>
                    <xdr:col>4</xdr:col>
                    <xdr:colOff>152400</xdr:colOff>
                    <xdr:row>32</xdr:row>
                    <xdr:rowOff>0</xdr:rowOff>
                  </from>
                  <to>
                    <xdr:col>4</xdr:col>
                    <xdr:colOff>276225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7" name="Spinner 45">
              <controlPr defaultSize="0" autoPict="0">
                <anchor moveWithCells="1" sizeWithCells="1">
                  <from>
                    <xdr:col>4</xdr:col>
                    <xdr:colOff>152400</xdr:colOff>
                    <xdr:row>33</xdr:row>
                    <xdr:rowOff>0</xdr:rowOff>
                  </from>
                  <to>
                    <xdr:col>4</xdr:col>
                    <xdr:colOff>276225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8" name="Spinner 46">
              <controlPr defaultSize="0" autoPict="0">
                <anchor moveWithCells="1" sizeWithCells="1">
                  <from>
                    <xdr:col>4</xdr:col>
                    <xdr:colOff>152400</xdr:colOff>
                    <xdr:row>34</xdr:row>
                    <xdr:rowOff>0</xdr:rowOff>
                  </from>
                  <to>
                    <xdr:col>4</xdr:col>
                    <xdr:colOff>276225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9" name="Spinner 47">
              <controlPr defaultSize="0" autoPict="0">
                <anchor moveWithCells="1" sizeWithCells="1">
                  <from>
                    <xdr:col>4</xdr:col>
                    <xdr:colOff>152400</xdr:colOff>
                    <xdr:row>35</xdr:row>
                    <xdr:rowOff>0</xdr:rowOff>
                  </from>
                  <to>
                    <xdr:col>4</xdr:col>
                    <xdr:colOff>276225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0" name="Spinner 48">
              <controlPr defaultSize="0" autoPict="0">
                <anchor moveWithCells="1" sizeWithCells="1">
                  <from>
                    <xdr:col>4</xdr:col>
                    <xdr:colOff>152400</xdr:colOff>
                    <xdr:row>36</xdr:row>
                    <xdr:rowOff>0</xdr:rowOff>
                  </from>
                  <to>
                    <xdr:col>4</xdr:col>
                    <xdr:colOff>276225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1" name="Spinner 49">
              <controlPr defaultSize="0" autoPict="0">
                <anchor moveWithCells="1" sizeWithCells="1">
                  <from>
                    <xdr:col>4</xdr:col>
                    <xdr:colOff>152400</xdr:colOff>
                    <xdr:row>37</xdr:row>
                    <xdr:rowOff>0</xdr:rowOff>
                  </from>
                  <to>
                    <xdr:col>4</xdr:col>
                    <xdr:colOff>276225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2" name="Spinner 50">
              <controlPr defaultSize="0" autoPict="0">
                <anchor moveWithCells="1" sizeWithCells="1">
                  <from>
                    <xdr:col>3</xdr:col>
                    <xdr:colOff>9525</xdr:colOff>
                    <xdr:row>30</xdr:row>
                    <xdr:rowOff>85725</xdr:rowOff>
                  </from>
                  <to>
                    <xdr:col>3</xdr:col>
                    <xdr:colOff>133350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3" name="Spinner 51">
              <controlPr defaultSize="0" autoPict="0">
                <anchor moveWithCells="1" sizeWithCells="1">
                  <from>
                    <xdr:col>3</xdr:col>
                    <xdr:colOff>9525</xdr:colOff>
                    <xdr:row>31</xdr:row>
                    <xdr:rowOff>190500</xdr:rowOff>
                  </from>
                  <to>
                    <xdr:col>3</xdr:col>
                    <xdr:colOff>133350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4" name="Spinner 52">
              <controlPr defaultSize="0" autoPict="0">
                <anchor moveWithCells="1" sizeWithCells="1">
                  <from>
                    <xdr:col>3</xdr:col>
                    <xdr:colOff>9525</xdr:colOff>
                    <xdr:row>32</xdr:row>
                    <xdr:rowOff>190500</xdr:rowOff>
                  </from>
                  <to>
                    <xdr:col>3</xdr:col>
                    <xdr:colOff>133350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5" name="Spinner 53">
              <controlPr defaultSize="0" autoPict="0">
                <anchor moveWithCells="1" sizeWithCells="1">
                  <from>
                    <xdr:col>3</xdr:col>
                    <xdr:colOff>9525</xdr:colOff>
                    <xdr:row>33</xdr:row>
                    <xdr:rowOff>190500</xdr:rowOff>
                  </from>
                  <to>
                    <xdr:col>3</xdr:col>
                    <xdr:colOff>133350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6" name="Spinner 54">
              <controlPr defaultSize="0" autoPict="0">
                <anchor moveWithCells="1" sizeWithCells="1">
                  <from>
                    <xdr:col>3</xdr:col>
                    <xdr:colOff>9525</xdr:colOff>
                    <xdr:row>34</xdr:row>
                    <xdr:rowOff>190500</xdr:rowOff>
                  </from>
                  <to>
                    <xdr:col>3</xdr:col>
                    <xdr:colOff>133350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7" name="Spinner 55">
              <controlPr defaultSize="0" autoPict="0">
                <anchor moveWithCells="1" sizeWithCells="1">
                  <from>
                    <xdr:col>3</xdr:col>
                    <xdr:colOff>9525</xdr:colOff>
                    <xdr:row>35</xdr:row>
                    <xdr:rowOff>190500</xdr:rowOff>
                  </from>
                  <to>
                    <xdr:col>3</xdr:col>
                    <xdr:colOff>133350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8" name="Spinner 56">
              <controlPr defaultSize="0" autoPict="0">
                <anchor moveWithCells="1" sizeWithCells="1">
                  <from>
                    <xdr:col>3</xdr:col>
                    <xdr:colOff>9525</xdr:colOff>
                    <xdr:row>36</xdr:row>
                    <xdr:rowOff>190500</xdr:rowOff>
                  </from>
                  <to>
                    <xdr:col>3</xdr:col>
                    <xdr:colOff>133350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9" name="Group Box 57">
              <controlPr defaultSize="0" autoFill="0" autoPict="0">
                <anchor moveWithCells="1">
                  <from>
                    <xdr:col>1</xdr:col>
                    <xdr:colOff>152400</xdr:colOff>
                    <xdr:row>19</xdr:row>
                    <xdr:rowOff>152400</xdr:rowOff>
                  </from>
                  <to>
                    <xdr:col>2</xdr:col>
                    <xdr:colOff>723900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0" name="Group Box 58">
              <controlPr defaultSize="0" autoFill="0" autoPict="0">
                <anchor moveWithCells="1">
                  <from>
                    <xdr:col>3</xdr:col>
                    <xdr:colOff>9525</xdr:colOff>
                    <xdr:row>49</xdr:row>
                    <xdr:rowOff>76200</xdr:rowOff>
                  </from>
                  <to>
                    <xdr:col>9</xdr:col>
                    <xdr:colOff>447675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1" name="Check Box 59">
              <controlPr defaultSize="0" autoFill="0" autoLine="0" autoPict="0">
                <anchor moveWithCells="1">
                  <from>
                    <xdr:col>9</xdr:col>
                    <xdr:colOff>295275</xdr:colOff>
                    <xdr:row>29</xdr:row>
                    <xdr:rowOff>0</xdr:rowOff>
                  </from>
                  <to>
                    <xdr:col>9</xdr:col>
                    <xdr:colOff>600075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2" name="Check Box 60">
              <controlPr defaultSize="0" autoFill="0" autoLine="0" autoPict="0">
                <anchor moveWithCells="1">
                  <from>
                    <xdr:col>9</xdr:col>
                    <xdr:colOff>295275</xdr:colOff>
                    <xdr:row>31</xdr:row>
                    <xdr:rowOff>0</xdr:rowOff>
                  </from>
                  <to>
                    <xdr:col>9</xdr:col>
                    <xdr:colOff>600075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3" name="Check Box 61">
              <controlPr defaultSize="0" autoFill="0" autoLine="0" autoPict="0">
                <anchor moveWithCells="1">
                  <from>
                    <xdr:col>9</xdr:col>
                    <xdr:colOff>295275</xdr:colOff>
                    <xdr:row>32</xdr:row>
                    <xdr:rowOff>0</xdr:rowOff>
                  </from>
                  <to>
                    <xdr:col>9</xdr:col>
                    <xdr:colOff>600075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4" name="Check Box 62">
              <controlPr defaultSize="0" autoFill="0" autoLine="0" autoPict="0">
                <anchor moveWithCells="1">
                  <from>
                    <xdr:col>9</xdr:col>
                    <xdr:colOff>295275</xdr:colOff>
                    <xdr:row>33</xdr:row>
                    <xdr:rowOff>0</xdr:rowOff>
                  </from>
                  <to>
                    <xdr:col>9</xdr:col>
                    <xdr:colOff>600075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5" name="Check Box 63">
              <controlPr defaultSize="0" autoFill="0" autoLine="0" autoPict="0">
                <anchor moveWithCells="1">
                  <from>
                    <xdr:col>9</xdr:col>
                    <xdr:colOff>295275</xdr:colOff>
                    <xdr:row>34</xdr:row>
                    <xdr:rowOff>0</xdr:rowOff>
                  </from>
                  <to>
                    <xdr:col>9</xdr:col>
                    <xdr:colOff>600075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6" name="Check Box 64">
              <controlPr defaultSize="0" autoFill="0" autoLine="0" autoPict="0">
                <anchor moveWithCells="1">
                  <from>
                    <xdr:col>9</xdr:col>
                    <xdr:colOff>295275</xdr:colOff>
                    <xdr:row>35</xdr:row>
                    <xdr:rowOff>0</xdr:rowOff>
                  </from>
                  <to>
                    <xdr:col>9</xdr:col>
                    <xdr:colOff>600075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7" name="Check Box 65">
              <controlPr defaultSize="0" autoFill="0" autoLine="0" autoPict="0">
                <anchor moveWithCells="1">
                  <from>
                    <xdr:col>9</xdr:col>
                    <xdr:colOff>295275</xdr:colOff>
                    <xdr:row>36</xdr:row>
                    <xdr:rowOff>0</xdr:rowOff>
                  </from>
                  <to>
                    <xdr:col>9</xdr:col>
                    <xdr:colOff>600075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8" name="Check Box 66">
              <controlPr defaultSize="0" autoFill="0" autoLine="0" autoPict="0">
                <anchor moveWithCells="1">
                  <from>
                    <xdr:col>9</xdr:col>
                    <xdr:colOff>295275</xdr:colOff>
                    <xdr:row>37</xdr:row>
                    <xdr:rowOff>0</xdr:rowOff>
                  </from>
                  <to>
                    <xdr:col>9</xdr:col>
                    <xdr:colOff>600075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9" name="Drop Down 67">
              <controlPr defaultSize="0" autoLine="0" autoPict="0" macro="[0]!Vervolgkeuzelijst67_BijWijzigen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190500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0" name="Spinner 68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1" name="Drop Down 69">
              <controlPr defaultSize="0" autoLine="0" autoPict="0">
                <anchor moveWithCells="1">
                  <from>
                    <xdr:col>4</xdr:col>
                    <xdr:colOff>323850</xdr:colOff>
                    <xdr:row>37</xdr:row>
                    <xdr:rowOff>0</xdr:rowOff>
                  </from>
                  <to>
                    <xdr:col>5</xdr:col>
                    <xdr:colOff>609600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2" name="Spinner 70">
              <controlPr defaultSize="0" autoPict="0">
                <anchor moveWithCells="1" sizeWithCells="1">
                  <from>
                    <xdr:col>4</xdr:col>
                    <xdr:colOff>152400</xdr:colOff>
                    <xdr:row>38</xdr:row>
                    <xdr:rowOff>0</xdr:rowOff>
                  </from>
                  <to>
                    <xdr:col>4</xdr:col>
                    <xdr:colOff>276225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3" name="Spinner 71">
              <controlPr defaultSize="0" autoPict="0">
                <anchor moveWithCells="1" sizeWithCells="1">
                  <from>
                    <xdr:col>3</xdr:col>
                    <xdr:colOff>9525</xdr:colOff>
                    <xdr:row>37</xdr:row>
                    <xdr:rowOff>190500</xdr:rowOff>
                  </from>
                  <to>
                    <xdr:col>3</xdr:col>
                    <xdr:colOff>133350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4" name="Check Box 72">
              <controlPr defaultSize="0" autoFill="0" autoLine="0" autoPict="0">
                <anchor moveWithCells="1">
                  <from>
                    <xdr:col>9</xdr:col>
                    <xdr:colOff>295275</xdr:colOff>
                    <xdr:row>37</xdr:row>
                    <xdr:rowOff>0</xdr:rowOff>
                  </from>
                  <to>
                    <xdr:col>9</xdr:col>
                    <xdr:colOff>600075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5" name="Check Box 73">
              <controlPr defaultSize="0" autoFill="0" autoLine="0" autoPict="0">
                <anchor moveWithCells="1">
                  <from>
                    <xdr:col>9</xdr:col>
                    <xdr:colOff>295275</xdr:colOff>
                    <xdr:row>38</xdr:row>
                    <xdr:rowOff>0</xdr:rowOff>
                  </from>
                  <to>
                    <xdr:col>9</xdr:col>
                    <xdr:colOff>600075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6" name="Spinner 74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7" name="Drop Down 75">
              <controlPr defaultSize="0" autoLine="0" autoPict="0">
                <anchor moveWithCells="1">
                  <from>
                    <xdr:col>4</xdr:col>
                    <xdr:colOff>323850</xdr:colOff>
                    <xdr:row>38</xdr:row>
                    <xdr:rowOff>0</xdr:rowOff>
                  </from>
                  <to>
                    <xdr:col>5</xdr:col>
                    <xdr:colOff>609600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8" name="Drop Down 76">
              <controlPr defaultSize="0" autoLine="0" autoPict="0">
                <anchor moveWithCells="1">
                  <from>
                    <xdr:col>4</xdr:col>
                    <xdr:colOff>323850</xdr:colOff>
                    <xdr:row>39</xdr:row>
                    <xdr:rowOff>0</xdr:rowOff>
                  </from>
                  <to>
                    <xdr:col>5</xdr:col>
                    <xdr:colOff>609600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9" name="Check Box 77">
              <controlPr defaultSize="0" autoFill="0" autoLine="0" autoPict="0">
                <anchor moveWithCells="1">
                  <from>
                    <xdr:col>9</xdr:col>
                    <xdr:colOff>295275</xdr:colOff>
                    <xdr:row>38</xdr:row>
                    <xdr:rowOff>0</xdr:rowOff>
                  </from>
                  <to>
                    <xdr:col>9</xdr:col>
                    <xdr:colOff>600075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80" name="Check Box 78">
              <controlPr defaultSize="0" autoFill="0" autoLine="0" autoPict="0">
                <anchor moveWithCells="1">
                  <from>
                    <xdr:col>9</xdr:col>
                    <xdr:colOff>295275</xdr:colOff>
                    <xdr:row>39</xdr:row>
                    <xdr:rowOff>0</xdr:rowOff>
                  </from>
                  <to>
                    <xdr:col>9</xdr:col>
                    <xdr:colOff>600075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81" name="Spinner 79">
              <controlPr defaultSize="0" autoPict="0">
                <anchor moveWithCells="1" sizeWithCells="1">
                  <from>
                    <xdr:col>4</xdr:col>
                    <xdr:colOff>695325</xdr:colOff>
                    <xdr:row>47</xdr:row>
                    <xdr:rowOff>0</xdr:rowOff>
                  </from>
                  <to>
                    <xdr:col>4</xdr:col>
                    <xdr:colOff>819150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82" name="Drop Down 80">
              <controlPr defaultSize="0" autoLine="0" autoPict="0">
                <anchor moveWithCells="1">
                  <from>
                    <xdr:col>1</xdr:col>
                    <xdr:colOff>19050</xdr:colOff>
                    <xdr:row>59</xdr:row>
                    <xdr:rowOff>38100</xdr:rowOff>
                  </from>
                  <to>
                    <xdr:col>2</xdr:col>
                    <xdr:colOff>190500</xdr:colOff>
                    <xdr:row>59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9" r:id="rId83" name="Spinner 81">
              <controlPr defaultSize="0" autoPict="0">
                <anchor moveWithCells="1" sizeWithCells="1">
                  <from>
                    <xdr:col>7</xdr:col>
                    <xdr:colOff>685800</xdr:colOff>
                    <xdr:row>12</xdr:row>
                    <xdr:rowOff>9525</xdr:rowOff>
                  </from>
                  <to>
                    <xdr:col>7</xdr:col>
                    <xdr:colOff>809625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0" r:id="rId84" name="Spinner 82">
              <controlPr defaultSize="0" autoPict="0">
                <anchor moveWithCells="1" sizeWithCells="1">
                  <from>
                    <xdr:col>9</xdr:col>
                    <xdr:colOff>685800</xdr:colOff>
                    <xdr:row>12</xdr:row>
                    <xdr:rowOff>9525</xdr:rowOff>
                  </from>
                  <to>
                    <xdr:col>9</xdr:col>
                    <xdr:colOff>809625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5" name="Drop Down 84">
              <controlPr defaultSize="0" autoLine="0" autoPict="0">
                <anchor moveWithCells="1">
                  <from>
                    <xdr:col>8</xdr:col>
                    <xdr:colOff>47625</xdr:colOff>
                    <xdr:row>23</xdr:row>
                    <xdr:rowOff>180975</xdr:rowOff>
                  </from>
                  <to>
                    <xdr:col>9</xdr:col>
                    <xdr:colOff>590550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3" r:id="rId86" name="Drop Down 85">
              <controlPr defaultSize="0" autoLine="0" autoPict="0">
                <anchor moveWithCells="1">
                  <from>
                    <xdr:col>8</xdr:col>
                    <xdr:colOff>57150</xdr:colOff>
                    <xdr:row>25</xdr:row>
                    <xdr:rowOff>9525</xdr:rowOff>
                  </from>
                  <to>
                    <xdr:col>9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7" name="Pos">
              <controlPr defaultSize="0" autoLine="0" autoPict="0">
                <anchor moveWithCells="1">
                  <from>
                    <xdr:col>8</xdr:col>
                    <xdr:colOff>66675</xdr:colOff>
                    <xdr:row>20</xdr:row>
                    <xdr:rowOff>9525</xdr:rowOff>
                  </from>
                  <to>
                    <xdr:col>10</xdr:col>
                    <xdr:colOff>685800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8" name="Spinner 91">
              <controlPr defaultSize="0" autoPict="0">
                <anchor moveWithCells="1" sizeWithCells="1">
                  <from>
                    <xdr:col>4</xdr:col>
                    <xdr:colOff>685800</xdr:colOff>
                    <xdr:row>21</xdr:row>
                    <xdr:rowOff>9525</xdr:rowOff>
                  </from>
                  <to>
                    <xdr:col>4</xdr:col>
                    <xdr:colOff>809625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9" name="Spinner 92">
              <controlPr defaultSize="0" autoPict="0">
                <anchor moveWithCells="1" sizeWithCells="1">
                  <from>
                    <xdr:col>6</xdr:col>
                    <xdr:colOff>685800</xdr:colOff>
                    <xdr:row>21</xdr:row>
                    <xdr:rowOff>9525</xdr:rowOff>
                  </from>
                  <to>
                    <xdr:col>6</xdr:col>
                    <xdr:colOff>809625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90" name="Drop Down 93">
              <controlPr defaultSize="0" autoLine="0" autoPict="0">
                <anchor moveWithCells="1">
                  <from>
                    <xdr:col>8</xdr:col>
                    <xdr:colOff>47625</xdr:colOff>
                    <xdr:row>24</xdr:row>
                    <xdr:rowOff>180975</xdr:rowOff>
                  </from>
                  <to>
                    <xdr:col>9</xdr:col>
                    <xdr:colOff>590550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91" name="Drop Down 94">
              <controlPr defaultSize="0" autoLine="0" autoPict="0">
                <anchor moveWithCells="1">
                  <from>
                    <xdr:col>8</xdr:col>
                    <xdr:colOff>47625</xdr:colOff>
                    <xdr:row>25</xdr:row>
                    <xdr:rowOff>180975</xdr:rowOff>
                  </from>
                  <to>
                    <xdr:col>9</xdr:col>
                    <xdr:colOff>590550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92" name="Drop Down 97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190500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93" name="Spinner 98">
              <controlPr defaultSize="0" autoPict="0">
                <anchor moveWithCells="1" sizeWithCells="1">
                  <from>
                    <xdr:col>4</xdr:col>
                    <xdr:colOff>152400</xdr:colOff>
                    <xdr:row>39</xdr:row>
                    <xdr:rowOff>0</xdr:rowOff>
                  </from>
                  <to>
                    <xdr:col>4</xdr:col>
                    <xdr:colOff>276225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94" name="Spinner 99">
              <controlPr defaultSize="0" autoPict="0">
                <anchor moveWithCells="1" sizeWithCells="1">
                  <from>
                    <xdr:col>3</xdr:col>
                    <xdr:colOff>9525</xdr:colOff>
                    <xdr:row>38</xdr:row>
                    <xdr:rowOff>190500</xdr:rowOff>
                  </from>
                  <to>
                    <xdr:col>3</xdr:col>
                    <xdr:colOff>133350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95" name="Drop Down 100">
              <controlPr defaultSize="0" autoLine="0" autoPict="0">
                <anchor moveWithCells="1">
                  <from>
                    <xdr:col>4</xdr:col>
                    <xdr:colOff>323850</xdr:colOff>
                    <xdr:row>39</xdr:row>
                    <xdr:rowOff>0</xdr:rowOff>
                  </from>
                  <to>
                    <xdr:col>5</xdr:col>
                    <xdr:colOff>609600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6" name="Drop Down 101">
              <controlPr defaultSize="0" autoLine="0" autoPict="0" macro="[0]!Vervolgkeuzelijst101_BijWijzigen">
                <anchor moveWithCells="1">
                  <from>
                    <xdr:col>4</xdr:col>
                    <xdr:colOff>323850</xdr:colOff>
                    <xdr:row>41</xdr:row>
                    <xdr:rowOff>0</xdr:rowOff>
                  </from>
                  <to>
                    <xdr:col>5</xdr:col>
                    <xdr:colOff>609600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7" name="Spinner 102">
              <controlPr defaultSize="0" autoPict="0">
                <anchor moveWithCells="1" sizeWithCells="1">
                  <from>
                    <xdr:col>7</xdr:col>
                    <xdr:colOff>19050</xdr:colOff>
                    <xdr:row>41</xdr:row>
                    <xdr:rowOff>9525</xdr:rowOff>
                  </from>
                  <to>
                    <xdr:col>7</xdr:col>
                    <xdr:colOff>142875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8" name="Check Box 103">
              <controlPr defaultSize="0" autoFill="0" autoLine="0" autoPict="0">
                <anchor moveWithCells="1">
                  <from>
                    <xdr:col>9</xdr:col>
                    <xdr:colOff>295275</xdr:colOff>
                    <xdr:row>41</xdr:row>
                    <xdr:rowOff>0</xdr:rowOff>
                  </from>
                  <to>
                    <xdr:col>9</xdr:col>
                    <xdr:colOff>600075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9" name="Drop Down 104">
              <controlPr defaultSize="0" autoLine="0" autoPict="0" macro="[0]!Vervolgkeuzelijst104_BijWijzigen">
                <anchor moveWithCells="1">
                  <from>
                    <xdr:col>4</xdr:col>
                    <xdr:colOff>323850</xdr:colOff>
                    <xdr:row>42</xdr:row>
                    <xdr:rowOff>0</xdr:rowOff>
                  </from>
                  <to>
                    <xdr:col>5</xdr:col>
                    <xdr:colOff>609600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100" name="Spinner 105">
              <controlPr defaultSize="0" autoPict="0">
                <anchor moveWithCells="1" sizeWithCells="1">
                  <from>
                    <xdr:col>7</xdr:col>
                    <xdr:colOff>19050</xdr:colOff>
                    <xdr:row>42</xdr:row>
                    <xdr:rowOff>9525</xdr:rowOff>
                  </from>
                  <to>
                    <xdr:col>7</xdr:col>
                    <xdr:colOff>142875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101" name="Check Box 106">
              <controlPr defaultSize="0" autoFill="0" autoLine="0" autoPict="0">
                <anchor moveWithCells="1">
                  <from>
                    <xdr:col>9</xdr:col>
                    <xdr:colOff>295275</xdr:colOff>
                    <xdr:row>42</xdr:row>
                    <xdr:rowOff>0</xdr:rowOff>
                  </from>
                  <to>
                    <xdr:col>9</xdr:col>
                    <xdr:colOff>600075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102" name="Check Box 107">
              <controlPr defaultSize="0" autoFill="0" autoLine="0" autoPict="0">
                <anchor moveWithCells="1">
                  <from>
                    <xdr:col>9</xdr:col>
                    <xdr:colOff>295275</xdr:colOff>
                    <xdr:row>42</xdr:row>
                    <xdr:rowOff>0</xdr:rowOff>
                  </from>
                  <to>
                    <xdr:col>9</xdr:col>
                    <xdr:colOff>600075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103" name="Drop Down 108">
              <controlPr defaultSize="0" autoLine="0" autoPict="0" macro="[0]!Vervolgkeuzelijst108_BijWijzigen">
                <anchor moveWithCells="1">
                  <from>
                    <xdr:col>4</xdr:col>
                    <xdr:colOff>323850</xdr:colOff>
                    <xdr:row>43</xdr:row>
                    <xdr:rowOff>0</xdr:rowOff>
                  </from>
                  <to>
                    <xdr:col>5</xdr:col>
                    <xdr:colOff>609600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104" name="Spinner 109">
              <controlPr defaultSize="0" autoPict="0">
                <anchor moveWithCells="1" sizeWithCells="1">
                  <from>
                    <xdr:col>7</xdr:col>
                    <xdr:colOff>19050</xdr:colOff>
                    <xdr:row>43</xdr:row>
                    <xdr:rowOff>9525</xdr:rowOff>
                  </from>
                  <to>
                    <xdr:col>7</xdr:col>
                    <xdr:colOff>142875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105" name="Check Box 110">
              <controlPr defaultSize="0" autoFill="0" autoLine="0" autoPict="0">
                <anchor moveWithCells="1">
                  <from>
                    <xdr:col>9</xdr:col>
                    <xdr:colOff>295275</xdr:colOff>
                    <xdr:row>43</xdr:row>
                    <xdr:rowOff>0</xdr:rowOff>
                  </from>
                  <to>
                    <xdr:col>9</xdr:col>
                    <xdr:colOff>600075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6" name="Drop Down 112">
              <controlPr defaultSize="0" autoLine="0" autoPict="0">
                <anchor moveWithCells="1">
                  <from>
                    <xdr:col>12</xdr:col>
                    <xdr:colOff>47625</xdr:colOff>
                    <xdr:row>23</xdr:row>
                    <xdr:rowOff>180975</xdr:rowOff>
                  </from>
                  <to>
                    <xdr:col>13</xdr:col>
                    <xdr:colOff>895350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1" r:id="rId107" name="Drop Down 113">
              <controlPr defaultSize="0" autoLine="0" autoPict="0">
                <anchor moveWithCells="1">
                  <from>
                    <xdr:col>12</xdr:col>
                    <xdr:colOff>57150</xdr:colOff>
                    <xdr:row>25</xdr:row>
                    <xdr:rowOff>9525</xdr:rowOff>
                  </from>
                  <to>
                    <xdr:col>13</xdr:col>
                    <xdr:colOff>904875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8" name="Drop Down 118">
              <controlPr defaultSize="0" autoLine="0" autoPict="0">
                <anchor moveWithCells="1">
                  <from>
                    <xdr:col>12</xdr:col>
                    <xdr:colOff>47625</xdr:colOff>
                    <xdr:row>24</xdr:row>
                    <xdr:rowOff>180975</xdr:rowOff>
                  </from>
                  <to>
                    <xdr:col>13</xdr:col>
                    <xdr:colOff>895350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9" name="Drop Down 119">
              <controlPr defaultSize="0" autoLine="0" autoPict="0">
                <anchor moveWithCells="1">
                  <from>
                    <xdr:col>12</xdr:col>
                    <xdr:colOff>47625</xdr:colOff>
                    <xdr:row>25</xdr:row>
                    <xdr:rowOff>180975</xdr:rowOff>
                  </from>
                  <to>
                    <xdr:col>13</xdr:col>
                    <xdr:colOff>895350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0" r:id="rId110" name="Drop Down 122">
              <controlPr defaultSize="0" autoLine="0" autoPict="0" macro="[0]!Voeding_BijWijzigen">
                <anchor moveWithCells="1">
                  <from>
                    <xdr:col>13</xdr:col>
                    <xdr:colOff>1114425</xdr:colOff>
                    <xdr:row>23</xdr:row>
                    <xdr:rowOff>0</xdr:rowOff>
                  </from>
                  <to>
                    <xdr:col>14</xdr:col>
                    <xdr:colOff>533400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3" r:id="rId111" name="Drop Down 125">
              <controlPr defaultSize="0" autoLine="0" autoPict="0">
                <anchor moveWithCells="1">
                  <from>
                    <xdr:col>13</xdr:col>
                    <xdr:colOff>1114425</xdr:colOff>
                    <xdr:row>23</xdr:row>
                    <xdr:rowOff>190500</xdr:rowOff>
                  </from>
                  <to>
                    <xdr:col>15</xdr:col>
                    <xdr:colOff>38100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4" r:id="rId112" name="Drop Down 126">
              <controlPr defaultSize="0" autoLine="0" autoPict="0">
                <anchor moveWithCells="1">
                  <from>
                    <xdr:col>13</xdr:col>
                    <xdr:colOff>1114425</xdr:colOff>
                    <xdr:row>24</xdr:row>
                    <xdr:rowOff>190500</xdr:rowOff>
                  </from>
                  <to>
                    <xdr:col>15</xdr:col>
                    <xdr:colOff>38100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6" r:id="rId113" name="Drop Down 128">
              <controlPr defaultSize="0" autoLine="0" autoPict="0">
                <anchor moveWithCells="1">
                  <from>
                    <xdr:col>13</xdr:col>
                    <xdr:colOff>1114425</xdr:colOff>
                    <xdr:row>25</xdr:row>
                    <xdr:rowOff>190500</xdr:rowOff>
                  </from>
                  <to>
                    <xdr:col>15</xdr:col>
                    <xdr:colOff>38100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14" name="Drop Down 129">
              <controlPr defaultSize="0" autoLine="0" autoPict="0">
                <anchor moveWithCells="1">
                  <from>
                    <xdr:col>8</xdr:col>
                    <xdr:colOff>47625</xdr:colOff>
                    <xdr:row>22</xdr:row>
                    <xdr:rowOff>180975</xdr:rowOff>
                  </from>
                  <to>
                    <xdr:col>9</xdr:col>
                    <xdr:colOff>590550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15" name="Drop Down 131">
              <controlPr defaultSize="0" autoLine="0" autoPict="0">
                <anchor moveWithCells="1">
                  <from>
                    <xdr:col>12</xdr:col>
                    <xdr:colOff>47625</xdr:colOff>
                    <xdr:row>22</xdr:row>
                    <xdr:rowOff>180975</xdr:rowOff>
                  </from>
                  <to>
                    <xdr:col>13</xdr:col>
                    <xdr:colOff>895350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1" r:id="rId116" name="Drop Down 133">
              <controlPr defaultSize="0" autoLine="0" autoPict="0">
                <anchor moveWithCells="1">
                  <from>
                    <xdr:col>13</xdr:col>
                    <xdr:colOff>1114425</xdr:colOff>
                    <xdr:row>22</xdr:row>
                    <xdr:rowOff>190500</xdr:rowOff>
                  </from>
                  <to>
                    <xdr:col>15</xdr:col>
                    <xdr:colOff>38100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2" r:id="rId117" name="Drop Down 13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66675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3" r:id="rId118" name="Drop Down 13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180975</xdr:rowOff>
                  </from>
                  <to>
                    <xdr:col>11</xdr:col>
                    <xdr:colOff>66675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4" r:id="rId119" name="Drop Down 13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180975</xdr:rowOff>
                  </from>
                  <to>
                    <xdr:col>11</xdr:col>
                    <xdr:colOff>66675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5" r:id="rId120" name="Drop Down 13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11</xdr:col>
                    <xdr:colOff>66675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6" r:id="rId121" name="Drop Down 13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180975</xdr:rowOff>
                  </from>
                  <to>
                    <xdr:col>11</xdr:col>
                    <xdr:colOff>66675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22" name="Check Box 140">
              <controlPr defaultSize="0" autoFill="0" autoLine="0" autoPict="0">
                <anchor moveWithCells="1">
                  <from>
                    <xdr:col>1</xdr:col>
                    <xdr:colOff>161925</xdr:colOff>
                    <xdr:row>25</xdr:row>
                    <xdr:rowOff>142875</xdr:rowOff>
                  </from>
                  <to>
                    <xdr:col>2</xdr:col>
                    <xdr:colOff>800100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9" r:id="rId123" name="Spinner 141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24" name="Spinner 142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25" name="Spinner 143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26" name="Spinner 144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27" name="Spinner 145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28" name="Spinner 146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29" name="Spinner 147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30" name="Spinner 148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31" name="Drop Down 149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28575</xdr:colOff>
                    <xdr:row>47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DD022E6-CA7F-414B-90BF-E4BC32099D26}">
            <xm:f>IF(NeoBerInfB!B20&gt;1,IF(AND(H32&lt;&gt;"",H32&gt;=INDEX(tbl_Neo_MedIV,NeoBerInfB!B20,9)),TRUE,FALSE),FALSE)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12CC08A1-8384-4E86-A641-011803A44F1A}">
            <xm:f>IF(AND(C32&lt;&gt;0,G32&lt;&gt;""),IF(AND(H32&gt;=INDEX(tbl_Neo_MedIV,NeoBerInfB!$B20,7),H32&lt;=INDEX(tbl_Neo_MedIV,NeoBerInfB!$B20,8)),TRUE,FALSE),TRUE)=FALSE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/>
  <dimension ref="A1:D118"/>
  <sheetViews>
    <sheetView tabSelected="1" workbookViewId="0">
      <selection activeCell="B2" sqref="B2"/>
    </sheetView>
  </sheetViews>
  <sheetFormatPr defaultRowHeight="12.75" x14ac:dyDescent="0.2"/>
  <cols>
    <col min="1" max="1" width="34.28515625" customWidth="1"/>
    <col min="2" max="2" width="13.85546875" customWidth="1"/>
    <col min="3" max="3" width="27.28515625" customWidth="1"/>
    <col min="4" max="4" width="14.7109375" customWidth="1"/>
  </cols>
  <sheetData>
    <row r="1" spans="1:4" x14ac:dyDescent="0.2">
      <c r="A1" s="321" t="s">
        <v>5173</v>
      </c>
      <c r="B1" s="321" t="s">
        <v>5175</v>
      </c>
      <c r="C1" s="969" t="s">
        <v>5174</v>
      </c>
      <c r="D1" s="321" t="s">
        <v>5175</v>
      </c>
    </row>
    <row r="2" spans="1:4" x14ac:dyDescent="0.2">
      <c r="A2" s="320" t="s">
        <v>3020</v>
      </c>
      <c r="C2" s="320" t="str">
        <f>REPLACE(A2,6,4,"1700")</f>
        <v>_Neo_1700_ArtLijn</v>
      </c>
    </row>
    <row r="3" spans="1:4" x14ac:dyDescent="0.2">
      <c r="A3" s="320" t="s">
        <v>3022</v>
      </c>
      <c r="C3" s="320" t="str">
        <f t="shared" ref="C3:C66" si="0">REPLACE(A3,6,4,"1700")</f>
        <v>_Neo_1700_Arts</v>
      </c>
    </row>
    <row r="4" spans="1:4" x14ac:dyDescent="0.2">
      <c r="A4" s="320" t="s">
        <v>3024</v>
      </c>
      <c r="C4" s="320" t="str">
        <f t="shared" si="0"/>
        <v>_Neo_1700_DagKeuze</v>
      </c>
    </row>
    <row r="5" spans="1:4" x14ac:dyDescent="0.2">
      <c r="A5" s="320" t="s">
        <v>3027</v>
      </c>
      <c r="C5" s="320" t="str">
        <f t="shared" si="0"/>
        <v>_Neo_1700_Fototherapie</v>
      </c>
    </row>
    <row r="6" spans="1:4" x14ac:dyDescent="0.2">
      <c r="A6" s="320" t="s">
        <v>3029</v>
      </c>
      <c r="C6" s="320" t="str">
        <f t="shared" si="0"/>
        <v>_Neo_1700_Frequentie_1</v>
      </c>
    </row>
    <row r="7" spans="1:4" x14ac:dyDescent="0.2">
      <c r="A7" s="320" t="s">
        <v>3030</v>
      </c>
      <c r="C7" s="320" t="str">
        <f t="shared" si="0"/>
        <v>_Neo_1700_Frequentie_2</v>
      </c>
    </row>
    <row r="8" spans="1:4" x14ac:dyDescent="0.2">
      <c r="A8" s="320" t="s">
        <v>3033</v>
      </c>
      <c r="C8" s="320" t="str">
        <f t="shared" si="0"/>
        <v>_Neo_1700_GlucSterkte</v>
      </c>
    </row>
    <row r="9" spans="1:4" x14ac:dyDescent="0.2">
      <c r="A9" s="320" t="s">
        <v>3035</v>
      </c>
      <c r="C9" s="320" t="str">
        <f t="shared" si="0"/>
        <v>_Neo_1700_Hoeveelheid_1</v>
      </c>
    </row>
    <row r="10" spans="1:4" x14ac:dyDescent="0.2">
      <c r="A10" s="320" t="s">
        <v>3036</v>
      </c>
      <c r="C10" s="320" t="str">
        <f t="shared" si="0"/>
        <v>_Neo_1700_Hoeveelheid_2</v>
      </c>
    </row>
    <row r="11" spans="1:4" x14ac:dyDescent="0.2">
      <c r="A11" s="320" t="s">
        <v>3039</v>
      </c>
      <c r="C11" s="320" t="str">
        <f t="shared" si="0"/>
        <v>_Neo_1700_IntakePerKg</v>
      </c>
    </row>
    <row r="12" spans="1:4" x14ac:dyDescent="0.2">
      <c r="A12" s="320" t="s">
        <v>3041</v>
      </c>
      <c r="C12" s="320" t="str">
        <f t="shared" si="0"/>
        <v>_Neo_1700_IntraLipid</v>
      </c>
    </row>
    <row r="13" spans="1:4" x14ac:dyDescent="0.2">
      <c r="A13" s="320" t="s">
        <v>3154</v>
      </c>
      <c r="C13" s="320" t="str">
        <f t="shared" si="0"/>
        <v>_Neo_1700_IntralipidSmof</v>
      </c>
    </row>
    <row r="14" spans="1:4" x14ac:dyDescent="0.2">
      <c r="A14" s="320" t="s">
        <v>3043</v>
      </c>
      <c r="C14" s="320" t="str">
        <f t="shared" si="0"/>
        <v>_Neo_1700_KCl</v>
      </c>
    </row>
    <row r="15" spans="1:4" x14ac:dyDescent="0.2">
      <c r="A15" s="320" t="s">
        <v>3045</v>
      </c>
      <c r="C15" s="320" t="str">
        <f t="shared" si="0"/>
        <v>_Neo_1700_Medicament_1</v>
      </c>
    </row>
    <row r="16" spans="1:4" x14ac:dyDescent="0.2">
      <c r="A16" s="320" t="s">
        <v>3046</v>
      </c>
      <c r="C16" s="320" t="str">
        <f t="shared" si="0"/>
        <v>_Neo_1700_Medicament_2</v>
      </c>
    </row>
    <row r="17" spans="1:3" x14ac:dyDescent="0.2">
      <c r="A17" s="320" t="s">
        <v>3047</v>
      </c>
      <c r="C17" s="320" t="str">
        <f t="shared" si="0"/>
        <v>_Neo_1700_Medicament_3</v>
      </c>
    </row>
    <row r="18" spans="1:3" x14ac:dyDescent="0.2">
      <c r="A18" s="320" t="s">
        <v>3048</v>
      </c>
      <c r="C18" s="320" t="str">
        <f t="shared" si="0"/>
        <v>_Neo_1700_Medicament_4</v>
      </c>
    </row>
    <row r="19" spans="1:3" x14ac:dyDescent="0.2">
      <c r="A19" s="320" t="s">
        <v>3049</v>
      </c>
      <c r="C19" s="320" t="str">
        <f t="shared" si="0"/>
        <v>_Neo_1700_Medicament_5</v>
      </c>
    </row>
    <row r="20" spans="1:3" x14ac:dyDescent="0.2">
      <c r="A20" s="320" t="s">
        <v>3050</v>
      </c>
      <c r="C20" s="320" t="str">
        <f t="shared" si="0"/>
        <v>_Neo_1700_Medicament_6</v>
      </c>
    </row>
    <row r="21" spans="1:3" x14ac:dyDescent="0.2">
      <c r="A21" s="320" t="s">
        <v>3051</v>
      </c>
      <c r="C21" s="320" t="str">
        <f t="shared" si="0"/>
        <v>_Neo_1700_Medicament_7</v>
      </c>
    </row>
    <row r="22" spans="1:3" x14ac:dyDescent="0.2">
      <c r="A22" s="320" t="s">
        <v>3052</v>
      </c>
      <c r="C22" s="320" t="str">
        <f t="shared" si="0"/>
        <v>_Neo_1700_Medicament_8</v>
      </c>
    </row>
    <row r="23" spans="1:3" x14ac:dyDescent="0.2">
      <c r="A23" s="320" t="s">
        <v>3053</v>
      </c>
      <c r="C23" s="320" t="str">
        <f t="shared" si="0"/>
        <v>_Neo_1700_Medicament_9</v>
      </c>
    </row>
    <row r="24" spans="1:3" x14ac:dyDescent="0.2">
      <c r="A24" s="320" t="s">
        <v>3063</v>
      </c>
      <c r="C24" s="320" t="str">
        <f t="shared" si="0"/>
        <v>_Neo_1700_MedSterkte_1</v>
      </c>
    </row>
    <row r="25" spans="1:3" x14ac:dyDescent="0.2">
      <c r="A25" s="320" t="s">
        <v>3064</v>
      </c>
      <c r="C25" s="320" t="str">
        <f t="shared" si="0"/>
        <v>_Neo_1700_MedSterkte_2</v>
      </c>
    </row>
    <row r="26" spans="1:3" x14ac:dyDescent="0.2">
      <c r="A26" s="320" t="s">
        <v>3065</v>
      </c>
      <c r="C26" s="320" t="str">
        <f t="shared" si="0"/>
        <v>_Neo_1700_MedSterkte_3</v>
      </c>
    </row>
    <row r="27" spans="1:3" x14ac:dyDescent="0.2">
      <c r="A27" s="320" t="s">
        <v>3066</v>
      </c>
      <c r="C27" s="320" t="str">
        <f t="shared" si="0"/>
        <v>_Neo_1700_MedSterkte_4</v>
      </c>
    </row>
    <row r="28" spans="1:3" x14ac:dyDescent="0.2">
      <c r="A28" s="320" t="s">
        <v>3067</v>
      </c>
      <c r="C28" s="320" t="str">
        <f t="shared" si="0"/>
        <v>_Neo_1700_MedSterkte_5</v>
      </c>
    </row>
    <row r="29" spans="1:3" x14ac:dyDescent="0.2">
      <c r="A29" s="320" t="s">
        <v>3068</v>
      </c>
      <c r="C29" s="320" t="str">
        <f t="shared" si="0"/>
        <v>_Neo_1700_MedSterkte_6</v>
      </c>
    </row>
    <row r="30" spans="1:3" x14ac:dyDescent="0.2">
      <c r="A30" s="320" t="s">
        <v>3069</v>
      </c>
      <c r="C30" s="320" t="str">
        <f t="shared" si="0"/>
        <v>_Neo_1700_MedSterkte_7</v>
      </c>
    </row>
    <row r="31" spans="1:3" x14ac:dyDescent="0.2">
      <c r="A31" s="320" t="s">
        <v>3070</v>
      </c>
      <c r="C31" s="320" t="str">
        <f t="shared" si="0"/>
        <v>_Neo_1700_MedSterkte_8</v>
      </c>
    </row>
    <row r="32" spans="1:3" x14ac:dyDescent="0.2">
      <c r="A32" s="320" t="s">
        <v>3071</v>
      </c>
      <c r="C32" s="320" t="str">
        <f t="shared" si="0"/>
        <v>_Neo_1700_MedSterkte_9</v>
      </c>
    </row>
    <row r="33" spans="1:3" x14ac:dyDescent="0.2">
      <c r="A33" s="320" t="s">
        <v>3081</v>
      </c>
      <c r="C33" s="320" t="str">
        <f t="shared" si="0"/>
        <v>_Neo_1700_MedTekst_1</v>
      </c>
    </row>
    <row r="34" spans="1:3" x14ac:dyDescent="0.2">
      <c r="A34" s="320" t="s">
        <v>3082</v>
      </c>
      <c r="C34" s="320" t="str">
        <f t="shared" si="0"/>
        <v>_Neo_1700_MedTekst_2</v>
      </c>
    </row>
    <row r="35" spans="1:3" x14ac:dyDescent="0.2">
      <c r="A35" s="320" t="s">
        <v>3085</v>
      </c>
      <c r="C35" s="320" t="str">
        <f t="shared" si="0"/>
        <v>_Neo_1700_MgCl2</v>
      </c>
    </row>
    <row r="36" spans="1:3" x14ac:dyDescent="0.2">
      <c r="A36" s="320" t="s">
        <v>3088</v>
      </c>
      <c r="C36" s="320" t="str">
        <f t="shared" si="0"/>
        <v>_Neo_1700_NICUMix</v>
      </c>
    </row>
    <row r="37" spans="1:3" x14ac:dyDescent="0.2">
      <c r="A37" s="320" t="s">
        <v>3090</v>
      </c>
      <c r="C37" s="320" t="str">
        <f t="shared" si="0"/>
        <v>_Neo_1700_OplHoev_1</v>
      </c>
    </row>
    <row r="38" spans="1:3" x14ac:dyDescent="0.2">
      <c r="A38" s="320" t="s">
        <v>3091</v>
      </c>
      <c r="C38" s="320" t="str">
        <f t="shared" si="0"/>
        <v>_Neo_1700_OplHoev_2</v>
      </c>
    </row>
    <row r="39" spans="1:3" x14ac:dyDescent="0.2">
      <c r="A39" s="320" t="s">
        <v>3092</v>
      </c>
      <c r="C39" s="320" t="str">
        <f t="shared" si="0"/>
        <v>_Neo_1700_OplHoev_3</v>
      </c>
    </row>
    <row r="40" spans="1:3" x14ac:dyDescent="0.2">
      <c r="A40" s="320" t="s">
        <v>3093</v>
      </c>
      <c r="C40" s="320" t="str">
        <f t="shared" si="0"/>
        <v>_Neo_1700_OplHoev_4</v>
      </c>
    </row>
    <row r="41" spans="1:3" x14ac:dyDescent="0.2">
      <c r="A41" s="320" t="s">
        <v>3094</v>
      </c>
      <c r="C41" s="320" t="str">
        <f t="shared" si="0"/>
        <v>_Neo_1700_OplHoev_5</v>
      </c>
    </row>
    <row r="42" spans="1:3" x14ac:dyDescent="0.2">
      <c r="A42" s="320" t="s">
        <v>3095</v>
      </c>
      <c r="C42" s="320" t="str">
        <f t="shared" si="0"/>
        <v>_Neo_1700_OplHoev_6</v>
      </c>
    </row>
    <row r="43" spans="1:3" x14ac:dyDescent="0.2">
      <c r="A43" s="320" t="s">
        <v>3096</v>
      </c>
      <c r="C43" s="320" t="str">
        <f t="shared" si="0"/>
        <v>_Neo_1700_OplHoev_7</v>
      </c>
    </row>
    <row r="44" spans="1:3" x14ac:dyDescent="0.2">
      <c r="A44" s="320" t="s">
        <v>3097</v>
      </c>
      <c r="C44" s="320" t="str">
        <f t="shared" si="0"/>
        <v>_Neo_1700_OplHoev_8</v>
      </c>
    </row>
    <row r="45" spans="1:3" x14ac:dyDescent="0.2">
      <c r="A45" s="320" t="s">
        <v>3098</v>
      </c>
      <c r="C45" s="320" t="str">
        <f t="shared" si="0"/>
        <v>_Neo_1700_OplHoev_9</v>
      </c>
    </row>
    <row r="46" spans="1:3" x14ac:dyDescent="0.2">
      <c r="A46" s="320" t="s">
        <v>3111</v>
      </c>
      <c r="C46" s="320" t="str">
        <f t="shared" si="0"/>
        <v>_Neo_1700_Oplossing_01</v>
      </c>
    </row>
    <row r="47" spans="1:3" x14ac:dyDescent="0.2">
      <c r="A47" s="320" t="s">
        <v>3112</v>
      </c>
      <c r="C47" s="320" t="str">
        <f t="shared" si="0"/>
        <v>_Neo_1700_Oplossing_02</v>
      </c>
    </row>
    <row r="48" spans="1:3" x14ac:dyDescent="0.2">
      <c r="A48" s="320" t="s">
        <v>3113</v>
      </c>
      <c r="C48" s="320" t="str">
        <f t="shared" si="0"/>
        <v>_Neo_1700_Oplossing_03</v>
      </c>
    </row>
    <row r="49" spans="1:3" x14ac:dyDescent="0.2">
      <c r="A49" s="320" t="s">
        <v>3114</v>
      </c>
      <c r="C49" s="320" t="str">
        <f t="shared" si="0"/>
        <v>_Neo_1700_Oplossing_04</v>
      </c>
    </row>
    <row r="50" spans="1:3" x14ac:dyDescent="0.2">
      <c r="A50" s="320" t="s">
        <v>3115</v>
      </c>
      <c r="C50" s="320" t="str">
        <f t="shared" si="0"/>
        <v>_Neo_1700_Oplossing_05</v>
      </c>
    </row>
    <row r="51" spans="1:3" x14ac:dyDescent="0.2">
      <c r="A51" s="320" t="s">
        <v>3116</v>
      </c>
      <c r="C51" s="320" t="str">
        <f t="shared" si="0"/>
        <v>_Neo_1700_Oplossing_06</v>
      </c>
    </row>
    <row r="52" spans="1:3" x14ac:dyDescent="0.2">
      <c r="A52" s="320" t="s">
        <v>3117</v>
      </c>
      <c r="C52" s="320" t="str">
        <f t="shared" si="0"/>
        <v>_Neo_1700_Oplossing_07</v>
      </c>
    </row>
    <row r="53" spans="1:3" x14ac:dyDescent="0.2">
      <c r="A53" s="320" t="s">
        <v>3118</v>
      </c>
      <c r="C53" s="320" t="str">
        <f t="shared" si="0"/>
        <v>_Neo_1700_Oplossing_08</v>
      </c>
    </row>
    <row r="54" spans="1:3" x14ac:dyDescent="0.2">
      <c r="A54" s="320" t="s">
        <v>3119</v>
      </c>
      <c r="C54" s="320" t="str">
        <f t="shared" si="0"/>
        <v>_Neo_1700_Oplossing_09</v>
      </c>
    </row>
    <row r="55" spans="1:3" x14ac:dyDescent="0.2">
      <c r="A55" s="320" t="s">
        <v>3108</v>
      </c>
      <c r="C55" s="320" t="str">
        <f t="shared" si="0"/>
        <v>_Neo_1700_Oplossing_10</v>
      </c>
    </row>
    <row r="56" spans="1:3" x14ac:dyDescent="0.2">
      <c r="A56" s="320" t="s">
        <v>3109</v>
      </c>
      <c r="C56" s="320" t="str">
        <f t="shared" si="0"/>
        <v>_Neo_1700_Oplossing_11</v>
      </c>
    </row>
    <row r="57" spans="1:3" x14ac:dyDescent="0.2">
      <c r="A57" s="320" t="s">
        <v>3110</v>
      </c>
      <c r="C57" s="320" t="str">
        <f t="shared" si="0"/>
        <v>_Neo_1700_Oplossing_12</v>
      </c>
    </row>
    <row r="58" spans="1:3" x14ac:dyDescent="0.2">
      <c r="A58" s="320" t="s">
        <v>3132</v>
      </c>
      <c r="C58" s="320" t="str">
        <f t="shared" si="0"/>
        <v>_Neo_1700_Parenteraal</v>
      </c>
    </row>
    <row r="59" spans="1:3" x14ac:dyDescent="0.2">
      <c r="A59" s="320" t="s">
        <v>3134</v>
      </c>
      <c r="C59" s="320" t="str">
        <f t="shared" si="0"/>
        <v>_Neo_1700_PercentageKeuze_0</v>
      </c>
    </row>
    <row r="60" spans="1:3" x14ac:dyDescent="0.2">
      <c r="A60" s="320" t="s">
        <v>3135</v>
      </c>
      <c r="C60" s="320" t="str">
        <f t="shared" si="0"/>
        <v>_Neo_1700_PercentageKeuze_1</v>
      </c>
    </row>
    <row r="61" spans="1:3" x14ac:dyDescent="0.2">
      <c r="A61" s="320" t="s">
        <v>3136</v>
      </c>
      <c r="C61" s="320" t="str">
        <f t="shared" si="0"/>
        <v>_Neo_1700_PercentageKeuze_2</v>
      </c>
    </row>
    <row r="62" spans="1:3" x14ac:dyDescent="0.2">
      <c r="A62" s="320" t="s">
        <v>3137</v>
      </c>
      <c r="C62" s="320" t="str">
        <f t="shared" si="0"/>
        <v>_Neo_1700_PercentageKeuze_3</v>
      </c>
    </row>
    <row r="63" spans="1:3" x14ac:dyDescent="0.2">
      <c r="A63" s="320" t="s">
        <v>3138</v>
      </c>
      <c r="C63" s="320" t="str">
        <f t="shared" si="0"/>
        <v>_Neo_1700_PercentageKeuze_4</v>
      </c>
    </row>
    <row r="64" spans="1:3" x14ac:dyDescent="0.2">
      <c r="A64" s="320" t="s">
        <v>3139</v>
      </c>
      <c r="C64" s="320" t="str">
        <f t="shared" si="0"/>
        <v>_Neo_1700_PercentageKeuze_5</v>
      </c>
    </row>
    <row r="65" spans="1:3" x14ac:dyDescent="0.2">
      <c r="A65" s="320" t="s">
        <v>3140</v>
      </c>
      <c r="C65" s="320" t="str">
        <f t="shared" si="0"/>
        <v>_Neo_1700_PercentageKeuze_6</v>
      </c>
    </row>
    <row r="66" spans="1:3" x14ac:dyDescent="0.2">
      <c r="A66" s="320" t="s">
        <v>3141</v>
      </c>
      <c r="C66" s="320" t="str">
        <f t="shared" si="0"/>
        <v>_Neo_1700_PercentageKeuze_7</v>
      </c>
    </row>
    <row r="67" spans="1:3" x14ac:dyDescent="0.2">
      <c r="A67" s="320" t="s">
        <v>3142</v>
      </c>
      <c r="C67" s="320" t="str">
        <f t="shared" ref="C67:C118" si="1">REPLACE(A67,6,4,"1700")</f>
        <v>_Neo_1700_PercentageKeuze_8</v>
      </c>
    </row>
    <row r="68" spans="1:3" x14ac:dyDescent="0.2">
      <c r="A68" s="320" t="s">
        <v>3152</v>
      </c>
      <c r="C68" s="320" t="str">
        <f t="shared" si="1"/>
        <v>_Neo_1700_Primene</v>
      </c>
    </row>
    <row r="69" spans="1:3" x14ac:dyDescent="0.2">
      <c r="A69" s="320" t="s">
        <v>3156</v>
      </c>
      <c r="C69" s="320" t="str">
        <f t="shared" si="1"/>
        <v>_Neo_1700_SoluVit</v>
      </c>
    </row>
    <row r="70" spans="1:3" x14ac:dyDescent="0.2">
      <c r="A70" s="320" t="s">
        <v>3158</v>
      </c>
      <c r="C70" s="320" t="str">
        <f t="shared" si="1"/>
        <v>_Neo_1700_SSTB</v>
      </c>
    </row>
    <row r="71" spans="1:3" x14ac:dyDescent="0.2">
      <c r="A71" s="320" t="s">
        <v>3163</v>
      </c>
      <c r="C71" s="320" t="str">
        <f t="shared" si="1"/>
        <v>_Neo_1700_Stand_01</v>
      </c>
    </row>
    <row r="72" spans="1:3" x14ac:dyDescent="0.2">
      <c r="A72" s="320" t="s">
        <v>3164</v>
      </c>
      <c r="C72" s="320" t="str">
        <f t="shared" si="1"/>
        <v>_Neo_1700_Stand_02</v>
      </c>
    </row>
    <row r="73" spans="1:3" x14ac:dyDescent="0.2">
      <c r="A73" s="320" t="s">
        <v>3165</v>
      </c>
      <c r="C73" s="320" t="str">
        <f t="shared" si="1"/>
        <v>_Neo_1700_Stand_03</v>
      </c>
    </row>
    <row r="74" spans="1:3" x14ac:dyDescent="0.2">
      <c r="A74" s="320" t="s">
        <v>3166</v>
      </c>
      <c r="C74" s="320" t="str">
        <f t="shared" si="1"/>
        <v>_Neo_1700_Stand_04</v>
      </c>
    </row>
    <row r="75" spans="1:3" x14ac:dyDescent="0.2">
      <c r="A75" s="320" t="s">
        <v>3167</v>
      </c>
      <c r="C75" s="320" t="str">
        <f t="shared" si="1"/>
        <v>_Neo_1700_Stand_05</v>
      </c>
    </row>
    <row r="76" spans="1:3" x14ac:dyDescent="0.2">
      <c r="A76" s="320" t="s">
        <v>3168</v>
      </c>
      <c r="C76" s="320" t="str">
        <f t="shared" si="1"/>
        <v>_Neo_1700_Stand_06</v>
      </c>
    </row>
    <row r="77" spans="1:3" x14ac:dyDescent="0.2">
      <c r="A77" s="320" t="s">
        <v>3169</v>
      </c>
      <c r="C77" s="320" t="str">
        <f t="shared" si="1"/>
        <v>_Neo_1700_Stand_07</v>
      </c>
    </row>
    <row r="78" spans="1:3" x14ac:dyDescent="0.2">
      <c r="A78" s="320" t="s">
        <v>3170</v>
      </c>
      <c r="C78" s="320" t="str">
        <f t="shared" si="1"/>
        <v>_Neo_1700_Stand_08</v>
      </c>
    </row>
    <row r="79" spans="1:3" x14ac:dyDescent="0.2">
      <c r="A79" s="320" t="s">
        <v>3171</v>
      </c>
      <c r="C79" s="320" t="str">
        <f t="shared" si="1"/>
        <v>_Neo_1700_Stand_09</v>
      </c>
    </row>
    <row r="80" spans="1:3" x14ac:dyDescent="0.2">
      <c r="A80" s="320" t="s">
        <v>3160</v>
      </c>
      <c r="C80" s="320" t="str">
        <f t="shared" si="1"/>
        <v>_Neo_1700_Stand_10</v>
      </c>
    </row>
    <row r="81" spans="1:3" x14ac:dyDescent="0.2">
      <c r="A81" s="320" t="s">
        <v>3161</v>
      </c>
      <c r="C81" s="320" t="str">
        <f t="shared" si="1"/>
        <v>_Neo_1700_Stand_11</v>
      </c>
    </row>
    <row r="82" spans="1:3" x14ac:dyDescent="0.2">
      <c r="A82" s="320" t="s">
        <v>3162</v>
      </c>
      <c r="C82" s="320" t="str">
        <f t="shared" si="1"/>
        <v>_Neo_1700_Stand_12</v>
      </c>
    </row>
    <row r="83" spans="1:3" x14ac:dyDescent="0.2">
      <c r="A83" s="320" t="s">
        <v>3184</v>
      </c>
      <c r="C83" s="320" t="str">
        <f t="shared" si="1"/>
        <v>_Neo_1700_Sterkte_1</v>
      </c>
    </row>
    <row r="84" spans="1:3" x14ac:dyDescent="0.2">
      <c r="A84" s="320" t="s">
        <v>3185</v>
      </c>
      <c r="C84" s="320" t="str">
        <f t="shared" si="1"/>
        <v>_Neo_1700_Sterkte_2</v>
      </c>
    </row>
    <row r="85" spans="1:3" x14ac:dyDescent="0.2">
      <c r="A85" s="320" t="s">
        <v>3186</v>
      </c>
      <c r="C85" s="320" t="str">
        <f t="shared" si="1"/>
        <v>_Neo_1700_Sterkte_3</v>
      </c>
    </row>
    <row r="86" spans="1:3" x14ac:dyDescent="0.2">
      <c r="A86" s="320" t="s">
        <v>3187</v>
      </c>
      <c r="C86" s="320" t="str">
        <f t="shared" si="1"/>
        <v>_Neo_1700_Sterkte_4</v>
      </c>
    </row>
    <row r="87" spans="1:3" x14ac:dyDescent="0.2">
      <c r="A87" s="320" t="s">
        <v>3188</v>
      </c>
      <c r="C87" s="320" t="str">
        <f t="shared" si="1"/>
        <v>_Neo_1700_Sterkte_5</v>
      </c>
    </row>
    <row r="88" spans="1:3" x14ac:dyDescent="0.2">
      <c r="A88" s="320" t="s">
        <v>3189</v>
      </c>
      <c r="C88" s="320" t="str">
        <f t="shared" si="1"/>
        <v>_Neo_1700_Sterkte_6</v>
      </c>
    </row>
    <row r="89" spans="1:3" x14ac:dyDescent="0.2">
      <c r="A89" s="320" t="s">
        <v>3190</v>
      </c>
      <c r="C89" s="320" t="str">
        <f t="shared" si="1"/>
        <v>_Neo_1700_Sterkte_7</v>
      </c>
    </row>
    <row r="90" spans="1:3" x14ac:dyDescent="0.2">
      <c r="A90" s="320" t="s">
        <v>3191</v>
      </c>
      <c r="C90" s="320" t="str">
        <f t="shared" si="1"/>
        <v>_Neo_1700_Sterkte_8</v>
      </c>
    </row>
    <row r="91" spans="1:3" x14ac:dyDescent="0.2">
      <c r="A91" s="320" t="s">
        <v>3192</v>
      </c>
      <c r="C91" s="320" t="str">
        <f t="shared" si="1"/>
        <v>_Neo_1700_Sterkte_9</v>
      </c>
    </row>
    <row r="92" spans="1:3" x14ac:dyDescent="0.2">
      <c r="A92" s="320" t="s">
        <v>3193</v>
      </c>
      <c r="C92" s="320" t="str">
        <f t="shared" si="1"/>
        <v>_Neo_1700_Supervisor</v>
      </c>
    </row>
    <row r="93" spans="1:3" x14ac:dyDescent="0.2">
      <c r="A93" s="320" t="s">
        <v>3195</v>
      </c>
      <c r="C93" s="320" t="str">
        <f t="shared" si="1"/>
        <v>_Neo_1700_Toevoeging_0</v>
      </c>
    </row>
    <row r="94" spans="1:3" x14ac:dyDescent="0.2">
      <c r="A94" s="320" t="s">
        <v>3196</v>
      </c>
      <c r="C94" s="320" t="str">
        <f t="shared" si="1"/>
        <v>_Neo_1700_Toevoeging_1</v>
      </c>
    </row>
    <row r="95" spans="1:3" x14ac:dyDescent="0.2">
      <c r="A95" s="320" t="s">
        <v>3197</v>
      </c>
      <c r="C95" s="320" t="str">
        <f t="shared" si="1"/>
        <v>_Neo_1700_Toevoeging_2</v>
      </c>
    </row>
    <row r="96" spans="1:3" x14ac:dyDescent="0.2">
      <c r="A96" s="320" t="s">
        <v>3198</v>
      </c>
      <c r="C96" s="320" t="str">
        <f t="shared" si="1"/>
        <v>_Neo_1700_Toevoeging_3</v>
      </c>
    </row>
    <row r="97" spans="1:3" x14ac:dyDescent="0.2">
      <c r="A97" s="320" t="s">
        <v>3199</v>
      </c>
      <c r="C97" s="320" t="str">
        <f t="shared" si="1"/>
        <v>_Neo_1700_Toevoeging_4</v>
      </c>
    </row>
    <row r="98" spans="1:3" x14ac:dyDescent="0.2">
      <c r="A98" s="320" t="s">
        <v>3200</v>
      </c>
      <c r="C98" s="320" t="str">
        <f t="shared" si="1"/>
        <v>_Neo_1700_Toevoeging_5</v>
      </c>
    </row>
    <row r="99" spans="1:3" x14ac:dyDescent="0.2">
      <c r="A99" s="320" t="s">
        <v>3201</v>
      </c>
      <c r="C99" s="320" t="str">
        <f t="shared" si="1"/>
        <v>_Neo_1700_Toevoeging_6</v>
      </c>
    </row>
    <row r="100" spans="1:3" x14ac:dyDescent="0.2">
      <c r="A100" s="320" t="s">
        <v>3202</v>
      </c>
      <c r="C100" s="320" t="str">
        <f t="shared" si="1"/>
        <v>_Neo_1700_Toevoeging_7</v>
      </c>
    </row>
    <row r="101" spans="1:3" x14ac:dyDescent="0.2">
      <c r="A101" s="320" t="s">
        <v>3203</v>
      </c>
      <c r="C101" s="320" t="str">
        <f t="shared" si="1"/>
        <v>_Neo_1700_Toevoeging_8</v>
      </c>
    </row>
    <row r="102" spans="1:3" x14ac:dyDescent="0.2">
      <c r="A102" s="320" t="s">
        <v>3213</v>
      </c>
      <c r="C102" s="320" t="str">
        <f t="shared" si="1"/>
        <v>_Neo_1700_TPNCaCl2</v>
      </c>
    </row>
    <row r="103" spans="1:3" x14ac:dyDescent="0.2">
      <c r="A103" s="320" t="s">
        <v>3214</v>
      </c>
      <c r="C103" s="320" t="str">
        <f t="shared" si="1"/>
        <v>_Neo_1700_TPNNacl</v>
      </c>
    </row>
    <row r="104" spans="1:3" x14ac:dyDescent="0.2">
      <c r="A104" s="320" t="s">
        <v>2992</v>
      </c>
      <c r="C104" s="320" t="str">
        <f t="shared" si="1"/>
        <v>_Neo_1700_VochtExtra_01</v>
      </c>
    </row>
    <row r="105" spans="1:3" x14ac:dyDescent="0.2">
      <c r="A105" s="320" t="s">
        <v>2993</v>
      </c>
      <c r="C105" s="320" t="str">
        <f t="shared" si="1"/>
        <v>_Neo_1700_VochtExtra_02</v>
      </c>
    </row>
    <row r="106" spans="1:3" x14ac:dyDescent="0.2">
      <c r="A106" s="320" t="s">
        <v>2998</v>
      </c>
      <c r="C106" s="320" t="str">
        <f t="shared" si="1"/>
        <v>_Neo_1700_VochtExtra_03</v>
      </c>
    </row>
    <row r="107" spans="1:3" x14ac:dyDescent="0.2">
      <c r="A107" s="320" t="s">
        <v>2999</v>
      </c>
      <c r="C107" s="320" t="str">
        <f t="shared" si="1"/>
        <v>_Neo_1700_VochtExtra_04</v>
      </c>
    </row>
    <row r="108" spans="1:3" x14ac:dyDescent="0.2">
      <c r="A108" s="320" t="s">
        <v>3000</v>
      </c>
      <c r="C108" s="320" t="str">
        <f t="shared" si="1"/>
        <v>_Neo_1700_VochtExtra_05</v>
      </c>
    </row>
    <row r="109" spans="1:3" x14ac:dyDescent="0.2">
      <c r="A109" s="320" t="s">
        <v>3001</v>
      </c>
      <c r="C109" s="320" t="str">
        <f t="shared" si="1"/>
        <v>_Neo_1700_VochtExtra_06</v>
      </c>
    </row>
    <row r="110" spans="1:3" x14ac:dyDescent="0.2">
      <c r="A110" s="320" t="s">
        <v>3002</v>
      </c>
      <c r="C110" s="320" t="str">
        <f t="shared" si="1"/>
        <v>_Neo_1700_VochtExtra_07</v>
      </c>
    </row>
    <row r="111" spans="1:3" x14ac:dyDescent="0.2">
      <c r="A111" s="320" t="s">
        <v>3003</v>
      </c>
      <c r="C111" s="320" t="str">
        <f t="shared" si="1"/>
        <v>_Neo_1700_VochtExtra_08</v>
      </c>
    </row>
    <row r="112" spans="1:3" x14ac:dyDescent="0.2">
      <c r="A112" s="320" t="s">
        <v>3004</v>
      </c>
      <c r="C112" s="320" t="str">
        <f t="shared" si="1"/>
        <v>_Neo_1700_VochtExtra_09</v>
      </c>
    </row>
    <row r="113" spans="1:3" x14ac:dyDescent="0.2">
      <c r="A113" s="320" t="s">
        <v>3005</v>
      </c>
      <c r="C113" s="320" t="str">
        <f t="shared" si="1"/>
        <v>_Neo_1700_VochtExtra_10</v>
      </c>
    </row>
    <row r="114" spans="1:3" x14ac:dyDescent="0.2">
      <c r="A114" s="320" t="s">
        <v>2994</v>
      </c>
      <c r="C114" s="320" t="str">
        <f t="shared" si="1"/>
        <v>_Neo_1700_VochtExtra_11</v>
      </c>
    </row>
    <row r="115" spans="1:3" x14ac:dyDescent="0.2">
      <c r="A115" s="320" t="s">
        <v>2995</v>
      </c>
      <c r="C115" s="320" t="str">
        <f t="shared" si="1"/>
        <v>_Neo_1700_VochtExtra_12</v>
      </c>
    </row>
    <row r="116" spans="1:3" x14ac:dyDescent="0.2">
      <c r="A116" s="320" t="s">
        <v>2996</v>
      </c>
      <c r="C116" s="320" t="str">
        <f t="shared" si="1"/>
        <v>_Neo_1700_VochtExtra_13</v>
      </c>
    </row>
    <row r="117" spans="1:3" x14ac:dyDescent="0.2">
      <c r="A117" s="320" t="s">
        <v>2997</v>
      </c>
      <c r="C117" s="320" t="str">
        <f t="shared" si="1"/>
        <v>_Neo_1700_VochtExtra_14</v>
      </c>
    </row>
    <row r="118" spans="1:3" x14ac:dyDescent="0.2">
      <c r="A118" s="320" t="s">
        <v>3215</v>
      </c>
      <c r="C118" s="320" t="str">
        <f t="shared" si="1"/>
        <v>_Neo_1700_Voeding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X116"/>
  <sheetViews>
    <sheetView workbookViewId="0">
      <pane xSplit="1" ySplit="1" topLeftCell="B47" activePane="bottomRight" state="frozenSplit"/>
      <selection activeCell="J34" sqref="J34"/>
      <selection pane="topRight" activeCell="J34" sqref="J34"/>
      <selection pane="bottomLeft" activeCell="J34" sqref="J34"/>
      <selection pane="bottomRight" activeCell="B73" sqref="B73"/>
    </sheetView>
  </sheetViews>
  <sheetFormatPr defaultColWidth="9.140625" defaultRowHeight="12.75" x14ac:dyDescent="0.2"/>
  <cols>
    <col min="1" max="1" width="40.140625" style="158" customWidth="1"/>
    <col min="2" max="3" width="13.85546875" style="158" customWidth="1"/>
    <col min="4" max="4" width="11.7109375" style="158" customWidth="1"/>
    <col min="5" max="5" width="10.7109375" style="158" customWidth="1"/>
    <col min="6" max="6" width="10" style="158" customWidth="1"/>
    <col min="7" max="7" width="10.7109375" style="158" bestFit="1" customWidth="1"/>
    <col min="8" max="8" width="12.42578125" style="158" bestFit="1" customWidth="1"/>
    <col min="9" max="11" width="9.140625" style="158"/>
    <col min="12" max="12" width="13.28515625" style="158" bestFit="1" customWidth="1"/>
    <col min="13" max="16384" width="9.140625" style="158"/>
  </cols>
  <sheetData>
    <row r="1" spans="1:24" x14ac:dyDescent="0.2">
      <c r="A1" s="360" t="s">
        <v>28</v>
      </c>
      <c r="B1" s="158" t="s">
        <v>308</v>
      </c>
      <c r="C1" s="158" t="s">
        <v>649</v>
      </c>
      <c r="E1" s="158" t="s">
        <v>194</v>
      </c>
      <c r="J1" s="158" t="s">
        <v>545</v>
      </c>
      <c r="K1" s="158" t="s">
        <v>323</v>
      </c>
      <c r="L1" s="158" t="s">
        <v>239</v>
      </c>
      <c r="M1" s="158" t="s">
        <v>240</v>
      </c>
      <c r="N1" s="158" t="s">
        <v>241</v>
      </c>
      <c r="O1" s="158" t="s">
        <v>242</v>
      </c>
      <c r="P1" s="158" t="s">
        <v>568</v>
      </c>
      <c r="Q1" s="158" t="s">
        <v>237</v>
      </c>
      <c r="R1" s="158" t="s">
        <v>569</v>
      </c>
      <c r="S1" s="158" t="s">
        <v>570</v>
      </c>
      <c r="T1" s="158" t="s">
        <v>571</v>
      </c>
      <c r="U1" s="158" t="s">
        <v>622</v>
      </c>
      <c r="V1" s="158" t="s">
        <v>580</v>
      </c>
      <c r="W1" s="158" t="s">
        <v>599</v>
      </c>
      <c r="X1" s="158" t="s">
        <v>650</v>
      </c>
    </row>
    <row r="2" spans="1:24" x14ac:dyDescent="0.2">
      <c r="A2" s="158" t="s">
        <v>535</v>
      </c>
      <c r="B2" s="158">
        <f>__1_Bed</f>
        <v>0</v>
      </c>
    </row>
    <row r="3" spans="1:24" x14ac:dyDescent="0.2">
      <c r="A3" s="158" t="s">
        <v>584</v>
      </c>
      <c r="B3" s="317">
        <f>__4_GebDatum</f>
        <v>1462</v>
      </c>
      <c r="C3" s="312">
        <v>0</v>
      </c>
      <c r="E3" s="158" t="s">
        <v>651</v>
      </c>
      <c r="F3" s="158">
        <f>__0_PatNum</f>
        <v>0</v>
      </c>
    </row>
    <row r="4" spans="1:24" x14ac:dyDescent="0.2">
      <c r="A4" s="158" t="s">
        <v>555</v>
      </c>
      <c r="B4" s="318">
        <f>_Pat_Gewicht/10</f>
        <v>0</v>
      </c>
      <c r="C4" s="175" t="s">
        <v>652</v>
      </c>
      <c r="D4" s="316">
        <v>0</v>
      </c>
    </row>
    <row r="5" spans="1:24" x14ac:dyDescent="0.2">
      <c r="A5" s="158" t="s">
        <v>316</v>
      </c>
      <c r="B5" s="317">
        <f>_Pat_OpnDatum</f>
        <v>1462</v>
      </c>
      <c r="C5" s="175" t="s">
        <v>653</v>
      </c>
      <c r="D5" s="316">
        <v>0</v>
      </c>
    </row>
    <row r="6" spans="1:24" x14ac:dyDescent="0.2">
      <c r="A6" s="360" t="s">
        <v>654</v>
      </c>
      <c r="B6" s="312">
        <f ca="1">TODAY()-B3+1+C3</f>
        <v>41287</v>
      </c>
      <c r="C6" s="158">
        <f ca="1">IF(B6&lt;7,B6,6)</f>
        <v>6</v>
      </c>
    </row>
    <row r="7" spans="1:24" x14ac:dyDescent="0.2">
      <c r="A7" s="158" t="s">
        <v>194</v>
      </c>
    </row>
    <row r="8" spans="1:24" x14ac:dyDescent="0.2">
      <c r="A8" s="158" t="s">
        <v>588</v>
      </c>
    </row>
    <row r="9" spans="1:24" x14ac:dyDescent="0.2">
      <c r="A9" s="158" t="s">
        <v>655</v>
      </c>
    </row>
    <row r="10" spans="1:24" x14ac:dyDescent="0.2">
      <c r="A10" s="158" t="s">
        <v>307</v>
      </c>
      <c r="D10" s="158">
        <v>0</v>
      </c>
    </row>
    <row r="11" spans="1:24" x14ac:dyDescent="0.2">
      <c r="A11" s="158" t="s">
        <v>591</v>
      </c>
      <c r="D11" s="158">
        <v>0</v>
      </c>
      <c r="L11" s="158">
        <v>2</v>
      </c>
      <c r="M11" s="158">
        <v>3</v>
      </c>
      <c r="N11" s="158">
        <v>4</v>
      </c>
      <c r="O11" s="158">
        <v>5</v>
      </c>
      <c r="P11" s="158">
        <v>6</v>
      </c>
      <c r="Q11" s="158">
        <v>7</v>
      </c>
      <c r="R11" s="158">
        <v>8</v>
      </c>
      <c r="S11" s="158">
        <v>9</v>
      </c>
      <c r="T11" s="158">
        <v>10</v>
      </c>
      <c r="U11" s="158">
        <v>11</v>
      </c>
      <c r="V11" s="158">
        <v>12</v>
      </c>
    </row>
    <row r="12" spans="1:24" x14ac:dyDescent="0.2">
      <c r="A12" s="158" t="s">
        <v>307</v>
      </c>
      <c r="D12" s="158">
        <v>0</v>
      </c>
    </row>
    <row r="13" spans="1:24" x14ac:dyDescent="0.2">
      <c r="A13" s="158" t="s">
        <v>591</v>
      </c>
      <c r="D13" s="158">
        <v>0</v>
      </c>
    </row>
    <row r="14" spans="1:24" x14ac:dyDescent="0.2">
      <c r="A14" s="158" t="s">
        <v>296</v>
      </c>
      <c r="D14" s="158">
        <v>7</v>
      </c>
      <c r="J14" s="158">
        <v>2</v>
      </c>
      <c r="K14" s="158">
        <f>IF(AND(Var_Neo_InfB_VochtExtra_01=2,Var_Neo_InfB_Voeding&gt;1),(D10*D11+D12*D13)/10,0)</f>
        <v>0</v>
      </c>
      <c r="L14" s="158">
        <f t="shared" ref="L14:V14" si="0">INDEX(tbl_Neo_Pos,$D$14,L11)*$K$14</f>
        <v>0</v>
      </c>
      <c r="M14" s="158">
        <f t="shared" si="0"/>
        <v>0</v>
      </c>
      <c r="N14" s="158">
        <f t="shared" si="0"/>
        <v>0</v>
      </c>
      <c r="O14" s="158">
        <f t="shared" si="0"/>
        <v>0</v>
      </c>
      <c r="P14" s="158">
        <f t="shared" si="0"/>
        <v>0</v>
      </c>
      <c r="Q14" s="158">
        <f t="shared" si="0"/>
        <v>0</v>
      </c>
      <c r="R14" s="158">
        <f t="shared" si="0"/>
        <v>0</v>
      </c>
      <c r="S14" s="158">
        <f t="shared" si="0"/>
        <v>0</v>
      </c>
      <c r="T14" s="158">
        <f t="shared" si="0"/>
        <v>0</v>
      </c>
      <c r="U14" s="158">
        <f t="shared" si="0"/>
        <v>0</v>
      </c>
      <c r="V14" s="158">
        <f t="shared" si="0"/>
        <v>0</v>
      </c>
    </row>
    <row r="15" spans="1:24" x14ac:dyDescent="0.2">
      <c r="A15" s="158" t="s">
        <v>590</v>
      </c>
      <c r="B15" s="158">
        <v>2</v>
      </c>
    </row>
    <row r="16" spans="1:24" x14ac:dyDescent="0.2">
      <c r="A16" s="158" t="s">
        <v>656</v>
      </c>
      <c r="B16" s="158">
        <f ca="1">IF(AND(D4&lt;37,(_Pat_Gewicht/10)&gt;=1),INDEX(NeoBerAdvies!B4:G4,1,NeoBerInfB!C6),IF((_Pat_Gewicht/10)&lt;1,INDEX(NeoBerAdvies!B5:G5,1,NeoBerInfB!C6),INDEX(NeoBerAdvies!B6:G6,1,NeoBerInfB!C6)))+IF(B15=1,20,0)</f>
        <v>160</v>
      </c>
      <c r="C16" s="158">
        <f ca="1">ROUND(B16/5,0)*5+(D16-5000)</f>
        <v>160</v>
      </c>
      <c r="D16" s="158">
        <v>5000</v>
      </c>
    </row>
    <row r="17" spans="1:24" x14ac:dyDescent="0.2">
      <c r="A17" s="158" t="s">
        <v>657</v>
      </c>
      <c r="B17" s="158" t="b">
        <v>0</v>
      </c>
      <c r="C17" s="158">
        <f ca="1">ROUND(C16*(_Pat_Gewicht/10)-K14,0)</f>
        <v>0</v>
      </c>
    </row>
    <row r="18" spans="1:24" x14ac:dyDescent="0.2">
      <c r="A18" s="158" t="s">
        <v>764</v>
      </c>
      <c r="B18" s="158">
        <v>0</v>
      </c>
      <c r="J18" s="158" t="b">
        <v>0</v>
      </c>
      <c r="K18" s="158">
        <f>IF(J18,0,B18*2.4)</f>
        <v>0</v>
      </c>
      <c r="L18" s="158">
        <f>0.155*K18/2</f>
        <v>0</v>
      </c>
    </row>
    <row r="19" spans="1:24" x14ac:dyDescent="0.2">
      <c r="B19" s="158" t="s">
        <v>619</v>
      </c>
      <c r="C19" s="158" t="s">
        <v>658</v>
      </c>
      <c r="D19" s="158" t="s">
        <v>659</v>
      </c>
      <c r="E19" s="158" t="s">
        <v>159</v>
      </c>
      <c r="F19" s="158" t="s">
        <v>52</v>
      </c>
      <c r="G19" s="158" t="s">
        <v>344</v>
      </c>
      <c r="H19" s="158" t="s">
        <v>661</v>
      </c>
      <c r="I19" s="158" t="s">
        <v>621</v>
      </c>
    </row>
    <row r="20" spans="1:24" x14ac:dyDescent="0.2">
      <c r="A20" s="158" t="s">
        <v>662</v>
      </c>
      <c r="B20" s="158">
        <v>1</v>
      </c>
      <c r="C20" s="158">
        <v>0</v>
      </c>
      <c r="D20" s="158">
        <v>0</v>
      </c>
      <c r="E20" s="158">
        <v>1</v>
      </c>
      <c r="F20" s="158">
        <v>0</v>
      </c>
      <c r="G20" s="158">
        <f>IF(INDEX(tbl_Neo_MedIV,NeoBerInfB!B20,5)=0,1,INDEX(tbl_Neo_MedIV,NeoBerInfB!B20,5))</f>
        <v>1</v>
      </c>
      <c r="H20" s="158">
        <f t="shared" ref="H20:H28" si="1">IF(D20&gt;0,(F20*IF(X20*10&gt;=24,2.4,2.4)*((C20/10)/D20))/($B$4)/I20,0)</f>
        <v>0</v>
      </c>
      <c r="I20" s="158">
        <f>IF(NeoBerInfB!G20&gt;1,INDEX(NeoTblLijst!$K$3:$K$11,NeoBerInfB!G20),1)</f>
        <v>1</v>
      </c>
      <c r="J20" s="158">
        <v>0</v>
      </c>
      <c r="K20" s="158">
        <f t="shared" ref="K20:K31" si="2">IF(J20,0,F20*2.4)</f>
        <v>0</v>
      </c>
      <c r="L20" s="158">
        <f t="shared" ref="L20:L31" si="3">IF($E20&gt;1,INDEX(tbl_Neo_Opl,$E20,3),0)*$K20</f>
        <v>0</v>
      </c>
      <c r="M20" s="158">
        <f t="shared" ref="M20:M31" si="4">IF($E20&gt;1,INDEX(tbl_Neo_Opl,$E20,4),0)*$K20</f>
        <v>0</v>
      </c>
      <c r="N20" s="158">
        <f t="shared" ref="N20:N31" si="5">IF($E20&gt;1,INDEX(tbl_Neo_Opl,$E20,6),0)*$K20</f>
        <v>0</v>
      </c>
      <c r="O20" s="158">
        <f t="shared" ref="O20:O31" si="6">IF($E20&gt;1,INDEX(tbl_Neo_Opl,$E20,7),0)*$K20</f>
        <v>0</v>
      </c>
      <c r="P20" s="158">
        <f t="shared" ref="P20:P31" si="7">IF($E20&gt;1,INDEX(tbl_Neo_Opl,$E20,8),0)*$K20</f>
        <v>0</v>
      </c>
      <c r="Q20" s="158">
        <f t="shared" ref="Q20:Q31" si="8">IF($E20&gt;1,INDEX(tbl_Neo_Opl,$E20,5),0)*$K20</f>
        <v>0</v>
      </c>
      <c r="R20" s="158">
        <f t="shared" ref="R20:R31" si="9">IF($E20&gt;1,INDEX(tbl_Neo_Opl,$E20,2),0)*$K20</f>
        <v>0</v>
      </c>
      <c r="W20" s="158">
        <f>ROUND(IF(X20*10&gt;1,X20*10,X20*600),0)</f>
        <v>0</v>
      </c>
      <c r="X20" s="158">
        <f t="shared" ref="X20:X31" si="10">IF(F20&gt;0,D20/F20,0)</f>
        <v>0</v>
      </c>
    </row>
    <row r="21" spans="1:24" x14ac:dyDescent="0.2">
      <c r="A21" s="158" t="s">
        <v>663</v>
      </c>
      <c r="B21" s="158">
        <v>1</v>
      </c>
      <c r="C21" s="158">
        <v>0</v>
      </c>
      <c r="D21" s="158">
        <v>0</v>
      </c>
      <c r="E21" s="158">
        <v>1</v>
      </c>
      <c r="F21" s="158">
        <v>0</v>
      </c>
      <c r="G21" s="158">
        <f>IF(INDEX(tbl_Neo_MedIV,NeoBerInfB!B21,5)=0,1,INDEX(tbl_Neo_MedIV,NeoBerInfB!B21,5))</f>
        <v>1</v>
      </c>
      <c r="H21" s="158">
        <f t="shared" si="1"/>
        <v>0</v>
      </c>
      <c r="I21" s="516">
        <f>IF(NeoBerInfB!G21&gt;1,INDEX(NeoTblLijst!$K$3:$K$11,NeoBerInfB!G21),1)</f>
        <v>1</v>
      </c>
      <c r="J21" s="158">
        <v>0</v>
      </c>
      <c r="K21" s="158">
        <f t="shared" si="2"/>
        <v>0</v>
      </c>
      <c r="L21" s="158">
        <f t="shared" si="3"/>
        <v>0</v>
      </c>
      <c r="M21" s="158">
        <f t="shared" si="4"/>
        <v>0</v>
      </c>
      <c r="N21" s="158">
        <f t="shared" si="5"/>
        <v>0</v>
      </c>
      <c r="O21" s="158">
        <f t="shared" si="6"/>
        <v>0</v>
      </c>
      <c r="P21" s="158">
        <f t="shared" si="7"/>
        <v>0</v>
      </c>
      <c r="Q21" s="158">
        <f t="shared" si="8"/>
        <v>0</v>
      </c>
      <c r="R21" s="158">
        <f t="shared" si="9"/>
        <v>0</v>
      </c>
      <c r="W21" s="158">
        <f t="shared" ref="W21:W28" si="11">ROUND(IF(X21*10&gt;1,X21*10,X21*600),0)</f>
        <v>0</v>
      </c>
      <c r="X21" s="158">
        <f t="shared" si="10"/>
        <v>0</v>
      </c>
    </row>
    <row r="22" spans="1:24" x14ac:dyDescent="0.2">
      <c r="A22" s="158" t="s">
        <v>664</v>
      </c>
      <c r="B22" s="158">
        <v>1</v>
      </c>
      <c r="C22" s="158">
        <v>0</v>
      </c>
      <c r="D22" s="158">
        <v>0</v>
      </c>
      <c r="E22" s="158">
        <v>1</v>
      </c>
      <c r="F22" s="158">
        <v>0</v>
      </c>
      <c r="G22" s="158">
        <f>IF(INDEX(tbl_Neo_MedIV,NeoBerInfB!B22,5)=0,1,INDEX(tbl_Neo_MedIV,NeoBerInfB!B22,5))</f>
        <v>1</v>
      </c>
      <c r="H22" s="158">
        <f t="shared" si="1"/>
        <v>0</v>
      </c>
      <c r="I22" s="516">
        <f>IF(NeoBerInfB!G22&gt;1,INDEX(NeoTblLijst!$K$3:$K$11,NeoBerInfB!G22),1)</f>
        <v>1</v>
      </c>
      <c r="J22" s="158">
        <v>0</v>
      </c>
      <c r="K22" s="158">
        <f t="shared" si="2"/>
        <v>0</v>
      </c>
      <c r="L22" s="158">
        <f t="shared" si="3"/>
        <v>0</v>
      </c>
      <c r="M22" s="158">
        <f t="shared" si="4"/>
        <v>0</v>
      </c>
      <c r="N22" s="158">
        <f t="shared" si="5"/>
        <v>0</v>
      </c>
      <c r="O22" s="158">
        <f t="shared" si="6"/>
        <v>0</v>
      </c>
      <c r="P22" s="158">
        <f t="shared" si="7"/>
        <v>0</v>
      </c>
      <c r="Q22" s="158">
        <f t="shared" si="8"/>
        <v>0</v>
      </c>
      <c r="R22" s="158">
        <f t="shared" si="9"/>
        <v>0</v>
      </c>
      <c r="W22" s="158">
        <f t="shared" si="11"/>
        <v>0</v>
      </c>
      <c r="X22" s="158">
        <f t="shared" si="10"/>
        <v>0</v>
      </c>
    </row>
    <row r="23" spans="1:24" x14ac:dyDescent="0.2">
      <c r="A23" s="158" t="s">
        <v>665</v>
      </c>
      <c r="B23" s="158">
        <v>1</v>
      </c>
      <c r="C23" s="158">
        <v>0</v>
      </c>
      <c r="D23" s="158">
        <v>0</v>
      </c>
      <c r="E23" s="158">
        <v>1</v>
      </c>
      <c r="F23" s="158">
        <v>0</v>
      </c>
      <c r="G23" s="158">
        <f>IF(INDEX(tbl_Neo_MedIV,NeoBerInfB!B23,5)=0,1,INDEX(tbl_Neo_MedIV,NeoBerInfB!B23,5))</f>
        <v>1</v>
      </c>
      <c r="H23" s="158">
        <f t="shared" si="1"/>
        <v>0</v>
      </c>
      <c r="I23" s="516">
        <f>IF(NeoBerInfB!G23&gt;1,INDEX(NeoTblLijst!$K$3:$K$11,NeoBerInfB!G23),1)</f>
        <v>1</v>
      </c>
      <c r="J23" s="158">
        <v>0</v>
      </c>
      <c r="K23" s="158">
        <f t="shared" si="2"/>
        <v>0</v>
      </c>
      <c r="L23" s="158">
        <f t="shared" si="3"/>
        <v>0</v>
      </c>
      <c r="M23" s="158">
        <f t="shared" si="4"/>
        <v>0</v>
      </c>
      <c r="N23" s="158">
        <f t="shared" si="5"/>
        <v>0</v>
      </c>
      <c r="O23" s="158">
        <f t="shared" si="6"/>
        <v>0</v>
      </c>
      <c r="P23" s="158">
        <f t="shared" si="7"/>
        <v>0</v>
      </c>
      <c r="Q23" s="158">
        <f t="shared" si="8"/>
        <v>0</v>
      </c>
      <c r="R23" s="158">
        <f t="shared" si="9"/>
        <v>0</v>
      </c>
      <c r="W23" s="158">
        <f t="shared" si="11"/>
        <v>0</v>
      </c>
      <c r="X23" s="158">
        <f t="shared" si="10"/>
        <v>0</v>
      </c>
    </row>
    <row r="24" spans="1:24" x14ac:dyDescent="0.2">
      <c r="A24" s="158" t="s">
        <v>666</v>
      </c>
      <c r="B24" s="158">
        <v>1</v>
      </c>
      <c r="C24" s="158">
        <v>0</v>
      </c>
      <c r="D24" s="158">
        <v>0</v>
      </c>
      <c r="E24" s="158">
        <v>1</v>
      </c>
      <c r="F24" s="158">
        <v>0</v>
      </c>
      <c r="G24" s="158">
        <f>IF(INDEX(tbl_Neo_MedIV,NeoBerInfB!B24,5)=0,1,INDEX(tbl_Neo_MedIV,NeoBerInfB!B24,5))</f>
        <v>1</v>
      </c>
      <c r="H24" s="158">
        <f t="shared" si="1"/>
        <v>0</v>
      </c>
      <c r="I24" s="516">
        <f>IF(NeoBerInfB!G24&gt;1,INDEX(NeoTblLijst!$K$3:$K$11,NeoBerInfB!G24),1)</f>
        <v>1</v>
      </c>
      <c r="J24" s="158">
        <v>0</v>
      </c>
      <c r="K24" s="158">
        <f t="shared" si="2"/>
        <v>0</v>
      </c>
      <c r="L24" s="158">
        <f t="shared" si="3"/>
        <v>0</v>
      </c>
      <c r="M24" s="158">
        <f t="shared" si="4"/>
        <v>0</v>
      </c>
      <c r="N24" s="158">
        <f t="shared" si="5"/>
        <v>0</v>
      </c>
      <c r="O24" s="158">
        <f t="shared" si="6"/>
        <v>0</v>
      </c>
      <c r="P24" s="158">
        <f t="shared" si="7"/>
        <v>0</v>
      </c>
      <c r="Q24" s="158">
        <f t="shared" si="8"/>
        <v>0</v>
      </c>
      <c r="R24" s="158">
        <f t="shared" si="9"/>
        <v>0</v>
      </c>
      <c r="W24" s="158">
        <f t="shared" si="11"/>
        <v>0</v>
      </c>
      <c r="X24" s="158">
        <f t="shared" si="10"/>
        <v>0</v>
      </c>
    </row>
    <row r="25" spans="1:24" x14ac:dyDescent="0.2">
      <c r="A25" s="158" t="s">
        <v>667</v>
      </c>
      <c r="B25" s="158">
        <v>1</v>
      </c>
      <c r="C25" s="158">
        <v>0</v>
      </c>
      <c r="D25" s="158">
        <v>0</v>
      </c>
      <c r="E25" s="158">
        <v>1</v>
      </c>
      <c r="F25" s="158">
        <v>0</v>
      </c>
      <c r="G25" s="158">
        <f>IF(INDEX(tbl_Neo_MedIV,NeoBerInfB!B25,5)=0,1,INDEX(tbl_Neo_MedIV,NeoBerInfB!B25,5))</f>
        <v>1</v>
      </c>
      <c r="H25" s="158">
        <f t="shared" si="1"/>
        <v>0</v>
      </c>
      <c r="I25" s="516">
        <f>IF(NeoBerInfB!G25&gt;1,INDEX(NeoTblLijst!$K$3:$K$11,NeoBerInfB!G25),1)</f>
        <v>1</v>
      </c>
      <c r="J25" s="158">
        <v>0</v>
      </c>
      <c r="K25" s="158">
        <f t="shared" si="2"/>
        <v>0</v>
      </c>
      <c r="L25" s="158">
        <f t="shared" si="3"/>
        <v>0</v>
      </c>
      <c r="M25" s="158">
        <f t="shared" si="4"/>
        <v>0</v>
      </c>
      <c r="N25" s="158">
        <f t="shared" si="5"/>
        <v>0</v>
      </c>
      <c r="O25" s="158">
        <f t="shared" si="6"/>
        <v>0</v>
      </c>
      <c r="P25" s="158">
        <f t="shared" si="7"/>
        <v>0</v>
      </c>
      <c r="Q25" s="158">
        <f t="shared" si="8"/>
        <v>0</v>
      </c>
      <c r="R25" s="158">
        <f t="shared" si="9"/>
        <v>0</v>
      </c>
      <c r="W25" s="158">
        <f t="shared" si="11"/>
        <v>0</v>
      </c>
      <c r="X25" s="158">
        <f t="shared" si="10"/>
        <v>0</v>
      </c>
    </row>
    <row r="26" spans="1:24" x14ac:dyDescent="0.2">
      <c r="A26" s="158" t="s">
        <v>668</v>
      </c>
      <c r="B26" s="158">
        <v>1</v>
      </c>
      <c r="C26" s="158">
        <v>0</v>
      </c>
      <c r="D26" s="158">
        <v>0</v>
      </c>
      <c r="E26" s="158">
        <v>1</v>
      </c>
      <c r="F26" s="158">
        <v>0</v>
      </c>
      <c r="G26" s="158">
        <f>IF(INDEX(tbl_Neo_MedIV,NeoBerInfB!B26,5)=0,1,INDEX(tbl_Neo_MedIV,NeoBerInfB!B26,5))</f>
        <v>1</v>
      </c>
      <c r="H26" s="158">
        <f t="shared" si="1"/>
        <v>0</v>
      </c>
      <c r="I26" s="516">
        <f>IF(NeoBerInfB!G26&gt;1,INDEX(NeoTblLijst!$K$3:$K$11,NeoBerInfB!G26),1)</f>
        <v>1</v>
      </c>
      <c r="J26" s="158">
        <v>0</v>
      </c>
      <c r="K26" s="158">
        <f t="shared" si="2"/>
        <v>0</v>
      </c>
      <c r="L26" s="158">
        <f t="shared" si="3"/>
        <v>0</v>
      </c>
      <c r="M26" s="158">
        <f t="shared" si="4"/>
        <v>0</v>
      </c>
      <c r="N26" s="158">
        <f t="shared" si="5"/>
        <v>0</v>
      </c>
      <c r="O26" s="158">
        <f t="shared" si="6"/>
        <v>0</v>
      </c>
      <c r="P26" s="158">
        <f t="shared" si="7"/>
        <v>0</v>
      </c>
      <c r="Q26" s="158">
        <f t="shared" si="8"/>
        <v>0</v>
      </c>
      <c r="R26" s="158">
        <f t="shared" si="9"/>
        <v>0</v>
      </c>
      <c r="W26" s="158">
        <f t="shared" si="11"/>
        <v>0</v>
      </c>
      <c r="X26" s="158">
        <f t="shared" si="10"/>
        <v>0</v>
      </c>
    </row>
    <row r="27" spans="1:24" x14ac:dyDescent="0.2">
      <c r="A27" s="158" t="s">
        <v>669</v>
      </c>
      <c r="B27" s="158">
        <v>1</v>
      </c>
      <c r="C27" s="158">
        <v>0</v>
      </c>
      <c r="D27" s="158">
        <v>0</v>
      </c>
      <c r="E27" s="158">
        <v>1</v>
      </c>
      <c r="F27" s="158">
        <v>0</v>
      </c>
      <c r="G27" s="158">
        <f>IF(INDEX(tbl_Neo_MedIV,NeoBerInfB!B27,5)=0,1,INDEX(tbl_Neo_MedIV,NeoBerInfB!B27,5))</f>
        <v>1</v>
      </c>
      <c r="H27" s="158">
        <f t="shared" si="1"/>
        <v>0</v>
      </c>
      <c r="I27" s="516">
        <f>IF(NeoBerInfB!G27&gt;1,INDEX(NeoTblLijst!$K$3:$K$11,NeoBerInfB!G27),1)</f>
        <v>1</v>
      </c>
      <c r="J27" s="158">
        <v>0</v>
      </c>
      <c r="K27" s="158">
        <f t="shared" si="2"/>
        <v>0</v>
      </c>
      <c r="L27" s="158">
        <f t="shared" si="3"/>
        <v>0</v>
      </c>
      <c r="M27" s="158">
        <f t="shared" si="4"/>
        <v>0</v>
      </c>
      <c r="N27" s="158">
        <f t="shared" si="5"/>
        <v>0</v>
      </c>
      <c r="O27" s="158">
        <f t="shared" si="6"/>
        <v>0</v>
      </c>
      <c r="P27" s="158">
        <f t="shared" si="7"/>
        <v>0</v>
      </c>
      <c r="Q27" s="158">
        <f t="shared" si="8"/>
        <v>0</v>
      </c>
      <c r="R27" s="158">
        <f t="shared" si="9"/>
        <v>0</v>
      </c>
      <c r="W27" s="158">
        <f t="shared" si="11"/>
        <v>0</v>
      </c>
      <c r="X27" s="158">
        <f t="shared" si="10"/>
        <v>0</v>
      </c>
    </row>
    <row r="28" spans="1:24" x14ac:dyDescent="0.2">
      <c r="A28" s="158" t="s">
        <v>670</v>
      </c>
      <c r="B28" s="158">
        <v>1</v>
      </c>
      <c r="C28" s="158">
        <v>0</v>
      </c>
      <c r="D28" s="158">
        <v>0</v>
      </c>
      <c r="E28" s="158">
        <v>1</v>
      </c>
      <c r="F28" s="158">
        <v>0</v>
      </c>
      <c r="G28" s="158">
        <f>IF(INDEX(tbl_Neo_MedIV,NeoBerInfB!B28,5)=0,1,INDEX(tbl_Neo_MedIV,NeoBerInfB!B28,5))</f>
        <v>1</v>
      </c>
      <c r="H28" s="158">
        <f t="shared" si="1"/>
        <v>0</v>
      </c>
      <c r="I28" s="516">
        <f>IF(NeoBerInfB!G28&gt;1,INDEX(NeoTblLijst!$K$3:$K$11,NeoBerInfB!G28),1)</f>
        <v>1</v>
      </c>
      <c r="J28" s="158">
        <v>0</v>
      </c>
      <c r="K28" s="158">
        <f t="shared" si="2"/>
        <v>0</v>
      </c>
      <c r="L28" s="158">
        <f t="shared" si="3"/>
        <v>0</v>
      </c>
      <c r="M28" s="158">
        <f t="shared" si="4"/>
        <v>0</v>
      </c>
      <c r="N28" s="158">
        <f t="shared" si="5"/>
        <v>0</v>
      </c>
      <c r="O28" s="158">
        <f t="shared" si="6"/>
        <v>0</v>
      </c>
      <c r="P28" s="158">
        <f t="shared" si="7"/>
        <v>0</v>
      </c>
      <c r="Q28" s="158">
        <f t="shared" si="8"/>
        <v>0</v>
      </c>
      <c r="R28" s="158">
        <f t="shared" si="9"/>
        <v>0</v>
      </c>
      <c r="W28" s="158">
        <f t="shared" si="11"/>
        <v>0</v>
      </c>
      <c r="X28" s="158">
        <f t="shared" si="10"/>
        <v>0</v>
      </c>
    </row>
    <row r="29" spans="1:24" x14ac:dyDescent="0.2">
      <c r="A29" s="158" t="s">
        <v>600</v>
      </c>
      <c r="E29" s="158">
        <v>0</v>
      </c>
      <c r="F29" s="158">
        <v>0</v>
      </c>
      <c r="J29" s="158" t="b">
        <v>0</v>
      </c>
      <c r="K29" s="158">
        <f t="shared" si="2"/>
        <v>0</v>
      </c>
      <c r="L29" s="158">
        <f t="shared" si="3"/>
        <v>0</v>
      </c>
      <c r="M29" s="158">
        <f t="shared" si="4"/>
        <v>0</v>
      </c>
      <c r="N29" s="158">
        <f t="shared" si="5"/>
        <v>0</v>
      </c>
      <c r="O29" s="158">
        <f t="shared" si="6"/>
        <v>0</v>
      </c>
      <c r="P29" s="158">
        <f t="shared" si="7"/>
        <v>0</v>
      </c>
      <c r="Q29" s="158">
        <f t="shared" si="8"/>
        <v>0</v>
      </c>
      <c r="R29" s="158">
        <f t="shared" si="9"/>
        <v>0</v>
      </c>
      <c r="W29" s="158">
        <f>ROUND(IF(X29*10&gt;1,X29*10,X29*600),0)</f>
        <v>0</v>
      </c>
      <c r="X29" s="158">
        <f t="shared" si="10"/>
        <v>0</v>
      </c>
    </row>
    <row r="30" spans="1:24" x14ac:dyDescent="0.2">
      <c r="A30" s="158" t="s">
        <v>601</v>
      </c>
      <c r="E30" s="158">
        <v>0</v>
      </c>
      <c r="F30" s="158">
        <v>0</v>
      </c>
      <c r="J30" s="158" t="b">
        <v>0</v>
      </c>
      <c r="K30" s="158">
        <f t="shared" si="2"/>
        <v>0</v>
      </c>
      <c r="L30" s="158">
        <f t="shared" si="3"/>
        <v>0</v>
      </c>
      <c r="M30" s="158">
        <f t="shared" si="4"/>
        <v>0</v>
      </c>
      <c r="N30" s="158">
        <f t="shared" si="5"/>
        <v>0</v>
      </c>
      <c r="O30" s="158">
        <f t="shared" si="6"/>
        <v>0</v>
      </c>
      <c r="P30" s="158">
        <f t="shared" si="7"/>
        <v>0</v>
      </c>
      <c r="Q30" s="158">
        <f t="shared" si="8"/>
        <v>0</v>
      </c>
      <c r="R30" s="158">
        <f t="shared" si="9"/>
        <v>0</v>
      </c>
      <c r="W30" s="158">
        <f>ROUND(IF(X30*10&gt;1,X30*10,X30*600),0)</f>
        <v>0</v>
      </c>
      <c r="X30" s="158">
        <f t="shared" si="10"/>
        <v>0</v>
      </c>
    </row>
    <row r="31" spans="1:24" x14ac:dyDescent="0.2">
      <c r="A31" s="158" t="s">
        <v>602</v>
      </c>
      <c r="E31" s="158">
        <v>0</v>
      </c>
      <c r="F31" s="158">
        <v>0</v>
      </c>
      <c r="J31" s="158" t="b">
        <v>0</v>
      </c>
      <c r="K31" s="158">
        <f t="shared" si="2"/>
        <v>0</v>
      </c>
      <c r="L31" s="158">
        <f t="shared" si="3"/>
        <v>0</v>
      </c>
      <c r="M31" s="158">
        <f t="shared" si="4"/>
        <v>0</v>
      </c>
      <c r="N31" s="158">
        <f t="shared" si="5"/>
        <v>0</v>
      </c>
      <c r="O31" s="158">
        <f t="shared" si="6"/>
        <v>0</v>
      </c>
      <c r="P31" s="158">
        <f t="shared" si="7"/>
        <v>0</v>
      </c>
      <c r="Q31" s="158">
        <f t="shared" si="8"/>
        <v>0</v>
      </c>
      <c r="R31" s="158">
        <f t="shared" si="9"/>
        <v>0</v>
      </c>
      <c r="W31" s="158">
        <f>ROUND(IF(X31*10&gt;1,X31*10,X31*600),0)</f>
        <v>0</v>
      </c>
      <c r="X31" s="158">
        <f t="shared" si="10"/>
        <v>0</v>
      </c>
    </row>
    <row r="32" spans="1:24" x14ac:dyDescent="0.2">
      <c r="A32" s="421" t="s">
        <v>1150</v>
      </c>
    </row>
    <row r="33" spans="1:22" x14ac:dyDescent="0.2">
      <c r="A33" s="421" t="s">
        <v>1151</v>
      </c>
    </row>
    <row r="34" spans="1:22" x14ac:dyDescent="0.2">
      <c r="B34" s="158" t="s">
        <v>671</v>
      </c>
      <c r="C34" s="158" t="s">
        <v>672</v>
      </c>
      <c r="D34" s="158" t="s">
        <v>673</v>
      </c>
      <c r="F34" s="158" t="s">
        <v>1164</v>
      </c>
    </row>
    <row r="35" spans="1:22" x14ac:dyDescent="0.2">
      <c r="A35" s="158" t="str">
        <f>INDEX(tbl_Neo_IntralipidSmof,Var_Neo_InfB_IntralipidSmof)</f>
        <v>Intralipid 20% (incl vitintra)</v>
      </c>
      <c r="B35" s="312">
        <f ca="1">ROUND((_Pat_Gewicht/10)*INDEX(NeoBerAdvies!$B$9:$G$16,8,NeoBerInfB!$C$6),0)</f>
        <v>0</v>
      </c>
      <c r="C35" s="158">
        <f ca="1">ROUND(IF(AND(B17,B35+(D35-5000)&gt;0),B35+(D35-5000),0),0)</f>
        <v>0</v>
      </c>
      <c r="D35" s="158">
        <v>5000</v>
      </c>
      <c r="F35" s="158">
        <v>1</v>
      </c>
      <c r="K35" s="158">
        <f ca="1">C35</f>
        <v>0</v>
      </c>
      <c r="S35" s="158">
        <f ca="1">0.2*K35*10/12</f>
        <v>0</v>
      </c>
      <c r="V35" s="158">
        <f ca="1">40*C35*2/12</f>
        <v>0</v>
      </c>
    </row>
    <row r="36" spans="1:22" x14ac:dyDescent="0.2">
      <c r="A36" s="158" t="s">
        <v>604</v>
      </c>
      <c r="B36" s="312"/>
      <c r="D36" s="158">
        <v>1</v>
      </c>
    </row>
    <row r="37" spans="1:22" x14ac:dyDescent="0.2">
      <c r="A37" s="158" t="s">
        <v>347</v>
      </c>
      <c r="B37" s="312">
        <f ca="1">ROUND((_Pat_Gewicht/10)*INDEX(NeoBerAdvies!$B$9:$G$16,2,NeoBerInfB!$C$6),0)</f>
        <v>0</v>
      </c>
      <c r="C37" s="158">
        <f ca="1">IF(AND($B$17,B37+(D37-5000)/10&gt;0),ROUND(B37+(D37-5000)/10,1),0)</f>
        <v>0</v>
      </c>
      <c r="D37" s="158">
        <v>5000</v>
      </c>
      <c r="K37" s="158">
        <f ca="1">IF(OR($D$36=1,$D$36=3),C37,0)</f>
        <v>0</v>
      </c>
      <c r="L37" s="158">
        <f ca="1">K37*0.5</f>
        <v>0</v>
      </c>
      <c r="U37" s="158">
        <f ca="1">K37*0.5</f>
        <v>0</v>
      </c>
    </row>
    <row r="38" spans="1:22" x14ac:dyDescent="0.2">
      <c r="A38" s="158" t="s">
        <v>605</v>
      </c>
      <c r="B38" s="312">
        <f ca="1">ROUND((_Pat_Gewicht/10)*INDEX(NeoBerAdvies!$B$9:$G$16,3,NeoBerInfB!$C$6),0)</f>
        <v>0</v>
      </c>
      <c r="C38" s="158">
        <f ca="1">IF(AND($B$17,B38+(D38-5000)/10&gt;0),ROUND(B38+(D38-5000)/10,1),0)</f>
        <v>0</v>
      </c>
      <c r="D38" s="158">
        <v>5000</v>
      </c>
      <c r="K38" s="158">
        <f ca="1">IF(OR($D$36=1,$D$36=3),C38,0)</f>
        <v>0</v>
      </c>
      <c r="M38" s="158">
        <f ca="1">K38</f>
        <v>0</v>
      </c>
    </row>
    <row r="39" spans="1:22" x14ac:dyDescent="0.2">
      <c r="A39" s="158" t="s">
        <v>606</v>
      </c>
      <c r="B39" s="312">
        <f ca="1">ROUND((_Pat_Gewicht/10)*INDEX(NeoBerAdvies!$B$9:$G$16,4,NeoBerInfB!$C$6),0)</f>
        <v>0</v>
      </c>
      <c r="C39" s="158">
        <f ca="1">IF(AND($B$17,B39+(D39-5000)/10&gt;0),ROUND(B39+(D39-5000)/10,1),0)</f>
        <v>0</v>
      </c>
      <c r="D39" s="158">
        <v>5000</v>
      </c>
      <c r="K39" s="158">
        <f ca="1">IF($D$36=1,C39,0)</f>
        <v>0</v>
      </c>
      <c r="N39" s="158">
        <f ca="1">K39*0.225</f>
        <v>0</v>
      </c>
      <c r="U39" s="158">
        <f ca="1">K39*0.225*2</f>
        <v>0</v>
      </c>
    </row>
    <row r="40" spans="1:22" x14ac:dyDescent="0.2">
      <c r="A40" s="158" t="s">
        <v>607</v>
      </c>
      <c r="B40" s="312">
        <f ca="1">ROUND((_Pat_Gewicht/10)*INDEX(NeoBerAdvies!$B$9:$G$16,5,NeoBerInfB!$C$6),1)</f>
        <v>0</v>
      </c>
      <c r="C40" s="158">
        <f ca="1">IF(AND($B$17,B40+(D40-5000)/10&gt;0),ROUND(B40+(D40-5000)/10,1),0)</f>
        <v>0</v>
      </c>
      <c r="D40" s="158">
        <v>5000</v>
      </c>
      <c r="K40" s="158">
        <f ca="1">IF($D$36=1,C40,0)</f>
        <v>0</v>
      </c>
      <c r="O40" s="158">
        <f ca="1">K40*0.5</f>
        <v>0</v>
      </c>
      <c r="U40" s="158">
        <f ca="1">K40*0.5*2</f>
        <v>0</v>
      </c>
    </row>
    <row r="41" spans="1:22" x14ac:dyDescent="0.2">
      <c r="A41" s="158" t="s">
        <v>210</v>
      </c>
      <c r="B41" s="312">
        <f ca="1">ROUND((_Pat_Gewicht/10)*INDEX(NeoBerAdvies!$B$9:$G$16,6,NeoBerInfB!$C$6),1)</f>
        <v>0</v>
      </c>
      <c r="C41" s="158">
        <f ca="1">IF(AND($B$17,B41+(D41-5000)/10&gt;0),ROUND(B41+(D41-5000)/10,1),0)</f>
        <v>0</v>
      </c>
      <c r="D41" s="158">
        <v>5000</v>
      </c>
      <c r="K41" s="158">
        <f ca="1">IF($D$36=1,C41,0)</f>
        <v>0</v>
      </c>
      <c r="V41" s="158">
        <f ca="1">40*C41</f>
        <v>0</v>
      </c>
    </row>
    <row r="42" spans="1:22" x14ac:dyDescent="0.2">
      <c r="A42" s="158" t="s">
        <v>562</v>
      </c>
      <c r="B42" s="312">
        <f ca="1">ROUND((_Pat_Gewicht/10)*INDEX(NeoBerAdvies!$B$9:$G$16,7,NeoBerInfB!$C$6),0)</f>
        <v>0</v>
      </c>
      <c r="C42" s="158">
        <f ca="1">IF(AND($B$17,B42+(D42-5000)&gt;0),ROUND(B42+(D42-5000),0),0)</f>
        <v>0</v>
      </c>
      <c r="D42" s="158">
        <v>5000</v>
      </c>
      <c r="K42" s="158">
        <f ca="1">IF($D$36=1,C42,0)</f>
        <v>0</v>
      </c>
      <c r="Q42" s="158">
        <f ca="1">0.1*K42</f>
        <v>0</v>
      </c>
    </row>
    <row r="43" spans="1:22" x14ac:dyDescent="0.2">
      <c r="A43" s="158" t="s">
        <v>563</v>
      </c>
      <c r="B43" s="312">
        <f ca="1">ROUND((_Pat_Gewicht/10)*INDEX(NeoBerAdvies!$B$9:$G$16,1,NeoBerInfB!$C$6),1)</f>
        <v>0</v>
      </c>
      <c r="C43" s="158">
        <f ca="1">ROUND(IF(AND($B$17,B43+(D43-5000)&gt;0),B43+(D43-5000),0),0)</f>
        <v>0</v>
      </c>
      <c r="D43" s="158">
        <v>5000</v>
      </c>
      <c r="K43" s="158">
        <f>IF(D36=2,C43,0)</f>
        <v>0</v>
      </c>
      <c r="L43" s="158">
        <f>INDEX(tbl_Neo_TpnNICU,2,L11)*$K$43</f>
        <v>0</v>
      </c>
      <c r="M43" s="158">
        <f t="shared" ref="M43:T43" si="12">INDEX(tbl_Neo_TpnNICU,2,M11)*$K$43</f>
        <v>0</v>
      </c>
      <c r="N43" s="158">
        <f t="shared" si="12"/>
        <v>0</v>
      </c>
      <c r="O43" s="158">
        <f t="shared" si="12"/>
        <v>0</v>
      </c>
      <c r="P43" s="158">
        <f t="shared" si="12"/>
        <v>0</v>
      </c>
      <c r="Q43" s="158">
        <f t="shared" si="12"/>
        <v>0</v>
      </c>
      <c r="R43" s="158">
        <f t="shared" si="12"/>
        <v>0</v>
      </c>
      <c r="S43" s="158">
        <f t="shared" si="12"/>
        <v>0</v>
      </c>
      <c r="T43" s="158">
        <f t="shared" si="12"/>
        <v>0</v>
      </c>
    </row>
    <row r="44" spans="1:22" x14ac:dyDescent="0.2">
      <c r="A44" s="158" t="s">
        <v>345</v>
      </c>
      <c r="B44" s="312">
        <f ca="1">ROUND((_Pat_Gewicht/10)*INDEX(NeoBerAdvies!$B$9:$G$16,1,NeoBerInfB!$C$6),1)</f>
        <v>0</v>
      </c>
      <c r="C44" s="158">
        <f ca="1">ROUND(IF(AND($B$17,B44+(D44-5000)&gt;0),B44+(D44-5000),0),0)</f>
        <v>0</v>
      </c>
      <c r="D44" s="158">
        <v>5000</v>
      </c>
      <c r="K44" s="158">
        <f>IF(D36=3,C44,0)</f>
        <v>0</v>
      </c>
      <c r="L44" s="158">
        <f>INDEX(tbl_Neo_TpnNICU,1,L11)*$K$44</f>
        <v>0</v>
      </c>
      <c r="M44" s="158">
        <f t="shared" ref="M44:T44" si="13">INDEX(tbl_Neo_TpnNICU,1,M11)*$K$44</f>
        <v>0</v>
      </c>
      <c r="N44" s="158">
        <f t="shared" si="13"/>
        <v>0</v>
      </c>
      <c r="O44" s="158">
        <f t="shared" si="13"/>
        <v>0</v>
      </c>
      <c r="P44" s="158">
        <f t="shared" si="13"/>
        <v>0</v>
      </c>
      <c r="Q44" s="158">
        <f t="shared" si="13"/>
        <v>0</v>
      </c>
      <c r="R44" s="158">
        <f t="shared" si="13"/>
        <v>0</v>
      </c>
      <c r="S44" s="158">
        <f t="shared" si="13"/>
        <v>0</v>
      </c>
      <c r="T44" s="158">
        <f t="shared" si="13"/>
        <v>0</v>
      </c>
    </row>
    <row r="45" spans="1:22" x14ac:dyDescent="0.2">
      <c r="A45" s="158" t="s">
        <v>674</v>
      </c>
      <c r="D45" s="158">
        <v>2</v>
      </c>
      <c r="K45" s="158">
        <f>IF(B17,ROUND(C17-SUM(K18:K44),1),0)</f>
        <v>0</v>
      </c>
      <c r="R45" s="158">
        <f>INDEX(tbl_Neo_Opl,D45+1,2)*K45</f>
        <v>0</v>
      </c>
    </row>
    <row r="47" spans="1:22" x14ac:dyDescent="0.2">
      <c r="A47" s="158" t="s">
        <v>118</v>
      </c>
      <c r="K47" s="158">
        <f ca="1">K49+K50</f>
        <v>0</v>
      </c>
      <c r="L47" s="158">
        <f t="shared" ref="L47:V47" ca="1" si="14">L49+L50</f>
        <v>0</v>
      </c>
      <c r="M47" s="158">
        <f t="shared" ca="1" si="14"/>
        <v>0</v>
      </c>
      <c r="N47" s="158">
        <f t="shared" ca="1" si="14"/>
        <v>0</v>
      </c>
      <c r="O47" s="158">
        <f t="shared" ca="1" si="14"/>
        <v>0</v>
      </c>
      <c r="P47" s="158">
        <f t="shared" si="14"/>
        <v>0</v>
      </c>
      <c r="Q47" s="158">
        <f t="shared" ca="1" si="14"/>
        <v>0</v>
      </c>
      <c r="R47" s="158">
        <f t="shared" si="14"/>
        <v>0</v>
      </c>
      <c r="S47" s="158">
        <f t="shared" ca="1" si="14"/>
        <v>0</v>
      </c>
      <c r="T47" s="158">
        <f t="shared" ca="1" si="14"/>
        <v>0</v>
      </c>
      <c r="U47" s="158">
        <f t="shared" ca="1" si="14"/>
        <v>0</v>
      </c>
      <c r="V47" s="158">
        <f t="shared" ca="1" si="14"/>
        <v>0</v>
      </c>
    </row>
    <row r="49" spans="1:22" x14ac:dyDescent="0.2">
      <c r="A49" s="158" t="s">
        <v>213</v>
      </c>
      <c r="K49" s="158">
        <f>K14</f>
        <v>0</v>
      </c>
      <c r="L49" s="158">
        <f t="shared" ref="L49:V49" si="15">L14+IF(INDEX(tbl_Neo_LijstVoeding,Var_Neo_InfB_Voeding,14)="MM",L57,L62)</f>
        <v>0</v>
      </c>
      <c r="M49" s="421">
        <f t="shared" si="15"/>
        <v>0</v>
      </c>
      <c r="N49" s="421">
        <f t="shared" si="15"/>
        <v>0</v>
      </c>
      <c r="O49" s="421">
        <f t="shared" si="15"/>
        <v>0</v>
      </c>
      <c r="P49" s="421">
        <f t="shared" si="15"/>
        <v>0</v>
      </c>
      <c r="Q49" s="421">
        <f t="shared" si="15"/>
        <v>0</v>
      </c>
      <c r="R49" s="421">
        <f t="shared" si="15"/>
        <v>0</v>
      </c>
      <c r="S49" s="421">
        <f t="shared" si="15"/>
        <v>0</v>
      </c>
      <c r="T49" s="421">
        <f t="shared" si="15"/>
        <v>0</v>
      </c>
      <c r="U49" s="421">
        <f t="shared" si="15"/>
        <v>0</v>
      </c>
      <c r="V49" s="421">
        <f t="shared" si="15"/>
        <v>0</v>
      </c>
    </row>
    <row r="50" spans="1:22" x14ac:dyDescent="0.2">
      <c r="A50" s="158" t="s">
        <v>211</v>
      </c>
      <c r="K50" s="158">
        <f ca="1">SUM(K18:K45)</f>
        <v>0</v>
      </c>
      <c r="L50" s="158">
        <f t="shared" ref="L50:V50" ca="1" si="16">SUM(L18:L45)</f>
        <v>0</v>
      </c>
      <c r="M50" s="158">
        <f t="shared" ca="1" si="16"/>
        <v>0</v>
      </c>
      <c r="N50" s="158">
        <f t="shared" ca="1" si="16"/>
        <v>0</v>
      </c>
      <c r="O50" s="158">
        <f t="shared" ca="1" si="16"/>
        <v>0</v>
      </c>
      <c r="P50" s="158">
        <f t="shared" si="16"/>
        <v>0</v>
      </c>
      <c r="Q50" s="158">
        <f t="shared" ca="1" si="16"/>
        <v>0</v>
      </c>
      <c r="R50" s="158">
        <f t="shared" si="16"/>
        <v>0</v>
      </c>
      <c r="S50" s="158">
        <f t="shared" ca="1" si="16"/>
        <v>0</v>
      </c>
      <c r="T50" s="158">
        <f ca="1">S50*9+R50*4+Q50*4</f>
        <v>0</v>
      </c>
      <c r="U50" s="158">
        <f t="shared" ca="1" si="16"/>
        <v>0</v>
      </c>
      <c r="V50" s="158">
        <f t="shared" ca="1" si="16"/>
        <v>0</v>
      </c>
    </row>
    <row r="52" spans="1:22" x14ac:dyDescent="0.2">
      <c r="A52" s="158" t="s">
        <v>967</v>
      </c>
      <c r="B52" s="158">
        <v>1</v>
      </c>
      <c r="J52" s="158">
        <v>1</v>
      </c>
      <c r="K52" s="516">
        <f>INDEX(tbl_Neo_NutrBMFWaard,NeoBerInfB!J52)</f>
        <v>0</v>
      </c>
      <c r="L52" s="417">
        <f t="shared" ref="L52:V52" si="17">IF($J52&gt;1,($K52/100)*$K$49*HLOOKUP(L1,tbl_Neo_NutrBMFToev,$B52,FALSE),0)</f>
        <v>0</v>
      </c>
      <c r="M52" s="417">
        <f t="shared" si="17"/>
        <v>0</v>
      </c>
      <c r="N52" s="417">
        <f t="shared" si="17"/>
        <v>0</v>
      </c>
      <c r="O52" s="417">
        <f t="shared" si="17"/>
        <v>0</v>
      </c>
      <c r="P52" s="417">
        <f t="shared" si="17"/>
        <v>0</v>
      </c>
      <c r="Q52" s="417">
        <f t="shared" si="17"/>
        <v>0</v>
      </c>
      <c r="R52" s="417">
        <f t="shared" si="17"/>
        <v>0</v>
      </c>
      <c r="S52" s="417">
        <f t="shared" si="17"/>
        <v>0</v>
      </c>
      <c r="T52" s="417">
        <f t="shared" si="17"/>
        <v>0</v>
      </c>
      <c r="U52" s="417">
        <f t="shared" si="17"/>
        <v>0</v>
      </c>
      <c r="V52" s="417">
        <f t="shared" si="17"/>
        <v>0</v>
      </c>
    </row>
    <row r="53" spans="1:22" x14ac:dyDescent="0.2">
      <c r="A53" s="158" t="s">
        <v>958</v>
      </c>
      <c r="B53" s="158">
        <v>1</v>
      </c>
      <c r="C53" s="158">
        <f>Var_Neo_InfB_Toevoeging_1+1</f>
        <v>2</v>
      </c>
      <c r="J53" s="158">
        <v>1</v>
      </c>
      <c r="K53" s="516">
        <f>INDEX(tbl_Neo_NutrToevWaard,NeoBerInfB!J53)</f>
        <v>0</v>
      </c>
      <c r="L53" s="417">
        <f>IF($B53&gt;1,($K53)*$K$49*HLOOKUP(NeoBerInfB!L$1,tbl_Neo_OpzoektabelMM,$C53,FALSE)/100,0)</f>
        <v>0</v>
      </c>
      <c r="M53" s="417">
        <f>IF($B53&gt;1,($K53)*$K$49*HLOOKUP(NeoBerInfB!M$1,tbl_Neo_OpzoektabelMM,$C53,FALSE)/100,0)</f>
        <v>0</v>
      </c>
      <c r="N53" s="417">
        <f>IF($B53&gt;1,($K53)*$K$49*HLOOKUP(NeoBerInfB!N$1,tbl_Neo_OpzoektabelMM,$C53,FALSE)/100,0)</f>
        <v>0</v>
      </c>
      <c r="O53" s="417">
        <f>IF($B53&gt;1,($K53)*$K$49*HLOOKUP(NeoBerInfB!O$1,tbl_Neo_OpzoektabelMM,$C53,FALSE)/100,0)</f>
        <v>0</v>
      </c>
      <c r="P53" s="417">
        <f>IF($B53&gt;1,($K53)*$K$49*HLOOKUP(NeoBerInfB!P$1,tbl_Neo_OpzoektabelMM,$C53,FALSE)/100,0)</f>
        <v>0</v>
      </c>
      <c r="Q53" s="417">
        <f>IF($B53&gt;1,($K53)*$K$49*HLOOKUP(NeoBerInfB!Q$1,tbl_Neo_OpzoektabelMM,$C53,FALSE)/100,0)</f>
        <v>0</v>
      </c>
      <c r="R53" s="417">
        <f>IF($B53&gt;1,($K53)*$K$49*HLOOKUP(NeoBerInfB!R$1,tbl_Neo_OpzoektabelMM,$C53,FALSE)/100,0)</f>
        <v>0</v>
      </c>
      <c r="S53" s="417">
        <f>IF($B53&gt;1,($K53)*$K$49*HLOOKUP(NeoBerInfB!S$1,tbl_Neo_OpzoektabelMM,$C53,FALSE)/100,0)</f>
        <v>0</v>
      </c>
      <c r="T53" s="417">
        <f>IF($B53&gt;1,($K53)*$K$49*HLOOKUP(NeoBerInfB!T$1,tbl_Neo_OpzoektabelMM,$C53,FALSE)/100,0)</f>
        <v>0</v>
      </c>
      <c r="U53" s="417">
        <f>IF($B53&gt;1,($K53)*$K$49*HLOOKUP(NeoBerInfB!U$1,tbl_Neo_OpzoektabelMM,$C53,FALSE)/100,0)</f>
        <v>0</v>
      </c>
      <c r="V53" s="417">
        <f>IF($B53&gt;1,($K53)*$K$49*HLOOKUP(NeoBerInfB!V$1,tbl_Neo_OpzoektabelMM,$C53,FALSE)/100,0)</f>
        <v>0</v>
      </c>
    </row>
    <row r="54" spans="1:22" x14ac:dyDescent="0.2">
      <c r="A54" s="158" t="s">
        <v>959</v>
      </c>
      <c r="B54" s="158">
        <v>1</v>
      </c>
      <c r="C54" s="404">
        <f>Var_Neo_InfB_Toevoeging_2+1</f>
        <v>2</v>
      </c>
      <c r="J54" s="158">
        <v>1</v>
      </c>
      <c r="K54" s="516">
        <f>INDEX(tbl_Neo_NutrToevWaard,NeoBerInfB!J54)</f>
        <v>0</v>
      </c>
      <c r="L54" s="417">
        <f>IF($B54&gt;1,($K54)*$K$49*HLOOKUP(NeoBerInfB!L$1,tbl_Neo_OpzoektabelMM,$C54,FALSE)/100,0)</f>
        <v>0</v>
      </c>
      <c r="M54" s="417">
        <f>IF($B54&gt;1,($K54)*$K$49*HLOOKUP(NeoBerInfB!M$1,tbl_Neo_OpzoektabelMM,$C54,FALSE)/100,0)</f>
        <v>0</v>
      </c>
      <c r="N54" s="417">
        <f>IF($B54&gt;1,($K54)*$K$49*HLOOKUP(NeoBerInfB!N$1,tbl_Neo_OpzoektabelMM,$C54,FALSE)/100,0)</f>
        <v>0</v>
      </c>
      <c r="O54" s="417">
        <f>IF($B54&gt;1,($K54)*$K$49*HLOOKUP(NeoBerInfB!O$1,tbl_Neo_OpzoektabelMM,$C54,FALSE)/100,0)</f>
        <v>0</v>
      </c>
      <c r="P54" s="417">
        <f>IF($B54&gt;1,($K54)*$K$49*HLOOKUP(NeoBerInfB!P$1,tbl_Neo_OpzoektabelMM,$C54,FALSE)/100,0)</f>
        <v>0</v>
      </c>
      <c r="Q54" s="417">
        <f>IF($B54&gt;1,($K54)*$K$49*HLOOKUP(NeoBerInfB!Q$1,tbl_Neo_OpzoektabelMM,$C54,FALSE)/100,0)</f>
        <v>0</v>
      </c>
      <c r="R54" s="417">
        <f>IF($B54&gt;1,($K54)*$K$49*HLOOKUP(NeoBerInfB!R$1,tbl_Neo_OpzoektabelMM,$C54,FALSE)/100,0)</f>
        <v>0</v>
      </c>
      <c r="S54" s="417">
        <f>IF($B54&gt;1,($K54)*$K$49*HLOOKUP(NeoBerInfB!S$1,tbl_Neo_OpzoektabelMM,$C54,FALSE)/100,0)</f>
        <v>0</v>
      </c>
      <c r="T54" s="417">
        <f>IF($B54&gt;1,($K54)*$K$49*HLOOKUP(NeoBerInfB!T$1,tbl_Neo_OpzoektabelMM,$C54,FALSE)/100,0)</f>
        <v>0</v>
      </c>
      <c r="U54" s="417">
        <f>IF($B54&gt;1,($K54)*$K$49*HLOOKUP(NeoBerInfB!U$1,tbl_Neo_OpzoektabelMM,$C54,FALSE)/100,0)</f>
        <v>0</v>
      </c>
      <c r="V54" s="417">
        <f>IF($B54&gt;1,($K54)*$K$49*HLOOKUP(NeoBerInfB!V$1,tbl_Neo_OpzoektabelMM,$C54,FALSE)/100,0)</f>
        <v>0</v>
      </c>
    </row>
    <row r="55" spans="1:22" x14ac:dyDescent="0.2">
      <c r="A55" s="158" t="s">
        <v>960</v>
      </c>
      <c r="B55" s="158">
        <v>1</v>
      </c>
      <c r="C55" s="404">
        <f>Var_Neo_InfB_Toevoeging_3+1</f>
        <v>2</v>
      </c>
      <c r="J55" s="158">
        <v>1</v>
      </c>
      <c r="K55" s="516">
        <f>INDEX(tbl_Neo_NutrToevWaard,NeoBerInfB!J55)</f>
        <v>0</v>
      </c>
      <c r="L55" s="417">
        <f>IF($B55&gt;1,($K55)*$K$49*HLOOKUP(NeoBerInfB!L$1,tbl_Neo_OpzoektabelMM,$C55,FALSE)/100,0)</f>
        <v>0</v>
      </c>
      <c r="M55" s="417">
        <f>IF($B55&gt;1,($K55)*$K$49*HLOOKUP(NeoBerInfB!M$1,tbl_Neo_OpzoektabelMM,$C55,FALSE)/100,0)</f>
        <v>0</v>
      </c>
      <c r="N55" s="417">
        <f>IF($B55&gt;1,($K55)*$K$49*HLOOKUP(NeoBerInfB!N$1,tbl_Neo_OpzoektabelMM,$C55,FALSE)/100,0)</f>
        <v>0</v>
      </c>
      <c r="O55" s="417">
        <f>IF($B55&gt;1,($K55)*$K$49*HLOOKUP(NeoBerInfB!O$1,tbl_Neo_OpzoektabelMM,$C55,FALSE)/100,0)</f>
        <v>0</v>
      </c>
      <c r="P55" s="417">
        <f>IF($B55&gt;1,($K55)*$K$49*HLOOKUP(NeoBerInfB!P$1,tbl_Neo_OpzoektabelMM,$C55,FALSE)/100,0)</f>
        <v>0</v>
      </c>
      <c r="Q55" s="417">
        <f>IF($B55&gt;1,($K55)*$K$49*HLOOKUP(NeoBerInfB!Q$1,tbl_Neo_OpzoektabelMM,$C55,FALSE)/100,0)</f>
        <v>0</v>
      </c>
      <c r="R55" s="417">
        <f>IF($B55&gt;1,($K55)*$K$49*HLOOKUP(NeoBerInfB!R$1,tbl_Neo_OpzoektabelMM,$C55,FALSE)/100,0)</f>
        <v>0</v>
      </c>
      <c r="S55" s="417">
        <f>IF($B55&gt;1,($K55)*$K$49*HLOOKUP(NeoBerInfB!S$1,tbl_Neo_OpzoektabelMM,$C55,FALSE)/100,0)</f>
        <v>0</v>
      </c>
      <c r="T55" s="417">
        <f>IF($B55&gt;1,($K55)*$K$49*HLOOKUP(NeoBerInfB!T$1,tbl_Neo_OpzoektabelMM,$C55,FALSE)/100,0)</f>
        <v>0</v>
      </c>
      <c r="U55" s="417">
        <f>IF($B55&gt;1,($K55)*$K$49*HLOOKUP(NeoBerInfB!U$1,tbl_Neo_OpzoektabelMM,$C55,FALSE)/100,0)</f>
        <v>0</v>
      </c>
      <c r="V55" s="417">
        <f>IF($B55&gt;1,($K55)*$K$49*HLOOKUP(NeoBerInfB!V$1,tbl_Neo_OpzoektabelMM,$C55,FALSE)/100,0)</f>
        <v>0</v>
      </c>
    </row>
    <row r="56" spans="1:22" x14ac:dyDescent="0.2">
      <c r="A56" s="158" t="s">
        <v>961</v>
      </c>
      <c r="B56" s="158">
        <v>1</v>
      </c>
      <c r="C56" s="404">
        <f>Var_Neo_InfB_Toevoeging_4+1</f>
        <v>2</v>
      </c>
      <c r="J56" s="158">
        <v>1</v>
      </c>
      <c r="K56" s="516">
        <f>INDEX(tbl_Neo_NutrToevWaard,NeoBerInfB!J56)</f>
        <v>0</v>
      </c>
      <c r="L56" s="417">
        <f>IF($B56&gt;1,($K56)*$K$49*HLOOKUP(NeoBerInfB!L$1,tbl_Neo_OpzoektabelMM,$C56,FALSE)/100,0)</f>
        <v>0</v>
      </c>
      <c r="M56" s="417">
        <f>IF($B56&gt;1,($K56)*$K$49*HLOOKUP(NeoBerInfB!M$1,tbl_Neo_OpzoektabelMM,$C56,FALSE)/100,0)</f>
        <v>0</v>
      </c>
      <c r="N56" s="417">
        <f>IF($B56&gt;1,($K56)*$K$49*HLOOKUP(NeoBerInfB!N$1,tbl_Neo_OpzoektabelMM,$C56,FALSE)/100,0)</f>
        <v>0</v>
      </c>
      <c r="O56" s="417">
        <f>IF($B56&gt;1,($K56)*$K$49*HLOOKUP(NeoBerInfB!O$1,tbl_Neo_OpzoektabelMM,$C56,FALSE)/100,0)</f>
        <v>0</v>
      </c>
      <c r="P56" s="417">
        <f>IF($B56&gt;1,($K56)*$K$49*HLOOKUP(NeoBerInfB!P$1,tbl_Neo_OpzoektabelMM,$C56,FALSE)/100,0)</f>
        <v>0</v>
      </c>
      <c r="Q56" s="417">
        <f>IF($B56&gt;1,($K56)*$K$49*HLOOKUP(NeoBerInfB!Q$1,tbl_Neo_OpzoektabelMM,$C56,FALSE)/100,0)</f>
        <v>0</v>
      </c>
      <c r="R56" s="417">
        <f>IF($B56&gt;1,($K56)*$K$49*HLOOKUP(NeoBerInfB!R$1,tbl_Neo_OpzoektabelMM,$C56,FALSE)/100,0)</f>
        <v>0</v>
      </c>
      <c r="S56" s="417">
        <f>IF($B56&gt;1,($K56)*$K$49*HLOOKUP(NeoBerInfB!S$1,tbl_Neo_OpzoektabelMM,$C56,FALSE)/100,0)</f>
        <v>0</v>
      </c>
      <c r="T56" s="417">
        <f>IF($B56&gt;1,($K56)*$K$49*HLOOKUP(NeoBerInfB!T$1,tbl_Neo_OpzoektabelMM,$C56,FALSE)/100,0)</f>
        <v>0</v>
      </c>
      <c r="U56" s="417">
        <f>IF($B56&gt;1,($K56)*$K$49*HLOOKUP(NeoBerInfB!U$1,tbl_Neo_OpzoektabelMM,$C56,FALSE)/100,0)</f>
        <v>0</v>
      </c>
      <c r="V56" s="417">
        <f>IF($B56&gt;1,($K56)*$K$49*HLOOKUP(NeoBerInfB!V$1,tbl_Neo_OpzoektabelMM,$C56,FALSE)/100,0)</f>
        <v>0</v>
      </c>
    </row>
    <row r="57" spans="1:22" x14ac:dyDescent="0.2">
      <c r="A57" s="158" t="s">
        <v>1056</v>
      </c>
      <c r="C57" s="404"/>
      <c r="K57" s="516"/>
      <c r="L57" s="417">
        <f>SUM(L52:L56)</f>
        <v>0</v>
      </c>
      <c r="M57" s="417">
        <f t="shared" ref="M57:V57" si="18">SUM(M52:M56)</f>
        <v>0</v>
      </c>
      <c r="N57" s="417">
        <f t="shared" si="18"/>
        <v>0</v>
      </c>
      <c r="O57" s="417">
        <f t="shared" si="18"/>
        <v>0</v>
      </c>
      <c r="P57" s="417">
        <f t="shared" si="18"/>
        <v>0</v>
      </c>
      <c r="Q57" s="417">
        <f t="shared" si="18"/>
        <v>0</v>
      </c>
      <c r="R57" s="417">
        <f t="shared" si="18"/>
        <v>0</v>
      </c>
      <c r="S57" s="417">
        <f t="shared" si="18"/>
        <v>0</v>
      </c>
      <c r="T57" s="417">
        <f t="shared" si="18"/>
        <v>0</v>
      </c>
      <c r="U57" s="417">
        <f t="shared" si="18"/>
        <v>0</v>
      </c>
      <c r="V57" s="417">
        <f t="shared" si="18"/>
        <v>0</v>
      </c>
    </row>
    <row r="58" spans="1:22" x14ac:dyDescent="0.2">
      <c r="A58" s="158" t="s">
        <v>962</v>
      </c>
      <c r="B58" s="158">
        <v>1</v>
      </c>
      <c r="C58" s="404">
        <f>Var_Neo_InfB_Toevoeging_5+1</f>
        <v>2</v>
      </c>
      <c r="J58" s="158">
        <v>1</v>
      </c>
      <c r="K58" s="516">
        <f>INDEX(tbl_Neo_NutrToevWaard,NeoBerInfB!J58)</f>
        <v>0</v>
      </c>
      <c r="L58" s="417">
        <f>IF($B58&gt;1,($K58)*$K$49*HLOOKUP(NeoBerInfB!L$1,tbl_Neo_OpzoektabelKV,$C58,FALSE)/100,0)</f>
        <v>0</v>
      </c>
      <c r="M58" s="417">
        <f>IF($B58&gt;1,($K58)*$K$49*HLOOKUP(NeoBerInfB!M$1,tbl_Neo_OpzoektabelKV,$C58,FALSE)/100,0)</f>
        <v>0</v>
      </c>
      <c r="N58" s="417">
        <f>IF($B58&gt;1,($K58)*$K$49*HLOOKUP(NeoBerInfB!N$1,tbl_Neo_OpzoektabelKV,$C58,FALSE)/100,0)</f>
        <v>0</v>
      </c>
      <c r="O58" s="417">
        <f>IF($B58&gt;1,($K58)*$K$49*HLOOKUP(NeoBerInfB!O$1,tbl_Neo_OpzoektabelKV,$C58,FALSE)/100,0)</f>
        <v>0</v>
      </c>
      <c r="P58" s="417">
        <f>IF($B58&gt;1,($K58)*$K$49*HLOOKUP(NeoBerInfB!P$1,tbl_Neo_OpzoektabelKV,$C58,FALSE)/100,0)</f>
        <v>0</v>
      </c>
      <c r="Q58" s="417">
        <f>IF($B58&gt;1,($K58)*$K$49*HLOOKUP(NeoBerInfB!Q$1,tbl_Neo_OpzoektabelKV,$C58,FALSE)/100,0)</f>
        <v>0</v>
      </c>
      <c r="R58" s="417">
        <f>IF($B58&gt;1,($K58)*$K$49*HLOOKUP(NeoBerInfB!R$1,tbl_Neo_OpzoektabelKV,$C58,FALSE)/100,0)</f>
        <v>0</v>
      </c>
      <c r="S58" s="417">
        <f>IF($B58&gt;1,($K58)*$K$49*HLOOKUP(NeoBerInfB!S$1,tbl_Neo_OpzoektabelKV,$C58,FALSE)/100,0)</f>
        <v>0</v>
      </c>
      <c r="T58" s="417">
        <f>IF($B58&gt;1,($K58)*$K$49*HLOOKUP(NeoBerInfB!T$1,tbl_Neo_OpzoektabelKV,$C58,FALSE)/100,0)</f>
        <v>0</v>
      </c>
      <c r="U58" s="417">
        <f>IF($B58&gt;1,($K58)*$K$49*HLOOKUP(NeoBerInfB!U$1,tbl_Neo_OpzoektabelKV,$C58,FALSE)/100,0)</f>
        <v>0</v>
      </c>
      <c r="V58" s="417">
        <f>IF($B58&gt;1,($K58)*$K$49*HLOOKUP(NeoBerInfB!V$1,tbl_Neo_OpzoektabelKV,$C58,FALSE)/100,0)</f>
        <v>0</v>
      </c>
    </row>
    <row r="59" spans="1:22" x14ac:dyDescent="0.2">
      <c r="A59" s="158" t="s">
        <v>963</v>
      </c>
      <c r="B59" s="158">
        <v>1</v>
      </c>
      <c r="C59" s="404">
        <f>Var_Neo_InfB_Toevoeging_6+1</f>
        <v>2</v>
      </c>
      <c r="J59" s="158">
        <v>1</v>
      </c>
      <c r="K59" s="516">
        <f>INDEX(tbl_Neo_NutrToevWaard,NeoBerInfB!J59)</f>
        <v>0</v>
      </c>
      <c r="L59" s="417">
        <f>IF($B59&gt;1,($K59)*$K$49*HLOOKUP(NeoBerInfB!L$1,tbl_Neo_OpzoektabelKV,$C59,FALSE)/100,0)</f>
        <v>0</v>
      </c>
      <c r="M59" s="417">
        <f>IF($B59&gt;1,($K59)*$K$49*HLOOKUP(NeoBerInfB!M$1,tbl_Neo_OpzoektabelKV,$C59,FALSE)/100,0)</f>
        <v>0</v>
      </c>
      <c r="N59" s="417">
        <f>IF($B59&gt;1,($K59)*$K$49*HLOOKUP(NeoBerInfB!N$1,tbl_Neo_OpzoektabelKV,$C59,FALSE)/100,0)</f>
        <v>0</v>
      </c>
      <c r="O59" s="417">
        <f>IF($B59&gt;1,($K59)*$K$49*HLOOKUP(NeoBerInfB!O$1,tbl_Neo_OpzoektabelKV,$C59,FALSE)/100,0)</f>
        <v>0</v>
      </c>
      <c r="P59" s="417">
        <f>IF($B59&gt;1,($K59)*$K$49*HLOOKUP(NeoBerInfB!P$1,tbl_Neo_OpzoektabelKV,$C59,FALSE)/100,0)</f>
        <v>0</v>
      </c>
      <c r="Q59" s="417">
        <f>IF($B59&gt;1,($K59)*$K$49*HLOOKUP(NeoBerInfB!Q$1,tbl_Neo_OpzoektabelKV,$C59,FALSE)/100,0)</f>
        <v>0</v>
      </c>
      <c r="R59" s="417">
        <f>IF($B59&gt;1,($K59)*$K$49*HLOOKUP(NeoBerInfB!R$1,tbl_Neo_OpzoektabelKV,$C59,FALSE)/100,0)</f>
        <v>0</v>
      </c>
      <c r="S59" s="417">
        <f>IF($B59&gt;1,($K59)*$K$49*HLOOKUP(NeoBerInfB!S$1,tbl_Neo_OpzoektabelKV,$C59,FALSE)/100,0)</f>
        <v>0</v>
      </c>
      <c r="T59" s="417">
        <f>IF($B59&gt;1,($K59)*$K$49*HLOOKUP(NeoBerInfB!T$1,tbl_Neo_OpzoektabelKV,$C59,FALSE)/100,0)</f>
        <v>0</v>
      </c>
      <c r="U59" s="417">
        <f>IF($B59&gt;1,($K59)*$K$49*HLOOKUP(NeoBerInfB!U$1,tbl_Neo_OpzoektabelKV,$C59,FALSE)/100,0)</f>
        <v>0</v>
      </c>
      <c r="V59" s="417">
        <f>IF($B59&gt;1,($K59)*$K$49*HLOOKUP(NeoBerInfB!V$1,tbl_Neo_OpzoektabelKV,$C59,FALSE)/100,0)</f>
        <v>0</v>
      </c>
    </row>
    <row r="60" spans="1:22" x14ac:dyDescent="0.2">
      <c r="A60" s="158" t="s">
        <v>964</v>
      </c>
      <c r="B60" s="158">
        <v>1</v>
      </c>
      <c r="C60" s="404">
        <f>Var_Neo_InfB_Toevoeging_7+1</f>
        <v>2</v>
      </c>
      <c r="J60" s="158">
        <v>1</v>
      </c>
      <c r="K60" s="516">
        <f>INDEX(tbl_Neo_NutrToevWaard,NeoBerInfB!J60)</f>
        <v>0</v>
      </c>
      <c r="L60" s="417">
        <f>IF($B60&gt;1,($K60)*$K$49*HLOOKUP(NeoBerInfB!L$1,tbl_Neo_OpzoektabelKV,$C60,FALSE)/100,0)</f>
        <v>0</v>
      </c>
      <c r="M60" s="417">
        <f>IF($B60&gt;1,($K60)*$K$49*HLOOKUP(NeoBerInfB!M$1,tbl_Neo_OpzoektabelKV,$C60,FALSE)/100,0)</f>
        <v>0</v>
      </c>
      <c r="N60" s="417">
        <f>IF($B60&gt;1,($K60)*$K$49*HLOOKUP(NeoBerInfB!N$1,tbl_Neo_OpzoektabelKV,$C60,FALSE)/100,0)</f>
        <v>0</v>
      </c>
      <c r="O60" s="417">
        <f>IF($B60&gt;1,($K60)*$K$49*HLOOKUP(NeoBerInfB!O$1,tbl_Neo_OpzoektabelKV,$C60,FALSE)/100,0)</f>
        <v>0</v>
      </c>
      <c r="P60" s="417">
        <f>IF($B60&gt;1,($K60)*$K$49*HLOOKUP(NeoBerInfB!P$1,tbl_Neo_OpzoektabelKV,$C60,FALSE)/100,0)</f>
        <v>0</v>
      </c>
      <c r="Q60" s="417">
        <f>IF($B60&gt;1,($K60)*$K$49*HLOOKUP(NeoBerInfB!Q$1,tbl_Neo_OpzoektabelKV,$C60,FALSE)/100,0)</f>
        <v>0</v>
      </c>
      <c r="R60" s="417">
        <f>IF($B60&gt;1,($K60)*$K$49*HLOOKUP(NeoBerInfB!R$1,tbl_Neo_OpzoektabelKV,$C60,FALSE)/100,0)</f>
        <v>0</v>
      </c>
      <c r="S60" s="417">
        <f>IF($B60&gt;1,($K60)*$K$49*HLOOKUP(NeoBerInfB!S$1,tbl_Neo_OpzoektabelKV,$C60,FALSE)/100,0)</f>
        <v>0</v>
      </c>
      <c r="T60" s="417">
        <f>IF($B60&gt;1,($K60)*$K$49*HLOOKUP(NeoBerInfB!T$1,tbl_Neo_OpzoektabelKV,$C60,FALSE)/100,0)</f>
        <v>0</v>
      </c>
      <c r="U60" s="417">
        <f>IF($B60&gt;1,($K60)*$K$49*HLOOKUP(NeoBerInfB!U$1,tbl_Neo_OpzoektabelKV,$C60,FALSE)/100,0)</f>
        <v>0</v>
      </c>
      <c r="V60" s="417">
        <f>IF($B60&gt;1,($K60)*$K$49*HLOOKUP(NeoBerInfB!V$1,tbl_Neo_OpzoektabelKV,$C60,FALSE)/100,0)</f>
        <v>0</v>
      </c>
    </row>
    <row r="61" spans="1:22" x14ac:dyDescent="0.2">
      <c r="A61" s="158" t="s">
        <v>965</v>
      </c>
      <c r="B61" s="158">
        <v>1</v>
      </c>
      <c r="C61" s="404">
        <f>Var_Neo_InfB_Toevoeging_8+1</f>
        <v>2</v>
      </c>
      <c r="J61" s="158">
        <v>1</v>
      </c>
      <c r="K61" s="516">
        <f>INDEX(tbl_Neo_NutrToevWaard,NeoBerInfB!J61)</f>
        <v>0</v>
      </c>
      <c r="L61" s="417">
        <f>IF($B61&gt;1,($K61)*$K$49*HLOOKUP(NeoBerInfB!L$1,tbl_Neo_OpzoektabelKV,$C61,FALSE)/100,0)</f>
        <v>0</v>
      </c>
      <c r="M61" s="417">
        <f>IF($B61&gt;1,($K61)*$K$49*HLOOKUP(NeoBerInfB!M$1,tbl_Neo_OpzoektabelKV,$C61,FALSE)/100,0)</f>
        <v>0</v>
      </c>
      <c r="N61" s="417">
        <f>IF($B61&gt;1,($K61)*$K$49*HLOOKUP(NeoBerInfB!N$1,tbl_Neo_OpzoektabelKV,$C61,FALSE)/100,0)</f>
        <v>0</v>
      </c>
      <c r="O61" s="417">
        <f>IF($B61&gt;1,($K61)*$K$49*HLOOKUP(NeoBerInfB!O$1,tbl_Neo_OpzoektabelKV,$C61,FALSE)/100,0)</f>
        <v>0</v>
      </c>
      <c r="P61" s="417">
        <f>IF($B61&gt;1,($K61)*$K$49*HLOOKUP(NeoBerInfB!P$1,tbl_Neo_OpzoektabelKV,$C61,FALSE)/100,0)</f>
        <v>0</v>
      </c>
      <c r="Q61" s="417">
        <f>IF($B61&gt;1,($K61)*$K$49*HLOOKUP(NeoBerInfB!Q$1,tbl_Neo_OpzoektabelKV,$C61,FALSE)/100,0)</f>
        <v>0</v>
      </c>
      <c r="R61" s="417">
        <f>IF($B61&gt;1,($K61)*$K$49*HLOOKUP(NeoBerInfB!R$1,tbl_Neo_OpzoektabelKV,$C61,FALSE)/100,0)</f>
        <v>0</v>
      </c>
      <c r="S61" s="417">
        <f>IF($B61&gt;1,($K61)*$K$49*HLOOKUP(NeoBerInfB!S$1,tbl_Neo_OpzoektabelKV,$C61,FALSE)/100,0)</f>
        <v>0</v>
      </c>
      <c r="T61" s="417">
        <f>IF($B61&gt;1,($K61)*$K$49*HLOOKUP(NeoBerInfB!T$1,tbl_Neo_OpzoektabelKV,$C61,FALSE)/100,0)</f>
        <v>0</v>
      </c>
      <c r="U61" s="417">
        <f>IF($B61&gt;1,($K61)*$K$49*HLOOKUP(NeoBerInfB!U$1,tbl_Neo_OpzoektabelKV,$C61,FALSE)/100,0)</f>
        <v>0</v>
      </c>
      <c r="V61" s="417">
        <f>IF($B61&gt;1,($K61)*$K$49*HLOOKUP(NeoBerInfB!V$1,tbl_Neo_OpzoektabelKV,$C61,FALSE)/100,0)</f>
        <v>0</v>
      </c>
    </row>
    <row r="62" spans="1:22" x14ac:dyDescent="0.2">
      <c r="A62" s="158" t="s">
        <v>1057</v>
      </c>
      <c r="L62" s="417">
        <f>SUM(L58:L61)</f>
        <v>0</v>
      </c>
      <c r="M62" s="417">
        <f t="shared" ref="M62:V62" si="19">SUM(M58:M61)</f>
        <v>0</v>
      </c>
      <c r="N62" s="417">
        <f t="shared" si="19"/>
        <v>0</v>
      </c>
      <c r="O62" s="417">
        <f t="shared" si="19"/>
        <v>0</v>
      </c>
      <c r="P62" s="417">
        <f t="shared" si="19"/>
        <v>0</v>
      </c>
      <c r="Q62" s="417">
        <f t="shared" si="19"/>
        <v>0</v>
      </c>
      <c r="R62" s="417">
        <f t="shared" si="19"/>
        <v>0</v>
      </c>
      <c r="S62" s="417">
        <f t="shared" si="19"/>
        <v>0</v>
      </c>
      <c r="T62" s="417">
        <f t="shared" si="19"/>
        <v>0</v>
      </c>
      <c r="U62" s="417">
        <f t="shared" si="19"/>
        <v>0</v>
      </c>
      <c r="V62" s="417">
        <f t="shared" si="19"/>
        <v>0</v>
      </c>
    </row>
    <row r="63" spans="1:22" x14ac:dyDescent="0.2">
      <c r="A63" s="158" t="s">
        <v>675</v>
      </c>
      <c r="B63" s="158">
        <v>1</v>
      </c>
    </row>
    <row r="65" spans="1:12" x14ac:dyDescent="0.2">
      <c r="A65" s="158" t="s">
        <v>601</v>
      </c>
    </row>
    <row r="70" spans="1:12" x14ac:dyDescent="0.2">
      <c r="B70" s="172"/>
      <c r="C70" s="166"/>
      <c r="D70" s="166"/>
      <c r="E70" s="166"/>
      <c r="F70" s="173"/>
      <c r="G70" s="166"/>
      <c r="H70" s="166"/>
    </row>
    <row r="71" spans="1:12" x14ac:dyDescent="0.2">
      <c r="L71" s="405"/>
    </row>
    <row r="73" spans="1:12" x14ac:dyDescent="0.2">
      <c r="A73" s="158" t="s">
        <v>933</v>
      </c>
      <c r="B73" s="158" t="e">
        <f ca="1">IF(NeoGuiInfB!E18=0,"",CONCATENATE(NeoGuiInfB!B18,": ",NeoGuiInfB!E18," ",NeoGuiInfB!F18," = "&amp;NeoBerInfB!K47&amp;" ml"))</f>
        <v>#DIV/0!</v>
      </c>
    </row>
    <row r="74" spans="1:12" x14ac:dyDescent="0.2">
      <c r="A74" s="158" t="s">
        <v>934</v>
      </c>
      <c r="B74" s="158" t="str">
        <f>IF(INDEX(tbl_Neo_Pos,NeoBerInfB!D14,1)=0,"",CONCATENATE(NeoGuiInfB!H21," ",INDEX(tbl_Neo_Pos,NeoBerInfB!D14,1)))</f>
        <v>Voeding: MM of Nenatal 1</v>
      </c>
    </row>
    <row r="75" spans="1:12" x14ac:dyDescent="0.2">
      <c r="A75" s="158" t="s">
        <v>935</v>
      </c>
      <c r="B75" s="421" t="str">
        <f>IF(INDEX(tbl_Neo_Pos,NeoBerInfB!D14,1)=0,"",CONCATENATE("Hoeveelheid 1:  ",NeoGuiInfB!E21," ",NeoGuiInfB!F21," ",NeoGuiInfB!G21))</f>
        <v>Hoeveelheid 1:  0 maal 0 ml</v>
      </c>
    </row>
    <row r="76" spans="1:12" x14ac:dyDescent="0.2">
      <c r="A76" s="158" t="s">
        <v>936</v>
      </c>
      <c r="B76" s="158" t="str">
        <f>IF(INDEX(tbl_Neo_Pos,NeoBerInfB!D14,1)=0,"",CONCATENATE("Hoeveelheid 2:  ",NeoGuiInfB!E22," ",NeoGuiInfB!F22," ",NeoGuiInfB!G22))</f>
        <v>Hoeveelheid 2:  0 maal 0 ml</v>
      </c>
    </row>
    <row r="77" spans="1:12" x14ac:dyDescent="0.2">
      <c r="A77" s="158" t="s">
        <v>937</v>
      </c>
      <c r="B77" s="421" t="str">
        <f>IF(AND(INDEX(tbl_Neo_LijstVoeding,Var_Neo_InfB_Voeding,14)="MM",Var_Neo_Percentage_0 &gt; 0), CONCATENATE("Toev MM: BMF ",Var_Neo_Percentage_0," %"),"")</f>
        <v/>
      </c>
    </row>
    <row r="78" spans="1:12" x14ac:dyDescent="0.2">
      <c r="A78" s="158" t="s">
        <v>938</v>
      </c>
      <c r="B78" s="421" t="str">
        <f>IF(AND(INDEX(tbl_Neo_LijstVoeding,Var_Neo_InfB_Voeding,14)="MM",Var_Neo_InfB_Toevoeging_1 &gt; 1,Var_Neo_Percentage_1 &gt; 0), CONCATENATE("Toev MM: ",INDEX(tbl_Neo_NutrMMToev,Var_Neo_InfB_Toevoeging_1,1)," ",Var_Neo_Percentage_1," %"),"")</f>
        <v/>
      </c>
    </row>
    <row r="79" spans="1:12" x14ac:dyDescent="0.2">
      <c r="A79" s="158" t="s">
        <v>939</v>
      </c>
      <c r="B79" s="421" t="str">
        <f>IF(AND(INDEX(tbl_Neo_LijstVoeding,Var_Neo_InfB_Voeding,14)="MM",Var_Neo_InfB_Toevoeging_2 &gt; 1,Var_Neo_Percentage_2 &gt; 0), CONCATENATE("Toev MM: ",INDEX(tbl_Neo_NutrMMToev,Var_Neo_InfB_Toevoeging_2,1)," ",Var_Neo_Percentage_2," %"),"")</f>
        <v/>
      </c>
    </row>
    <row r="80" spans="1:12" x14ac:dyDescent="0.2">
      <c r="A80" s="158" t="s">
        <v>940</v>
      </c>
      <c r="B80" s="421" t="str">
        <f>IF(AND(INDEX(tbl_Neo_LijstVoeding,Var_Neo_InfB_Voeding,14)="MM",Var_Neo_InfB_Toevoeging_3 &gt; 1,Var_Neo_Percentage_3 &gt; 0), CONCATENATE("Toev MM: ",INDEX(tbl_Neo_NutrMMToev,Var_Neo_InfB_Toevoeging_3,1)," ",Var_Neo_Percentage_3," %"),"")</f>
        <v/>
      </c>
    </row>
    <row r="81" spans="1:2" x14ac:dyDescent="0.2">
      <c r="A81" s="158" t="s">
        <v>941</v>
      </c>
      <c r="B81" s="421" t="str">
        <f>IF(AND(INDEX(tbl_Neo_LijstVoeding,Var_Neo_InfB_Voeding,14)="MM",Var_Neo_InfB_Toevoeging_4 &gt; 1,Var_Neo_Percentage_4 &gt; 0), CONCATENATE("Toev MM: ",INDEX(tbl_Neo_NutrMMToev,Var_Neo_InfB_Toevoeging_4,1)," ",Var_Neo_Percentage_4," %"),"")</f>
        <v/>
      </c>
    </row>
    <row r="82" spans="1:2" x14ac:dyDescent="0.2">
      <c r="A82" s="158" t="s">
        <v>942</v>
      </c>
      <c r="B82" s="421" t="str">
        <f>IF(AND(INDEX(tbl_Neo_LijstVoeding,Var_Neo_InfB_Voeding,14)="KV",Var_Neo_InfB_Toevoeging_5 &gt; 1,Var_Neo_Percentage_5 &gt; 0), CONCATENATE("Toev KV: ",INDEX(tbl_Neo_NutrKunstToev,Var_Neo_InfB_Toevoeging_5,1)," ",Var_Neo_Percentage_5," %"),"")</f>
        <v/>
      </c>
    </row>
    <row r="83" spans="1:2" x14ac:dyDescent="0.2">
      <c r="A83" s="421" t="s">
        <v>1108</v>
      </c>
      <c r="B83" s="421" t="str">
        <f>IF(AND(INDEX(tbl_Neo_LijstVoeding,Var_Neo_InfB_Voeding,14)="KV",Var_Neo_InfB_Toevoeging_6 &gt; 1,Var_Neo_Percentage_6 &gt; 0), CONCATENATE("Toev KV: ",INDEX(tbl_Neo_NutrKunstToev,Var_Neo_InfB_Toevoeging_6,1)," ",Var_Neo_Percentage_6," %"),"")</f>
        <v/>
      </c>
    </row>
    <row r="84" spans="1:2" x14ac:dyDescent="0.2">
      <c r="A84" s="421" t="s">
        <v>1109</v>
      </c>
      <c r="B84" s="421" t="str">
        <f>IF(AND(INDEX(tbl_Neo_LijstVoeding,Var_Neo_InfB_Voeding,14)="KV",Var_Neo_InfB_Toevoeging_7 &gt; 1,Var_Neo_Percentage_7 &gt; 0), CONCATENATE("Toev KV: ",INDEX(tbl_Neo_NutrKunstToev,Var_Neo_InfB_Toevoeging_7,1)," ",Var_Neo_Percentage_7," %"),"")</f>
        <v/>
      </c>
    </row>
    <row r="85" spans="1:2" x14ac:dyDescent="0.2">
      <c r="A85" s="421" t="s">
        <v>1110</v>
      </c>
      <c r="B85" s="421" t="str">
        <f>IF(AND(INDEX(tbl_Neo_LijstVoeding,Var_Neo_InfB_Voeding,14)="KV",Var_Neo_InfB_Toevoeging_8 &gt; 1,Var_Neo_Percentage_8 &gt; 0), CONCATENATE("Toev KV: ",INDEX(tbl_Neo_NutrKunstToev,Var_Neo_InfB_Toevoeging_8,1)," ",Var_Neo_Percentage_8," %"),"")</f>
        <v/>
      </c>
    </row>
    <row r="86" spans="1:2" x14ac:dyDescent="0.2">
      <c r="A86" s="421" t="s">
        <v>1111</v>
      </c>
      <c r="B86" s="158" t="str">
        <f ca="1">IF(NeoGuiInfB!E28&gt;0,CONCATENATE(NeoGuiInfB!B28," ",NeoGuiInfB!E28," ",NeoGuiInfB!F28),"")</f>
        <v/>
      </c>
    </row>
    <row r="87" spans="1:2" x14ac:dyDescent="0.2">
      <c r="A87" s="421" t="s">
        <v>1112</v>
      </c>
      <c r="B87" s="158" t="str">
        <f>CONCATENATE(NeoGuiInfB!B19,": ",IF(NeoBerInfB!B15=1,"Ja","Nee"))</f>
        <v>Fototherapie: Nee</v>
      </c>
    </row>
    <row r="90" spans="1:2" x14ac:dyDescent="0.2">
      <c r="A90" s="321" t="s">
        <v>1148</v>
      </c>
      <c r="B90" s="158" t="str">
        <f>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f>
        <v/>
      </c>
    </row>
    <row r="91" spans="1:2" x14ac:dyDescent="0.2">
      <c r="A91" s="321" t="s">
        <v>1148</v>
      </c>
      <c r="B91" s="516" t="str">
        <f>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f>
        <v/>
      </c>
    </row>
    <row r="92" spans="1:2" x14ac:dyDescent="0.2">
      <c r="A92" s="321" t="s">
        <v>1148</v>
      </c>
      <c r="B92" s="516" t="str">
        <f>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f>
        <v/>
      </c>
    </row>
    <row r="93" spans="1:2" x14ac:dyDescent="0.2">
      <c r="A93" s="321" t="s">
        <v>1148</v>
      </c>
      <c r="B93" s="516" t="str">
        <f>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f>
        <v/>
      </c>
    </row>
    <row r="94" spans="1:2" x14ac:dyDescent="0.2">
      <c r="A94" s="321" t="s">
        <v>1148</v>
      </c>
      <c r="B94" s="516" t="str">
        <f>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f>
        <v/>
      </c>
    </row>
    <row r="95" spans="1:2" x14ac:dyDescent="0.2">
      <c r="A95" s="321" t="s">
        <v>1148</v>
      </c>
      <c r="B95" s="516" t="str">
        <f>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f>
        <v/>
      </c>
    </row>
    <row r="96" spans="1:2" x14ac:dyDescent="0.2">
      <c r="A96" s="321" t="s">
        <v>1148</v>
      </c>
      <c r="B96" s="516" t="str">
        <f>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f>
        <v/>
      </c>
    </row>
    <row r="97" spans="1:2" x14ac:dyDescent="0.2">
      <c r="A97" s="321" t="s">
        <v>1148</v>
      </c>
      <c r="B97" s="516" t="str">
        <f>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f>
        <v/>
      </c>
    </row>
    <row r="98" spans="1:2" x14ac:dyDescent="0.2">
      <c r="A98" s="321" t="s">
        <v>1148</v>
      </c>
      <c r="B98" s="516" t="str">
        <f>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f>
        <v/>
      </c>
    </row>
    <row r="99" spans="1:2" x14ac:dyDescent="0.2">
      <c r="A99" s="321" t="s">
        <v>1148</v>
      </c>
      <c r="B99" s="516" t="str">
        <f>IF(NeoBerInfB!E29&lt;&gt;0, NeoGuiInfB!B42&amp;": "&amp; INDEX(tbl_Neo_Opl,NeoBerInfB!$E29,1)&amp;" " &amp; NeoGuiInfB!G42,"")</f>
        <v/>
      </c>
    </row>
    <row r="100" spans="1:2" x14ac:dyDescent="0.2">
      <c r="A100" s="321" t="s">
        <v>1148</v>
      </c>
      <c r="B100" s="516" t="str">
        <f>IF(NeoBerInfB!E30&lt;&gt;0, NeoGuiInfB!B43&amp;": "&amp; INDEX(tbl_Neo_Opl,NeoBerInfB!$E30,1)&amp;" " &amp; NeoGuiInfB!G43,"")</f>
        <v/>
      </c>
    </row>
    <row r="101" spans="1:2" x14ac:dyDescent="0.2">
      <c r="A101" s="321" t="s">
        <v>1148</v>
      </c>
      <c r="B101" s="516" t="str">
        <f>IF(NeoBerInfB!E31&lt;&gt;0, NeoGuiInfB!B44&amp;": "&amp; INDEX(tbl_Neo_Opl,NeoBerInfB!$E31,1)&amp;" " &amp; NeoGuiInfB!G44,"")</f>
        <v/>
      </c>
    </row>
    <row r="102" spans="1:2" x14ac:dyDescent="0.2">
      <c r="A102" s="321" t="s">
        <v>1148</v>
      </c>
      <c r="B102" s="158" t="str">
        <f>IF(NeoBerInfB!B32="","",NeoBerInfB!B32)</f>
        <v/>
      </c>
    </row>
    <row r="103" spans="1:2" x14ac:dyDescent="0.2">
      <c r="A103" s="321" t="s">
        <v>1148</v>
      </c>
      <c r="B103" s="516" t="str">
        <f>IF(NeoBerInfB!B33="","",NeoBerInfB!B33)</f>
        <v/>
      </c>
    </row>
    <row r="104" spans="1:2" x14ac:dyDescent="0.2">
      <c r="A104" s="321" t="s">
        <v>1148</v>
      </c>
      <c r="B104" s="158" t="str">
        <f ca="1">IF(NeoBerInfB!C35&lt;&gt;0,CONCATENATE("Intralipid 20% (incl.vitintra) ",ROUNDUP(NeoBerInfB!C35/24,1)," ml/uur"),"")</f>
        <v/>
      </c>
    </row>
    <row r="105" spans="1:2" x14ac:dyDescent="0.2">
      <c r="A105" s="321" t="s">
        <v>1148</v>
      </c>
      <c r="B105" s="158" t="str">
        <f ca="1">IF(Var_Neo_WerkbriefActueelTPNStand&lt;&gt;"",CONCATENATE("TPN: ",Var_Neo_WerkbriefActueelTPNStand, " ml/uur"),"")</f>
        <v/>
      </c>
    </row>
    <row r="106" spans="1:2" x14ac:dyDescent="0.2">
      <c r="A106" s="321" t="s">
        <v>1148</v>
      </c>
      <c r="B106" s="158" t="str">
        <f ca="1">IF(Var_Neo_WerkbriefActueelTPNStand&lt;&gt;"",CONCATENATE("TPN Totaal: ",Var_Neo_WerkbriefActueelTPNTotaalGeheel,",",  ROUND(Var_Neo_WerkbriefActueelTPNTotaalBreuk,0), " ml"),"")</f>
        <v/>
      </c>
    </row>
    <row r="107" spans="1:2" x14ac:dyDescent="0.2">
      <c r="A107" s="321" t="s">
        <v>1148</v>
      </c>
      <c r="B107" s="158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</row>
    <row r="108" spans="1:2" x14ac:dyDescent="0.2">
      <c r="A108" s="321" t="s">
        <v>1148</v>
      </c>
      <c r="B108" s="158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</row>
    <row r="109" spans="1:2" x14ac:dyDescent="0.2">
      <c r="A109" s="321" t="s">
        <v>1148</v>
      </c>
      <c r="B109" s="158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</row>
    <row r="110" spans="1:2" x14ac:dyDescent="0.2">
      <c r="A110" s="321" t="s">
        <v>1148</v>
      </c>
      <c r="B110" s="158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</row>
    <row r="111" spans="1:2" x14ac:dyDescent="0.2">
      <c r="A111" s="321" t="s">
        <v>1148</v>
      </c>
      <c r="B111" s="158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</row>
    <row r="112" spans="1:2" x14ac:dyDescent="0.2">
      <c r="A112" s="321" t="s">
        <v>1148</v>
      </c>
      <c r="B112" s="158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</row>
    <row r="113" spans="1:2" x14ac:dyDescent="0.2">
      <c r="A113" s="321" t="s">
        <v>1148</v>
      </c>
      <c r="B113" s="158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</row>
    <row r="114" spans="1:2" x14ac:dyDescent="0.2">
      <c r="A114" s="321" t="s">
        <v>1148</v>
      </c>
      <c r="B114" s="158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</row>
    <row r="115" spans="1:2" x14ac:dyDescent="0.2">
      <c r="A115" s="321" t="s">
        <v>1148</v>
      </c>
      <c r="B115" s="158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</row>
    <row r="116" spans="1:2" x14ac:dyDescent="0.2">
      <c r="A116" s="321" t="s">
        <v>1148</v>
      </c>
      <c r="B116" s="158" t="str">
        <f>IF(Var_Neo_WerkbriefIntravasaleToegangStand&lt;&gt;"",CONCATENATE(Var_Neo_WerkbriefIntravasaleToegangTekst," ",Var_Neo_WerkbriefIntravasaleToegangStand, " ml/uur"),"")</f>
        <v/>
      </c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Act">
    <tabColor rgb="FF7030A0"/>
  </sheetPr>
  <dimension ref="A1:R57"/>
  <sheetViews>
    <sheetView workbookViewId="0">
      <selection activeCell="F1" sqref="F1"/>
    </sheetView>
  </sheetViews>
  <sheetFormatPr defaultColWidth="5.7109375" defaultRowHeight="12.75" x14ac:dyDescent="0.2"/>
  <cols>
    <col min="1" max="12" width="5.7109375" style="208"/>
    <col min="13" max="14" width="7.85546875" style="208" customWidth="1"/>
    <col min="15" max="16384" width="5.7109375" style="208"/>
  </cols>
  <sheetData>
    <row r="1" spans="1:16" x14ac:dyDescent="0.2">
      <c r="A1" s="375" t="s">
        <v>551</v>
      </c>
      <c r="L1" s="208" t="s">
        <v>536</v>
      </c>
      <c r="M1" s="209">
        <f>__1_Bed</f>
        <v>0</v>
      </c>
    </row>
    <row r="2" spans="1:16" x14ac:dyDescent="0.2">
      <c r="A2" s="208" t="s">
        <v>552</v>
      </c>
      <c r="C2" s="210" t="str">
        <f>__3_VoorNaam&amp;" "&amp;__2_AchterNaam</f>
        <v xml:space="preserve"> </v>
      </c>
      <c r="G2" s="208" t="s">
        <v>553</v>
      </c>
      <c r="I2" s="1052">
        <f ca="1">TODAY()</f>
        <v>42748</v>
      </c>
      <c r="J2" s="1052"/>
      <c r="K2" s="1052"/>
      <c r="L2" s="208" t="s">
        <v>554</v>
      </c>
      <c r="M2" s="1053">
        <f ca="1">NOW()</f>
        <v>42748.478776620374</v>
      </c>
      <c r="N2" s="1053"/>
    </row>
    <row r="3" spans="1:16" x14ac:dyDescent="0.2">
      <c r="A3" s="208" t="s">
        <v>555</v>
      </c>
      <c r="C3" s="210">
        <f>(_Pat_Gewicht/10)*1000</f>
        <v>0</v>
      </c>
      <c r="D3" s="208" t="s">
        <v>31</v>
      </c>
      <c r="I3" s="517"/>
      <c r="J3" s="517"/>
      <c r="K3" s="517"/>
      <c r="M3" s="212"/>
      <c r="N3" s="212"/>
    </row>
    <row r="4" spans="1:16" x14ac:dyDescent="0.2">
      <c r="G4" s="208" t="s">
        <v>556</v>
      </c>
      <c r="I4" s="210" t="str">
        <f>IF(Var_Neo_InfB_Arts&gt;0,Var_Neo_InfB_Arts,"")</f>
        <v/>
      </c>
      <c r="L4" s="208" t="s">
        <v>557</v>
      </c>
      <c r="M4" s="213"/>
      <c r="N4" s="213"/>
      <c r="O4" s="213"/>
      <c r="P4" s="213"/>
    </row>
    <row r="5" spans="1:16" x14ac:dyDescent="0.2">
      <c r="A5" s="214" t="s">
        <v>185</v>
      </c>
      <c r="B5" s="215"/>
      <c r="C5" s="216" t="s">
        <v>558</v>
      </c>
      <c r="D5" s="216"/>
      <c r="E5" s="216"/>
      <c r="F5" s="216"/>
      <c r="G5" s="216"/>
      <c r="H5" s="217">
        <f ca="1">NeoGuiInfB!E28</f>
        <v>0</v>
      </c>
      <c r="I5" s="216" t="s">
        <v>171</v>
      </c>
      <c r="J5" s="216"/>
      <c r="K5" s="216"/>
      <c r="L5" s="216"/>
      <c r="M5" s="1054" t="s">
        <v>559</v>
      </c>
      <c r="N5" s="1055"/>
      <c r="O5" s="218" t="s">
        <v>560</v>
      </c>
      <c r="P5" s="219"/>
    </row>
    <row r="6" spans="1:16" ht="15" x14ac:dyDescent="0.2">
      <c r="A6" s="380" t="str">
        <f>IF(M6&lt;&gt;"",M6/24,"")</f>
        <v/>
      </c>
      <c r="B6" s="215"/>
      <c r="C6" s="214" t="str">
        <f>NeoGuiInfB!B30</f>
        <v>Arterielijn: 12 ml NaCl 0,45% + hep. (5EH/ml)</v>
      </c>
      <c r="D6" s="221"/>
      <c r="E6" s="221"/>
      <c r="F6" s="221"/>
      <c r="G6" s="221"/>
      <c r="H6" s="221"/>
      <c r="I6" s="221"/>
      <c r="J6" s="221"/>
      <c r="K6" s="221"/>
      <c r="L6" s="215"/>
      <c r="M6" s="222" t="str">
        <f>IF(24*NeoBerInfB!B18&gt;0,TRUNC(24*NeoBerInfB!B18/10),"")</f>
        <v/>
      </c>
      <c r="N6" s="222" t="str">
        <f>IF(NeoBerInfB!B18&gt;0,(24*NeoBerInfB!B18/10-M6)*10,"")</f>
        <v/>
      </c>
      <c r="O6" s="218" t="str">
        <f>IF(NeoBerInfB!J18,"extra","")</f>
        <v/>
      </c>
      <c r="P6" s="219"/>
    </row>
    <row r="7" spans="1:16" ht="15" x14ac:dyDescent="0.2">
      <c r="A7" s="220"/>
      <c r="B7" s="221"/>
      <c r="C7" s="221"/>
      <c r="D7" s="221"/>
      <c r="E7" s="221"/>
      <c r="F7" s="221"/>
      <c r="G7" s="221"/>
      <c r="H7" s="221"/>
      <c r="I7" s="221"/>
      <c r="J7" s="221"/>
      <c r="K7" s="221"/>
      <c r="L7" s="221"/>
      <c r="M7" s="223"/>
      <c r="N7" s="223"/>
      <c r="O7" s="218"/>
      <c r="P7" s="219"/>
    </row>
    <row r="8" spans="1:16" ht="15" x14ac:dyDescent="0.2">
      <c r="A8" s="224" t="str">
        <f ca="1">IF(M17&lt;&gt;"",IF(ROUND((M17+N17/100)/24,1)&gt;0,ROUND((M17+N17/100)/24,1),""),"")</f>
        <v/>
      </c>
      <c r="B8" s="218"/>
      <c r="C8" s="225"/>
      <c r="D8" s="226"/>
      <c r="E8" s="226"/>
      <c r="F8" s="226"/>
      <c r="G8" s="226"/>
      <c r="H8" s="226" t="s">
        <v>34</v>
      </c>
      <c r="I8" s="226"/>
      <c r="J8" s="226"/>
      <c r="K8" s="226"/>
      <c r="L8" s="227"/>
      <c r="M8" s="228" t="str">
        <f ca="1">IF(NeoBerInfB!$K$37&gt;0,IF(Var_Neo_InfB_DagKeuze&lt;&gt;2,TRUNC(NeoBerInfB!$C$37),0),"")</f>
        <v/>
      </c>
      <c r="N8" s="229" t="str">
        <f ca="1">IF(NeoBerInfB!$K$37&gt;0,IF(_Neo_1700_DagKeuze&lt;&gt;2,(NeoBerInfB!$C$37-M8)*100,0),"")</f>
        <v/>
      </c>
      <c r="O8" s="218"/>
      <c r="P8" s="219"/>
    </row>
    <row r="9" spans="1:16" ht="15" x14ac:dyDescent="0.2">
      <c r="A9" s="230"/>
      <c r="B9" s="218"/>
      <c r="C9" s="214"/>
      <c r="D9" s="221"/>
      <c r="E9" s="221"/>
      <c r="F9" s="221"/>
      <c r="G9" s="221"/>
      <c r="H9" s="221" t="s">
        <v>561</v>
      </c>
      <c r="I9" s="221"/>
      <c r="J9" s="221"/>
      <c r="K9" s="221"/>
      <c r="L9" s="215"/>
      <c r="M9" s="231" t="str">
        <f ca="1">IF(NeoBerInfB!$K$38&gt;0,IF(_Neo_1700_DagKeuze&lt;&gt;2,TRUNC(NeoBerInfB!$C$38),0),"")</f>
        <v/>
      </c>
      <c r="N9" s="222" t="str">
        <f ca="1">IF(NeoBerInfB!$K$38&gt;0,IF(_Neo_1700_DagKeuze&lt;&gt;2,(NeoBerInfB!$C$38-M9)*100,0),"")</f>
        <v/>
      </c>
      <c r="O9" s="218"/>
      <c r="P9" s="219"/>
    </row>
    <row r="10" spans="1:16" ht="15" x14ac:dyDescent="0.2">
      <c r="A10" s="230"/>
      <c r="B10" s="218"/>
      <c r="C10" s="225"/>
      <c r="D10" s="226"/>
      <c r="E10" s="226"/>
      <c r="F10" s="226"/>
      <c r="G10" s="226"/>
      <c r="H10" s="226" t="s">
        <v>439</v>
      </c>
      <c r="I10" s="226"/>
      <c r="J10" s="226"/>
      <c r="K10" s="226"/>
      <c r="L10" s="227"/>
      <c r="M10" s="228" t="str">
        <f ca="1">IF(NeoBerInfB!$K$39&gt;0,TRUNC(NeoBerInfB!$C$39),"")</f>
        <v/>
      </c>
      <c r="N10" s="229" t="str">
        <f ca="1">IF(NeoBerInfB!$K$39&gt;0,IF(_Neo_1700_DagKeuze=1,NeoBerInfB!$C$39-M10,0),"")</f>
        <v/>
      </c>
      <c r="O10" s="218"/>
      <c r="P10" s="219"/>
    </row>
    <row r="11" spans="1:16" ht="15" x14ac:dyDescent="0.2">
      <c r="A11" s="230"/>
      <c r="B11" s="218"/>
      <c r="C11" s="214"/>
      <c r="D11" s="221"/>
      <c r="E11" s="221"/>
      <c r="F11" s="221"/>
      <c r="G11" s="221"/>
      <c r="H11" s="221" t="s">
        <v>440</v>
      </c>
      <c r="I11" s="221"/>
      <c r="J11" s="221"/>
      <c r="K11" s="221"/>
      <c r="L11" s="215"/>
      <c r="M11" s="231" t="str">
        <f ca="1">IF(NeoBerInfB!$K$40&gt;0,TRUNC(NeoBerInfB!$C$40),"")</f>
        <v/>
      </c>
      <c r="N11" s="222" t="str">
        <f ca="1">IF(NeoBerInfB!$K$40&gt;0,IF(_Neo_1700_DagKeuze=1,(NeoBerInfB!$C$40-M11)*100,0),"")</f>
        <v/>
      </c>
      <c r="O11" s="218"/>
      <c r="P11" s="219"/>
    </row>
    <row r="12" spans="1:16" ht="15" x14ac:dyDescent="0.2">
      <c r="A12" s="230"/>
      <c r="B12" s="218"/>
      <c r="C12" s="225"/>
      <c r="D12" s="226"/>
      <c r="E12" s="226"/>
      <c r="F12" s="226"/>
      <c r="G12" s="226"/>
      <c r="H12" s="226" t="s">
        <v>210</v>
      </c>
      <c r="I12" s="226"/>
      <c r="J12" s="226"/>
      <c r="K12" s="226"/>
      <c r="L12" s="227"/>
      <c r="M12" s="228" t="str">
        <f ca="1">IF(NeoBerInfB!$K$41&gt;0,TRUNC(NeoBerInfB!$C$41),"")</f>
        <v/>
      </c>
      <c r="N12" s="229" t="str">
        <f ca="1">IF(NeoBerInfB!$K$41&gt;0,IF(_Neo_1700_DagKeuze=1,(NeoBerInfB!$C$41-M12)*100,0),"")</f>
        <v/>
      </c>
      <c r="O12" s="218"/>
      <c r="P12" s="219"/>
    </row>
    <row r="13" spans="1:16" ht="15" x14ac:dyDescent="0.2">
      <c r="A13" s="230"/>
      <c r="B13" s="218"/>
      <c r="C13" s="214"/>
      <c r="D13" s="221"/>
      <c r="E13" s="221"/>
      <c r="F13" s="221"/>
      <c r="G13" s="221"/>
      <c r="H13" s="221" t="s">
        <v>562</v>
      </c>
      <c r="I13" s="221"/>
      <c r="J13" s="221"/>
      <c r="K13" s="221"/>
      <c r="L13" s="215"/>
      <c r="M13" s="231" t="str">
        <f ca="1">IF(NeoBerInfB!$K$42&gt;0,TRUNC(NeoBerInfB!$C$42),"")</f>
        <v/>
      </c>
      <c r="N13" s="222" t="str">
        <f ca="1">IF(NeoBerInfB!$K$42&gt;0,IF(_Neo_1700_DagKeuze&lt;&gt;1,(NeoBerInfB!$C$42-M13)*100,0),"")</f>
        <v/>
      </c>
      <c r="O13" s="218"/>
      <c r="P13" s="219"/>
    </row>
    <row r="14" spans="1:16" ht="15" x14ac:dyDescent="0.2">
      <c r="A14" s="230"/>
      <c r="B14" s="218"/>
      <c r="C14" s="225"/>
      <c r="D14" s="226"/>
      <c r="E14" s="226"/>
      <c r="F14" s="226"/>
      <c r="G14" s="226"/>
      <c r="H14" s="226" t="s">
        <v>563</v>
      </c>
      <c r="I14" s="226"/>
      <c r="J14" s="226"/>
      <c r="K14" s="226"/>
      <c r="L14" s="227"/>
      <c r="M14" s="228" t="str">
        <f>IF(Var_Neo_InfB_DagKeuze=2,TRUNC(NeoBerInfB!$C$43),"")</f>
        <v/>
      </c>
      <c r="N14" s="229" t="str">
        <f>IF(Var_Neo_InfB_DagKeuze=2,(NeoBerInfB!$C$43-M14)*100,"")</f>
        <v/>
      </c>
      <c r="O14" s="218"/>
      <c r="P14" s="219"/>
    </row>
    <row r="15" spans="1:16" ht="15" x14ac:dyDescent="0.2">
      <c r="A15" s="230"/>
      <c r="B15" s="218"/>
      <c r="C15" s="214"/>
      <c r="D15" s="221"/>
      <c r="E15" s="221"/>
      <c r="F15" s="221"/>
      <c r="G15" s="221"/>
      <c r="H15" s="221" t="s">
        <v>345</v>
      </c>
      <c r="I15" s="221"/>
      <c r="J15" s="221"/>
      <c r="K15" s="221"/>
      <c r="L15" s="215"/>
      <c r="M15" s="231" t="str">
        <f>IF(Var_Neo_InfB_DagKeuze=3,TRUNC(NeoBerInfB!$C$44),"")</f>
        <v/>
      </c>
      <c r="N15" s="222" t="str">
        <f>IF(Var_Neo_InfB_DagKeuze=3,(NeoBerInfB!$C$44-M15)*100,"")</f>
        <v/>
      </c>
      <c r="O15" s="218"/>
      <c r="P15" s="219"/>
    </row>
    <row r="16" spans="1:16" ht="15" x14ac:dyDescent="0.2">
      <c r="A16" s="225"/>
      <c r="B16" s="227"/>
      <c r="C16" s="225"/>
      <c r="D16" s="226"/>
      <c r="E16" s="226"/>
      <c r="F16" s="226"/>
      <c r="G16" s="226"/>
      <c r="H16" s="226" t="str">
        <f>INDEX(tbl_Neo_Opl,NeoBerInfB!D45+1,1)</f>
        <v>glucose 10%</v>
      </c>
      <c r="I16" s="226"/>
      <c r="J16" s="226"/>
      <c r="K16" s="226"/>
      <c r="L16" s="227"/>
      <c r="M16" s="228" t="str">
        <f>IF(NeoBerInfB!$K$45&gt;0,TRUNC(NeoBerInfB!$K$45),"")</f>
        <v/>
      </c>
      <c r="N16" s="229" t="str">
        <f>IF(NeoBerInfB!$K$45&gt;0,(NeoBerInfB!$K$45-M16)*100,"")</f>
        <v/>
      </c>
      <c r="O16" s="218"/>
      <c r="P16" s="219"/>
    </row>
    <row r="17" spans="1:18" ht="14.25" customHeight="1" x14ac:dyDescent="0.2">
      <c r="A17" s="216"/>
      <c r="B17" s="216"/>
      <c r="C17" s="218"/>
      <c r="D17" s="218"/>
      <c r="E17" s="218"/>
      <c r="F17" s="218"/>
      <c r="G17" s="218"/>
      <c r="H17" s="232" t="s">
        <v>118</v>
      </c>
      <c r="I17" s="232"/>
      <c r="J17" s="232"/>
      <c r="K17" s="221"/>
      <c r="L17" s="221"/>
      <c r="M17" s="231" t="str">
        <f ca="1">IF(SUM(M8:N16)&gt;0,TRUNC(SUM(M8:M16)+SUM(N8:N16)/100),"")</f>
        <v/>
      </c>
      <c r="N17" s="222" t="e">
        <f ca="1">ROUND(IF(SUM(M8:N16)&gt;0,(SUM(M8:M16)+SUM(N8:N16)/100-M17)*100,""),0)</f>
        <v>#VALUE!</v>
      </c>
      <c r="O17" s="218"/>
      <c r="P17" s="219"/>
    </row>
    <row r="18" spans="1:18" ht="14.25" customHeight="1" x14ac:dyDescent="0.2">
      <c r="A18" s="226"/>
      <c r="B18" s="226"/>
      <c r="C18" s="218"/>
      <c r="D18" s="218"/>
      <c r="E18" s="218"/>
      <c r="F18" s="218"/>
      <c r="G18" s="218"/>
      <c r="H18" s="218"/>
      <c r="I18" s="218"/>
      <c r="J18" s="233"/>
      <c r="K18" s="218"/>
      <c r="L18" s="218"/>
      <c r="M18" s="234"/>
      <c r="N18" s="235"/>
      <c r="O18" s="218"/>
      <c r="P18" s="219"/>
    </row>
    <row r="19" spans="1:18" ht="14.25" customHeight="1" x14ac:dyDescent="0.2">
      <c r="A19" s="214" t="s">
        <v>185</v>
      </c>
      <c r="B19" s="221"/>
      <c r="C19" s="215"/>
      <c r="D19" s="218"/>
      <c r="E19" s="218"/>
      <c r="F19" s="218"/>
      <c r="G19" s="218"/>
      <c r="H19" s="218"/>
      <c r="I19" s="218"/>
      <c r="J19" s="218"/>
      <c r="K19" s="218"/>
      <c r="L19" s="218"/>
      <c r="M19" s="236"/>
      <c r="N19" s="237"/>
      <c r="O19" s="218"/>
      <c r="P19" s="219"/>
    </row>
    <row r="20" spans="1:18" ht="14.25" customHeight="1" x14ac:dyDescent="0.2">
      <c r="A20" s="238" t="str">
        <f>IF(F20&lt;&gt;"",Var_Neo_InfB_Stand_10/10,"")</f>
        <v/>
      </c>
      <c r="B20" s="239"/>
      <c r="C20" s="240"/>
      <c r="D20" s="214" t="str">
        <f>IF(F20&lt;&gt;"","Zijlijn 1","")</f>
        <v/>
      </c>
      <c r="E20" s="221"/>
      <c r="F20" s="221" t="str">
        <f>IF(NeoBerInfB!E29&gt;1,INDEX(tbl_Neo_Opl,NeoBerInfB!E29,1),"")</f>
        <v/>
      </c>
      <c r="G20" s="221"/>
      <c r="H20" s="221"/>
      <c r="I20" s="221"/>
      <c r="J20" s="221"/>
      <c r="K20" s="221"/>
      <c r="L20" s="215"/>
      <c r="M20" s="231" t="str">
        <f>IF(F20&lt;&gt;"",TRUNC(A20*24),"")</f>
        <v/>
      </c>
      <c r="N20" s="222" t="str">
        <f>IF(F20&lt;&gt;"",((A20*24)-M20)*100,"")</f>
        <v/>
      </c>
      <c r="O20" s="218" t="str">
        <f>IF(Var_Neo_InfB_VochtExtra_12,"extra","")</f>
        <v/>
      </c>
      <c r="P20" s="219"/>
    </row>
    <row r="21" spans="1:18" ht="14.25" customHeight="1" x14ac:dyDescent="0.2">
      <c r="A21" s="238" t="str">
        <f>IF(F21&lt;&gt;"",Var_Neo_InfB_Stand_11/10,"")</f>
        <v/>
      </c>
      <c r="B21" s="239"/>
      <c r="C21" s="240"/>
      <c r="D21" s="214" t="str">
        <f>IF(F21&lt;&gt;"","Zijlijn 2","")</f>
        <v/>
      </c>
      <c r="E21" s="221"/>
      <c r="F21" s="221" t="str">
        <f>IF(NeoBerInfB!E30&gt;1,INDEX(tbl_Neo_Opl,NeoBerInfB!E30,1),"")</f>
        <v/>
      </c>
      <c r="G21" s="221"/>
      <c r="H21" s="221"/>
      <c r="I21" s="221"/>
      <c r="J21" s="221"/>
      <c r="K21" s="221"/>
      <c r="L21" s="215"/>
      <c r="M21" s="231" t="str">
        <f>IF(F21&lt;&gt;"",TRUNC(A21*24),"")</f>
        <v/>
      </c>
      <c r="N21" s="222" t="str">
        <f>IF(F21&lt;&gt;"",((A21*24)-M21)*100,"")</f>
        <v/>
      </c>
      <c r="O21" s="218" t="str">
        <f>IF(Var_Neo_InfB_VochtExtra_13,"extra","")</f>
        <v/>
      </c>
      <c r="P21" s="219"/>
    </row>
    <row r="22" spans="1:18" ht="14.25" customHeight="1" x14ac:dyDescent="0.2">
      <c r="A22" s="238" t="str">
        <f>IF(F22&lt;&gt;"",Var_Neo_InfB_Stand_12/10,"")</f>
        <v/>
      </c>
      <c r="B22" s="239"/>
      <c r="C22" s="240"/>
      <c r="D22" s="214" t="str">
        <f>IF(F22&lt;&gt;"","Zijlijn 3","")</f>
        <v/>
      </c>
      <c r="E22" s="221"/>
      <c r="F22" s="221" t="str">
        <f>IF(NeoBerInfB!E31&gt;1,INDEX(tbl_Neo_Opl,NeoBerInfB!E31,1),"")</f>
        <v/>
      </c>
      <c r="G22" s="221"/>
      <c r="H22" s="221"/>
      <c r="I22" s="221"/>
      <c r="J22" s="221"/>
      <c r="K22" s="221"/>
      <c r="L22" s="215"/>
      <c r="M22" s="231" t="str">
        <f>IF(F22&lt;&gt;"",TRUNC(A22*24),"")</f>
        <v/>
      </c>
      <c r="N22" s="222" t="str">
        <f>IF(F22&lt;&gt;"",((A22*24)-M22)*100,"")</f>
        <v/>
      </c>
      <c r="O22" s="218" t="str">
        <f>IF(Var_Neo_InfB_VochtExtra_14,"extra","")</f>
        <v/>
      </c>
      <c r="P22" s="219"/>
    </row>
    <row r="23" spans="1:18" ht="14.25" customHeight="1" x14ac:dyDescent="0.2">
      <c r="A23" s="238" t="str">
        <f ca="1">IF(D23&lt;&gt;"",ROUNDUP(NeoBerInfB!C35/24,1),"")</f>
        <v/>
      </c>
      <c r="B23" s="239"/>
      <c r="C23" s="240"/>
      <c r="D23" s="214" t="str">
        <f ca="1">IF(NeoBerInfB!C35&lt;&gt;0,INDEX(tbl_Neo_IntralipidSmof,Var_Neo_InfB_IntralipidSmof),"")</f>
        <v/>
      </c>
      <c r="E23" s="221"/>
      <c r="F23" s="221"/>
      <c r="G23" s="221"/>
      <c r="H23" s="221"/>
      <c r="I23" s="221"/>
      <c r="J23" s="221"/>
      <c r="K23" s="221"/>
      <c r="L23" s="215"/>
      <c r="M23" s="231" t="str">
        <f ca="1">IF(D23&lt;&gt;"",TRUNC(NeoBerInfB!C35),"")</f>
        <v/>
      </c>
      <c r="N23" s="222" t="str">
        <f ca="1">IF(D23&lt;&gt;"",(NeoBerInfB!C35-M23)*100,"")</f>
        <v/>
      </c>
      <c r="O23" s="218"/>
      <c r="P23" s="219"/>
    </row>
    <row r="24" spans="1:18" ht="14.25" customHeight="1" x14ac:dyDescent="0.2">
      <c r="A24" s="221"/>
      <c r="B24" s="218"/>
      <c r="C24" s="218"/>
      <c r="D24" s="218"/>
      <c r="E24" s="218"/>
      <c r="F24" s="218"/>
      <c r="G24" s="218"/>
      <c r="H24" s="218"/>
      <c r="I24" s="218"/>
      <c r="J24" s="218"/>
      <c r="K24" s="218"/>
      <c r="L24" s="218"/>
      <c r="M24" s="241"/>
      <c r="N24" s="242"/>
      <c r="O24" s="218"/>
      <c r="P24" s="219"/>
    </row>
    <row r="25" spans="1:18" ht="14.25" customHeight="1" x14ac:dyDescent="0.2">
      <c r="A25" s="214" t="s">
        <v>185</v>
      </c>
      <c r="B25" s="215"/>
      <c r="C25" s="218"/>
      <c r="D25" s="218"/>
      <c r="E25" s="218"/>
      <c r="F25" s="218"/>
      <c r="G25" s="218"/>
      <c r="H25" s="218"/>
      <c r="I25" s="218"/>
      <c r="J25" s="218"/>
      <c r="K25" s="218"/>
      <c r="L25" s="218"/>
      <c r="M25" s="236"/>
      <c r="N25" s="237"/>
      <c r="O25" s="218"/>
      <c r="P25" s="219"/>
    </row>
    <row r="26" spans="1:18" ht="14.25" customHeight="1" x14ac:dyDescent="0.2">
      <c r="A26" s="238" t="str">
        <f>IF(NeoBerInfB!B20&gt;1,NeoBerInfB!F20/10,"")</f>
        <v/>
      </c>
      <c r="B26" s="238"/>
      <c r="C26" s="243" t="str">
        <f>IF(A26&lt;&gt;"",IF(NeoBerInfB!B20&gt;1,INDEX(tbl_Neo_MedIV,NeoBerInfB!B20,1),""),"")</f>
        <v/>
      </c>
      <c r="D26" s="216"/>
      <c r="E26" s="217" t="str">
        <f>IF(A26&lt;&gt;"",IF(NeoBerInfB!B20&gt;1,NeoBerInfB!C20/10,""),"")</f>
        <v/>
      </c>
      <c r="F26" s="216" t="str">
        <f>IF(Var_Neo_InfB_Medicament_1&lt;&gt;5,"mg","ml")</f>
        <v>mg</v>
      </c>
      <c r="G26" s="244" t="s">
        <v>564</v>
      </c>
      <c r="H26" s="216" t="str">
        <f>IF(A26&lt;&gt;"",IF(NeoBerInfB!B20&gt;1,INDEX(tbl_Neo_MedIV,NeoBerInfB!B20,3),""),"")</f>
        <v/>
      </c>
      <c r="I26" s="216" t="s">
        <v>565</v>
      </c>
      <c r="J26" s="216" t="str">
        <f>IF(A26&lt;&gt;"",IF(NeoBerInfB!B20&gt;1,INDEX(tbl_Neo_MedIV,NeoBerInfB!B20,4),""),"")</f>
        <v/>
      </c>
      <c r="K26" s="216" t="s">
        <v>566</v>
      </c>
      <c r="L26" s="216"/>
      <c r="M26" s="245" t="str">
        <f>IF(A26&lt;&gt;"",TRUNC((J26/H26)*E26),"")</f>
        <v/>
      </c>
      <c r="N26" s="246" t="str">
        <f>IF(A26&lt;&gt;"",(ROUND((J26/H26)*E26,2)-M26)*100,"")</f>
        <v/>
      </c>
      <c r="O26" s="218" t="str">
        <f>IF(C26&lt;&gt;"",IF(Var_Neo_InfB_VochtExtra_02,"extra",""),"")</f>
        <v/>
      </c>
      <c r="P26" s="219"/>
      <c r="R26" s="208">
        <f>NeoBerInfB!B20</f>
        <v>1</v>
      </c>
    </row>
    <row r="27" spans="1:18" ht="14.25" customHeight="1" x14ac:dyDescent="0.2">
      <c r="A27" s="238"/>
      <c r="B27" s="238"/>
      <c r="C27" s="230"/>
      <c r="D27" s="218"/>
      <c r="E27" s="218"/>
      <c r="F27" s="218"/>
      <c r="G27" s="247"/>
      <c r="H27" s="218"/>
      <c r="I27" s="218" t="s">
        <v>567</v>
      </c>
      <c r="J27" s="218" t="str">
        <f>IF(A26&lt;&gt;"",IF(A26&gt;0,NeoPrtAfspr!I33,""),"")</f>
        <v/>
      </c>
      <c r="K27" s="218"/>
      <c r="L27" s="218"/>
      <c r="M27" s="248" t="str">
        <f>IF(A26&lt;&gt;"",TRUNC(M28+N28/100-M26-N26/100),"")</f>
        <v/>
      </c>
      <c r="N27" s="249" t="str">
        <f>IF(A26&lt;&gt;"",(M28+N28/100-M26-N26/100-M27)*100,"")</f>
        <v/>
      </c>
      <c r="O27" s="218"/>
      <c r="P27" s="219"/>
    </row>
    <row r="28" spans="1:18" ht="14.25" customHeight="1" x14ac:dyDescent="0.2">
      <c r="A28" s="238"/>
      <c r="B28" s="238"/>
      <c r="C28" s="225" t="str">
        <f>IF(A26&lt;&gt;"",NeoPrtAfspr!K33,"")</f>
        <v/>
      </c>
      <c r="D28" s="226"/>
      <c r="E28" s="226" t="str">
        <f>IF(A26&lt;&gt;"",NeoPrtAfspr!M33&amp;" "&amp;NeoPrtAfspr!N33,"")</f>
        <v/>
      </c>
      <c r="F28" s="226"/>
      <c r="G28" s="250"/>
      <c r="H28" s="226"/>
      <c r="I28" s="226"/>
      <c r="J28" s="251" t="s">
        <v>118</v>
      </c>
      <c r="K28" s="226"/>
      <c r="L28" s="226"/>
      <c r="M28" s="231" t="str">
        <f>IF(A26&lt;&gt;"",TRUNC(Var_Neo_InfB_OplHoev_1),"")</f>
        <v/>
      </c>
      <c r="N28" s="222" t="str">
        <f>IF(A26&lt;&gt;"",(Var_Neo_InfB_OplHoev_1-M28)*100,"")</f>
        <v/>
      </c>
      <c r="O28" s="218"/>
      <c r="P28" s="219"/>
    </row>
    <row r="29" spans="1:18" ht="14.25" customHeight="1" x14ac:dyDescent="0.2">
      <c r="A29" s="238" t="str">
        <f>IF(NeoBerInfB!B21&gt;1,NeoBerInfB!F21/10,"")</f>
        <v/>
      </c>
      <c r="B29" s="238"/>
      <c r="C29" s="243" t="str">
        <f>IF(A29&lt;&gt;"",IF(NeoBerInfB!B21&gt;1,INDEX(tbl_Neo_MedIV,NeoBerInfB!B21,1),""),"")</f>
        <v/>
      </c>
      <c r="D29" s="216"/>
      <c r="E29" s="217" t="str">
        <f>IF(A29&lt;&gt;"",IF(NeoBerInfB!B21&gt;1,NeoBerInfB!C21/10,""),"")</f>
        <v/>
      </c>
      <c r="F29" s="216" t="str">
        <f>IF(Var_Neo_InfB_Medicament_2&lt;&gt;5,"mg","ml")</f>
        <v>mg</v>
      </c>
      <c r="G29" s="244" t="s">
        <v>564</v>
      </c>
      <c r="H29" s="216" t="str">
        <f>IF(A29&lt;&gt;"",IF(NeoBerInfB!B21&gt;1,INDEX(tbl_Neo_MedIV,NeoBerInfB!B21,3),""),"")</f>
        <v/>
      </c>
      <c r="I29" s="216" t="s">
        <v>565</v>
      </c>
      <c r="J29" s="216" t="str">
        <f>IF(A29&lt;&gt;"",IF(NeoBerInfB!B21&gt;1,INDEX(tbl_Neo_MedIV,NeoBerInfB!B21,4),""),"")</f>
        <v/>
      </c>
      <c r="K29" s="216" t="s">
        <v>566</v>
      </c>
      <c r="L29" s="216"/>
      <c r="M29" s="248" t="str">
        <f>IF(A29&lt;&gt;"",TRUNC((J29/H29)*E29),"")</f>
        <v/>
      </c>
      <c r="N29" s="249" t="str">
        <f>IF(A29&lt;&gt;"",(IF(A29&gt;0,ROUND((J29/H29)*E29,2),0)-M29)*100,"")</f>
        <v/>
      </c>
      <c r="O29" s="218" t="str">
        <f>IF(C29&lt;&gt;"",IF(Var_Neo_InfB_VochtExtra_03,"extra",""),"")</f>
        <v/>
      </c>
      <c r="P29" s="219"/>
    </row>
    <row r="30" spans="1:18" ht="14.25" customHeight="1" x14ac:dyDescent="0.2">
      <c r="A30" s="238"/>
      <c r="B30" s="238"/>
      <c r="C30" s="230"/>
      <c r="D30" s="218"/>
      <c r="E30" s="218"/>
      <c r="F30" s="218"/>
      <c r="G30" s="247"/>
      <c r="H30" s="218"/>
      <c r="I30" s="218" t="s">
        <v>567</v>
      </c>
      <c r="J30" s="218" t="str">
        <f>IF(A29&lt;&gt;"",IF(A29&gt;0,NeoPrtAfspr!I34,""),"")</f>
        <v/>
      </c>
      <c r="K30" s="218"/>
      <c r="L30" s="218"/>
      <c r="M30" s="248" t="str">
        <f>IF(A29&lt;&gt;"",TRUNC(IF(A29&gt;0,M31+N31/100-M29-N29/100,0)),"")</f>
        <v/>
      </c>
      <c r="N30" s="249" t="str">
        <f>IF(A29&lt;&gt;"",(IF(A29&gt;0,M31+N31/100-M29-N29/100,0)-M30)*100,"")</f>
        <v/>
      </c>
      <c r="O30" s="218"/>
      <c r="P30" s="219"/>
    </row>
    <row r="31" spans="1:18" ht="14.25" customHeight="1" x14ac:dyDescent="0.2">
      <c r="A31" s="238"/>
      <c r="B31" s="238"/>
      <c r="C31" s="225" t="str">
        <f>IF(A29&lt;&gt;"",NeoPrtAfspr!K34,"")</f>
        <v/>
      </c>
      <c r="D31" s="226"/>
      <c r="E31" s="226" t="str">
        <f>IF(A29&lt;&gt;"",NeoPrtAfspr!M34&amp;" "&amp;NeoPrtAfspr!N34,"")</f>
        <v/>
      </c>
      <c r="F31" s="226"/>
      <c r="G31" s="250"/>
      <c r="H31" s="226"/>
      <c r="I31" s="226"/>
      <c r="J31" s="251" t="s">
        <v>118</v>
      </c>
      <c r="K31" s="226"/>
      <c r="L31" s="226"/>
      <c r="M31" s="231" t="str">
        <f>IF(A29&lt;&gt;"",TRUNC(Var_Neo_InfB_OplHoev_2),"")</f>
        <v/>
      </c>
      <c r="N31" s="222" t="str">
        <f>IF(A29&lt;&gt;"",(Var_Neo_InfB_OplHoev_2-M31)*100,"")</f>
        <v/>
      </c>
      <c r="O31" s="218"/>
      <c r="P31" s="219"/>
    </row>
    <row r="32" spans="1:18" ht="14.25" customHeight="1" x14ac:dyDescent="0.2">
      <c r="A32" s="238" t="str">
        <f>IF(NeoBerInfB!B22&gt;1,NeoBerInfB!F22/10,"")</f>
        <v/>
      </c>
      <c r="B32" s="238"/>
      <c r="C32" s="243" t="str">
        <f>IF(A32&lt;&gt;"",IF(NeoBerInfB!B22&gt;1,INDEX(tbl_Neo_MedIV,NeoBerInfB!B22,1),""),"")</f>
        <v/>
      </c>
      <c r="D32" s="216"/>
      <c r="E32" s="217" t="str">
        <f>IF(A32&lt;&gt;"",IF(NeoBerInfB!B22&gt;1,NeoBerInfB!C22/10,""),"")</f>
        <v/>
      </c>
      <c r="F32" s="216" t="str">
        <f>IF(Var_Neo_InfB_Medicament_3&lt;&gt;5,"mg","ml")</f>
        <v>mg</v>
      </c>
      <c r="G32" s="244" t="s">
        <v>564</v>
      </c>
      <c r="H32" s="216" t="str">
        <f>IF(A32&lt;&gt;"",IF(NeoBerInfB!B22&gt;1,INDEX(tbl_Neo_MedIV,NeoBerInfB!B22,3),""),"")</f>
        <v/>
      </c>
      <c r="I32" s="216" t="s">
        <v>565</v>
      </c>
      <c r="J32" s="216" t="str">
        <f>IF(A32&lt;&gt;"",IF(NeoBerInfB!B22&gt;1,INDEX(tbl_Neo_MedIV,NeoBerInfB!B22,4),""),"")</f>
        <v/>
      </c>
      <c r="K32" s="216" t="s">
        <v>566</v>
      </c>
      <c r="L32" s="216"/>
      <c r="M32" s="245" t="str">
        <f>IF(A32&lt;&gt;"",TRUNC((J32/H32)*E32),"")</f>
        <v/>
      </c>
      <c r="N32" s="246" t="str">
        <f>IF(A32&lt;&gt;"",(IF(A32&gt;0,ROUND((J32/H32)*E32,2),0)-M32)*100,"")</f>
        <v/>
      </c>
      <c r="O32" s="218" t="str">
        <f>IF(C32&lt;&gt;"",IF(Var_Neo_InfB_VochtExtra_04,"extra",""),"")</f>
        <v/>
      </c>
      <c r="P32" s="219"/>
    </row>
    <row r="33" spans="1:16" ht="15" x14ac:dyDescent="0.2">
      <c r="A33" s="238"/>
      <c r="B33" s="238"/>
      <c r="C33" s="230"/>
      <c r="D33" s="218"/>
      <c r="E33" s="218"/>
      <c r="F33" s="218"/>
      <c r="G33" s="247"/>
      <c r="H33" s="218"/>
      <c r="I33" s="218" t="s">
        <v>567</v>
      </c>
      <c r="J33" s="218" t="str">
        <f>IF(A32&lt;&gt;"",IF(A32&gt;0,NeoPrtAfspr!I35,""),"")</f>
        <v/>
      </c>
      <c r="K33" s="218"/>
      <c r="L33" s="218"/>
      <c r="M33" s="248" t="str">
        <f>IF(A32&lt;&gt;"",TRUNC(IF(A32&gt;0,M34+N34/100-M32-N32/100,0)),"")</f>
        <v/>
      </c>
      <c r="N33" s="249" t="str">
        <f>IF(A32&lt;&gt;"",(IF(A32&gt;0,M34+N34/100-M32-N32/100,0)-M33)*100,"")</f>
        <v/>
      </c>
      <c r="O33" s="218"/>
      <c r="P33" s="219"/>
    </row>
    <row r="34" spans="1:16" ht="15" x14ac:dyDescent="0.2">
      <c r="A34" s="238"/>
      <c r="B34" s="238"/>
      <c r="C34" s="225" t="str">
        <f>IF(A32&lt;&gt;"",NeoPrtAfspr!K35,"")</f>
        <v/>
      </c>
      <c r="D34" s="226"/>
      <c r="E34" s="226" t="str">
        <f>IF(A32&lt;&gt;"",NeoPrtAfspr!M35&amp;" "&amp;NeoPrtAfspr!N35,"")</f>
        <v/>
      </c>
      <c r="F34" s="226"/>
      <c r="G34" s="250"/>
      <c r="H34" s="226"/>
      <c r="I34" s="226"/>
      <c r="J34" s="251" t="s">
        <v>118</v>
      </c>
      <c r="K34" s="226"/>
      <c r="L34" s="226"/>
      <c r="M34" s="231" t="str">
        <f>IF(A32&lt;&gt;"",TRUNC(Var_Neo_InfB_OplHoev_3),"")</f>
        <v/>
      </c>
      <c r="N34" s="222" t="str">
        <f>IF(A32&lt;&gt;"",(Var_Neo_InfB_OplHoev_3-M34)*100,"")</f>
        <v/>
      </c>
      <c r="O34" s="218"/>
      <c r="P34" s="219"/>
    </row>
    <row r="35" spans="1:16" ht="15" x14ac:dyDescent="0.2">
      <c r="A35" s="238" t="str">
        <f>IF(NeoBerInfB!B23&gt;1,NeoBerInfB!F23/10,"")</f>
        <v/>
      </c>
      <c r="B35" s="238"/>
      <c r="C35" s="243" t="str">
        <f>IF(A35&lt;&gt;"",IF(NeoBerInfB!B23&gt;1,INDEX(tbl_Neo_MedIV,NeoBerInfB!B23,1),""),"")</f>
        <v/>
      </c>
      <c r="D35" s="216"/>
      <c r="E35" s="217" t="str">
        <f>IF(A35&lt;&gt;"",IF(NeoBerInfB!B23&gt;1,NeoBerInfB!C23/10,""),"")</f>
        <v/>
      </c>
      <c r="F35" s="216" t="str">
        <f>IF(Var_Neo_InfB_Medicament_4&lt;&gt;5,"mg","ml")</f>
        <v>mg</v>
      </c>
      <c r="G35" s="244" t="s">
        <v>564</v>
      </c>
      <c r="H35" s="216" t="str">
        <f>IF(A35&lt;&gt;"",IF(NeoBerInfB!B23&gt;1,INDEX(tbl_Neo_MedIV,NeoBerInfB!B23,3),""),"")</f>
        <v/>
      </c>
      <c r="I35" s="216" t="s">
        <v>565</v>
      </c>
      <c r="J35" s="216" t="str">
        <f>IF(A35&lt;&gt;"",IF(NeoBerInfB!B23&gt;1,INDEX(tbl_Neo_MedIV,NeoBerInfB!B23,4),""),"")</f>
        <v/>
      </c>
      <c r="K35" s="216" t="s">
        <v>566</v>
      </c>
      <c r="L35" s="216"/>
      <c r="M35" s="248" t="str">
        <f>IF(A35&lt;&gt;"",TRUNC((J35/H35)*E35),"")</f>
        <v/>
      </c>
      <c r="N35" s="249" t="str">
        <f>IF(A35&lt;&gt;"",(IF(A35&gt;0,ROUND((J35/H35)*E35,2),0)-M35)*100,"")</f>
        <v/>
      </c>
      <c r="O35" s="218" t="str">
        <f>IF(C35&lt;&gt;"",IF(Var_Neo_InfB_VochtExtra_05,"extra",""),"")</f>
        <v/>
      </c>
      <c r="P35" s="219"/>
    </row>
    <row r="36" spans="1:16" ht="15" x14ac:dyDescent="0.2">
      <c r="A36" s="238"/>
      <c r="B36" s="238"/>
      <c r="C36" s="230"/>
      <c r="D36" s="218"/>
      <c r="E36" s="218"/>
      <c r="F36" s="218"/>
      <c r="G36" s="247"/>
      <c r="H36" s="218"/>
      <c r="I36" s="218" t="s">
        <v>567</v>
      </c>
      <c r="J36" s="218" t="str">
        <f>IF(A35&lt;&gt;"",IF(A35&gt;0,NeoPrtAfspr!I36,""),"")</f>
        <v/>
      </c>
      <c r="K36" s="218"/>
      <c r="L36" s="218"/>
      <c r="M36" s="248" t="str">
        <f>IF(A35&lt;&gt;"",TRUNC(IF(A35&gt;0,M37+N37/100-M35-N35/100,0)),"")</f>
        <v/>
      </c>
      <c r="N36" s="249" t="str">
        <f>IF(A35&lt;&gt;"",(IF(A35&gt;0,M37+N37/100-M35-N35/100,0)-M36)*100,"")</f>
        <v/>
      </c>
      <c r="O36" s="218"/>
      <c r="P36" s="219"/>
    </row>
    <row r="37" spans="1:16" ht="15" x14ac:dyDescent="0.2">
      <c r="A37" s="238"/>
      <c r="B37" s="238"/>
      <c r="C37" s="225" t="str">
        <f>IF(A35&lt;&gt;"",NeoPrtAfspr!K36,"")</f>
        <v/>
      </c>
      <c r="D37" s="226"/>
      <c r="E37" s="226" t="str">
        <f>IF(A35&lt;&gt;"",NeoPrtAfspr!M36&amp;" "&amp;NeoPrtAfspr!N36,"")</f>
        <v/>
      </c>
      <c r="F37" s="226"/>
      <c r="G37" s="250"/>
      <c r="H37" s="226"/>
      <c r="I37" s="226"/>
      <c r="J37" s="251" t="s">
        <v>118</v>
      </c>
      <c r="K37" s="226"/>
      <c r="L37" s="226"/>
      <c r="M37" s="231" t="str">
        <f>IF(A35&lt;&gt;"",TRUNC(Var_Neo_InfB_OplHoev_4),"")</f>
        <v/>
      </c>
      <c r="N37" s="222" t="str">
        <f>IF(A35&lt;&gt;"",(Var_Neo_InfB_OplHoev_4-M37)*100,"")</f>
        <v/>
      </c>
      <c r="O37" s="218"/>
      <c r="P37" s="219"/>
    </row>
    <row r="38" spans="1:16" ht="15" x14ac:dyDescent="0.2">
      <c r="A38" s="238" t="str">
        <f>IF(NeoBerInfB!B24&gt;1,NeoBerInfB!F24/10,"")</f>
        <v/>
      </c>
      <c r="B38" s="238"/>
      <c r="C38" s="243" t="str">
        <f>IF(A38&lt;&gt;"",IF(NeoBerInfB!B24&gt;1,INDEX(tbl_Neo_MedIV,NeoBerInfB!B24,1),""),"")</f>
        <v/>
      </c>
      <c r="D38" s="216"/>
      <c r="E38" s="217" t="str">
        <f>IF(A38&lt;&gt;"",IF(NeoBerInfB!B24&gt;1,NeoBerInfB!C24/10,""),"")</f>
        <v/>
      </c>
      <c r="F38" s="216" t="str">
        <f>IF(Var_Neo_InfB_Medicament_5&lt;&gt;5,"mg","ml")</f>
        <v>mg</v>
      </c>
      <c r="G38" s="244" t="s">
        <v>564</v>
      </c>
      <c r="H38" s="216" t="str">
        <f>IF(A38&lt;&gt;"",IF(NeoBerInfB!B24&gt;1,INDEX(tbl_Neo_MedIV,NeoBerInfB!B24,3),""),"")</f>
        <v/>
      </c>
      <c r="I38" s="216" t="s">
        <v>565</v>
      </c>
      <c r="J38" s="216" t="str">
        <f>IF(A38&lt;&gt;"",IF(NeoBerInfB!B24&gt;1,INDEX(tbl_Neo_MedIV,NeoBerInfB!B24,4),""),"")</f>
        <v/>
      </c>
      <c r="K38" s="216" t="s">
        <v>566</v>
      </c>
      <c r="L38" s="216"/>
      <c r="M38" s="245" t="str">
        <f>IF(A38&lt;&gt;"",TRUNC((J38/H38)*E38),"")</f>
        <v/>
      </c>
      <c r="N38" s="246" t="str">
        <f>IF(A38&lt;&gt;"",(IF(A38&gt;0,ROUND((J38/H38)*E38,2),0)-M38)*100,"")</f>
        <v/>
      </c>
      <c r="O38" s="218" t="str">
        <f>IF(C38&lt;&gt;"",IF(Var_Neo_InfB_VochtExtra_06,"extra",""),"")</f>
        <v/>
      </c>
      <c r="P38" s="219"/>
    </row>
    <row r="39" spans="1:16" ht="15" x14ac:dyDescent="0.2">
      <c r="A39" s="238"/>
      <c r="B39" s="238"/>
      <c r="C39" s="230"/>
      <c r="D39" s="218"/>
      <c r="E39" s="218"/>
      <c r="F39" s="218"/>
      <c r="G39" s="247"/>
      <c r="H39" s="218"/>
      <c r="I39" s="218" t="s">
        <v>567</v>
      </c>
      <c r="J39" s="218" t="str">
        <f>IF(A38&lt;&gt;"",IF(A38&gt;0,NeoPrtAfspr!I37,""),"")</f>
        <v/>
      </c>
      <c r="K39" s="218"/>
      <c r="L39" s="218"/>
      <c r="M39" s="248" t="str">
        <f>IF(A38&lt;&gt;"",TRUNC(IF(A38&gt;0,M40+N40/100-M38-N38/100,0)),"")</f>
        <v/>
      </c>
      <c r="N39" s="249" t="str">
        <f>IF(A38&lt;&gt;"",(IF(A38&gt;0,M40+N40/100-M38-N38/100,0)-M39)*100,"")</f>
        <v/>
      </c>
      <c r="O39" s="218"/>
      <c r="P39" s="219"/>
    </row>
    <row r="40" spans="1:16" ht="15" x14ac:dyDescent="0.2">
      <c r="A40" s="238"/>
      <c r="B40" s="238"/>
      <c r="C40" s="225" t="str">
        <f>IF(A38&lt;&gt;"",NeoPrtAfspr!K37,"")</f>
        <v/>
      </c>
      <c r="D40" s="226"/>
      <c r="E40" s="226" t="str">
        <f>IF(A38&lt;&gt;"",NeoPrtAfspr!M37&amp;" "&amp;NeoPrtAfspr!N37,"")</f>
        <v/>
      </c>
      <c r="F40" s="226"/>
      <c r="G40" s="250"/>
      <c r="H40" s="226"/>
      <c r="I40" s="226"/>
      <c r="J40" s="251" t="s">
        <v>118</v>
      </c>
      <c r="K40" s="226"/>
      <c r="L40" s="226"/>
      <c r="M40" s="231" t="str">
        <f>IF(A38&lt;&gt;"",TRUNC(Var_Neo_InfB_OplHoev_5),"")</f>
        <v/>
      </c>
      <c r="N40" s="222" t="str">
        <f>IF(A38&lt;&gt;"",(Var_Neo_InfB_OplHoev_5-M40)*100,"")</f>
        <v/>
      </c>
      <c r="O40" s="218"/>
      <c r="P40" s="219"/>
    </row>
    <row r="41" spans="1:16" ht="15" x14ac:dyDescent="0.2">
      <c r="A41" s="238" t="str">
        <f>IF(NeoBerInfB!B25&gt;1,NeoBerInfB!F25/10,"")</f>
        <v/>
      </c>
      <c r="B41" s="238"/>
      <c r="C41" s="243" t="str">
        <f>IF(A41&lt;&gt;"",IF(NeoBerInfB!B25&gt;1,INDEX(tbl_Neo_MedIV,NeoBerInfB!B25,1),""),"")</f>
        <v/>
      </c>
      <c r="D41" s="216"/>
      <c r="E41" s="217" t="str">
        <f>IF(A41&lt;&gt;"",IF(NeoBerInfB!B25&gt;1,NeoBerInfB!C25/10,""),"")</f>
        <v/>
      </c>
      <c r="F41" s="216" t="str">
        <f>IF(Var_Neo_InfB_Medicament_6&lt;&gt;5,"mg","ml")</f>
        <v>mg</v>
      </c>
      <c r="G41" s="244" t="s">
        <v>564</v>
      </c>
      <c r="H41" s="216" t="str">
        <f>IF(A41&lt;&gt;"",IF(NeoBerInfB!B25&gt;1,INDEX(tbl_Neo_MedIV,NeoBerInfB!B25,3),""),"")</f>
        <v/>
      </c>
      <c r="I41" s="216" t="s">
        <v>565</v>
      </c>
      <c r="J41" s="216" t="str">
        <f>IF(A41&lt;&gt;"",IF(NeoBerInfB!B25&gt;1,INDEX(tbl_Neo_MedIV,NeoBerInfB!B25,4),""),"")</f>
        <v/>
      </c>
      <c r="K41" s="216" t="s">
        <v>566</v>
      </c>
      <c r="L41" s="216"/>
      <c r="M41" s="248" t="str">
        <f>IF(A41&lt;&gt;"",TRUNC((J41/H41)*E41),"")</f>
        <v/>
      </c>
      <c r="N41" s="249" t="str">
        <f>IF(A41&lt;&gt;"",(IF(A41&gt;0,ROUND((J41/H41)*E41,2),0)-M41)*100,"")</f>
        <v/>
      </c>
      <c r="O41" s="218" t="str">
        <f>IF(C41&lt;&gt;"",IF(Var_Neo_InfB_VochtExtra_07,"extra",""),"")</f>
        <v/>
      </c>
      <c r="P41" s="219"/>
    </row>
    <row r="42" spans="1:16" ht="15" x14ac:dyDescent="0.2">
      <c r="A42" s="238"/>
      <c r="B42" s="238"/>
      <c r="C42" s="230"/>
      <c r="D42" s="218"/>
      <c r="E42" s="218"/>
      <c r="F42" s="218"/>
      <c r="G42" s="247"/>
      <c r="H42" s="218"/>
      <c r="I42" s="218" t="s">
        <v>567</v>
      </c>
      <c r="J42" s="218" t="str">
        <f>IF(A41&lt;&gt;"",IF(A41&gt;0,NeoPrtAfspr!I38,""),"")</f>
        <v/>
      </c>
      <c r="K42" s="218"/>
      <c r="L42" s="218"/>
      <c r="M42" s="248" t="str">
        <f>IF(A41&lt;&gt;"",TRUNC(IF(A41&gt;0,M43+N43/100-M41-N41/100,0)),"")</f>
        <v/>
      </c>
      <c r="N42" s="249" t="str">
        <f>IF(A41&lt;&gt;"",(IF(A41&gt;0,M43+N43/100-M41-N41/100,0)-M42)*100,"")</f>
        <v/>
      </c>
      <c r="O42" s="218"/>
      <c r="P42" s="219"/>
    </row>
    <row r="43" spans="1:16" ht="15" x14ac:dyDescent="0.2">
      <c r="A43" s="238"/>
      <c r="B43" s="238"/>
      <c r="C43" s="225" t="str">
        <f>IF(A41&lt;&gt;"",NeoPrtAfspr!K38,"")</f>
        <v/>
      </c>
      <c r="D43" s="226"/>
      <c r="E43" s="226" t="str">
        <f>IF(A41&lt;&gt;"",NeoPrtAfspr!M38&amp;" "&amp;NeoPrtAfspr!N38,"")</f>
        <v/>
      </c>
      <c r="F43" s="226"/>
      <c r="G43" s="250"/>
      <c r="H43" s="226"/>
      <c r="I43" s="226"/>
      <c r="J43" s="251" t="s">
        <v>118</v>
      </c>
      <c r="K43" s="226"/>
      <c r="L43" s="226"/>
      <c r="M43" s="231" t="str">
        <f>IF(A41&lt;&gt;"",TRUNC(Var_Neo_InfB_OplHoev_6),"")</f>
        <v/>
      </c>
      <c r="N43" s="222" t="str">
        <f>IF(A41&lt;&gt;"",(Var_Neo_InfB_OplHoev_6-M43)*100,"")</f>
        <v/>
      </c>
      <c r="O43" s="218"/>
      <c r="P43" s="219"/>
    </row>
    <row r="44" spans="1:16" ht="15" x14ac:dyDescent="0.2">
      <c r="A44" s="238" t="str">
        <f>IF(NeoBerInfB!B26&gt;1,NeoBerInfB!F26/10,"")</f>
        <v/>
      </c>
      <c r="B44" s="238"/>
      <c r="C44" s="243" t="str">
        <f>IF(A44&lt;&gt;"",IF(NeoBerInfB!B26&gt;1,INDEX(tbl_Neo_MedIV,NeoBerInfB!B26,1),""),"")</f>
        <v/>
      </c>
      <c r="D44" s="216"/>
      <c r="E44" s="217" t="str">
        <f>IF(A44&lt;&gt;"",IF(NeoBerInfB!B26&gt;1,NeoBerInfB!C26/10,""),"")</f>
        <v/>
      </c>
      <c r="F44" s="216" t="str">
        <f>IF(Var_Neo_InfB_Medicament_7&lt;&gt;5,"mg","ml")</f>
        <v>mg</v>
      </c>
      <c r="G44" s="244" t="s">
        <v>564</v>
      </c>
      <c r="H44" s="216" t="str">
        <f>IF(A44&lt;&gt;"",IF(NeoBerInfB!B26&gt;1,INDEX(tbl_Neo_MedIV,NeoBerInfB!B26,3),""),"")</f>
        <v/>
      </c>
      <c r="I44" s="216" t="s">
        <v>565</v>
      </c>
      <c r="J44" s="216" t="str">
        <f>IF(A44&lt;&gt;"",IF(NeoBerInfB!B26&gt;1,INDEX(tbl_Neo_MedIV,NeoBerInfB!B26,4),""),"")</f>
        <v/>
      </c>
      <c r="K44" s="216" t="s">
        <v>566</v>
      </c>
      <c r="L44" s="216"/>
      <c r="M44" s="245" t="str">
        <f>IF(A44&lt;&gt;"",TRUNC((J44/H44)*E44),"")</f>
        <v/>
      </c>
      <c r="N44" s="246" t="str">
        <f>IF(A44&lt;&gt;"",(IF(A44&gt;0,ROUND((J44/H44)*E44,2),0)-M44)*100,"")</f>
        <v/>
      </c>
      <c r="O44" s="218" t="str">
        <f>IF(C44&lt;&gt;"",IF(Var_Neo_InfB_VochtExtra_08,"extra",""),"")</f>
        <v/>
      </c>
      <c r="P44" s="219"/>
    </row>
    <row r="45" spans="1:16" ht="15" x14ac:dyDescent="0.2">
      <c r="A45" s="238"/>
      <c r="B45" s="238"/>
      <c r="C45" s="230"/>
      <c r="D45" s="218"/>
      <c r="E45" s="218"/>
      <c r="F45" s="218"/>
      <c r="G45" s="247"/>
      <c r="H45" s="218"/>
      <c r="I45" s="218" t="s">
        <v>567</v>
      </c>
      <c r="J45" s="218" t="str">
        <f>IF(A44&lt;&gt;"",IF(A44&gt;0,NeoPrtAfspr!I39,""),"")</f>
        <v/>
      </c>
      <c r="K45" s="218"/>
      <c r="L45" s="218"/>
      <c r="M45" s="248" t="str">
        <f>IF(A44&lt;&gt;"",TRUNC(IF(A44&gt;0,M46+N46/100-M44-N44/100,0)),"")</f>
        <v/>
      </c>
      <c r="N45" s="249" t="str">
        <f>IF(A44&lt;&gt;"",(IF(A44&gt;0,M46+N46/100-M44-N44/100,0)-M45)*100,"")</f>
        <v/>
      </c>
      <c r="O45" s="218"/>
      <c r="P45" s="219"/>
    </row>
    <row r="46" spans="1:16" ht="15" x14ac:dyDescent="0.2">
      <c r="A46" s="238"/>
      <c r="B46" s="238"/>
      <c r="C46" s="225" t="str">
        <f>IF(A44&lt;&gt;"",NeoPrtAfspr!K39,"")</f>
        <v/>
      </c>
      <c r="D46" s="226"/>
      <c r="E46" s="226" t="str">
        <f>IF(A44&lt;&gt;"",NeoPrtAfspr!M39&amp;" "&amp;NeoPrtAfspr!N39,"")</f>
        <v/>
      </c>
      <c r="F46" s="226"/>
      <c r="G46" s="250"/>
      <c r="H46" s="226"/>
      <c r="I46" s="226"/>
      <c r="J46" s="251" t="s">
        <v>118</v>
      </c>
      <c r="K46" s="226"/>
      <c r="L46" s="226"/>
      <c r="M46" s="231" t="str">
        <f>IF(A44&lt;&gt;"",TRUNC(Var_Neo_InfB_OplHoev_7),"")</f>
        <v/>
      </c>
      <c r="N46" s="222" t="str">
        <f>IF(A44&lt;&gt;"",(Var_Neo_InfB_OplHoev_7-M46)*100,"")</f>
        <v/>
      </c>
      <c r="O46" s="218"/>
      <c r="P46" s="219"/>
    </row>
    <row r="47" spans="1:16" ht="15" x14ac:dyDescent="0.2">
      <c r="A47" s="238" t="str">
        <f>IF(NeoBerInfB!B27&gt;1,NeoBerInfB!F27/10,"")</f>
        <v/>
      </c>
      <c r="B47" s="238"/>
      <c r="C47" s="243" t="str">
        <f>IF(A47&lt;&gt;"",IF(NeoBerInfB!B27&gt;1,INDEX(tbl_Neo_MedIV,NeoBerInfB!B27,1),""),"")</f>
        <v/>
      </c>
      <c r="D47" s="216"/>
      <c r="E47" s="217" t="str">
        <f>IF(A47&lt;&gt;"",IF(NeoBerInfB!B27&gt;1,NeoBerInfB!C27/10,""),"")</f>
        <v/>
      </c>
      <c r="F47" s="216" t="str">
        <f>IF(Var_Neo_InfB_Medicament_8&lt;&gt;5,"mg","ml")</f>
        <v>mg</v>
      </c>
      <c r="G47" s="244" t="s">
        <v>564</v>
      </c>
      <c r="H47" s="216" t="str">
        <f>IF(A47&lt;&gt;"",IF(NeoBerInfB!B27&gt;1,INDEX(tbl_Neo_MedIV,NeoBerInfB!B27,3),""),"")</f>
        <v/>
      </c>
      <c r="I47" s="216" t="s">
        <v>565</v>
      </c>
      <c r="J47" s="216" t="str">
        <f>IF(A47&lt;&gt;"",IF(NeoBerInfB!B27&gt;1,INDEX(tbl_Neo_MedIV,NeoBerInfB!B27,4),""),"")</f>
        <v/>
      </c>
      <c r="K47" s="216" t="s">
        <v>566</v>
      </c>
      <c r="L47" s="216"/>
      <c r="M47" s="248" t="str">
        <f>IF(A47&lt;&gt;"",TRUNC((J47/H47)*E47),"")</f>
        <v/>
      </c>
      <c r="N47" s="249" t="str">
        <f>IF(A47&lt;&gt;"",(IF(A47&gt;0,ROUND((J47/H47)*E47,2),0)-M47)*100,"")</f>
        <v/>
      </c>
      <c r="O47" s="218" t="str">
        <f>IF(C47&lt;&gt;"",IF(Var_Neo_InfB_VochtExtra_02=8,"extra",""),"")</f>
        <v/>
      </c>
      <c r="P47" s="219"/>
    </row>
    <row r="48" spans="1:16" ht="15" x14ac:dyDescent="0.2">
      <c r="A48" s="238"/>
      <c r="B48" s="238"/>
      <c r="C48" s="230"/>
      <c r="D48" s="218"/>
      <c r="E48" s="218"/>
      <c r="F48" s="218"/>
      <c r="G48" s="247"/>
      <c r="H48" s="218"/>
      <c r="I48" s="218" t="s">
        <v>567</v>
      </c>
      <c r="J48" s="218" t="str">
        <f>IF(A47&lt;&gt;"",IF(A47&gt;0,NeoPrtAfspr!I40,""),"")</f>
        <v/>
      </c>
      <c r="K48" s="218"/>
      <c r="L48" s="218"/>
      <c r="M48" s="248" t="str">
        <f>IF(A47&lt;&gt;"",TRUNC(IF(A47&gt;0,M49+N49/100-M47-N47/100,0)),"")</f>
        <v/>
      </c>
      <c r="N48" s="249" t="str">
        <f>IF(A47&lt;&gt;"",(IF(A47&gt;0,M49+N49/100-M47-N47/100,0)-M48)*100,"")</f>
        <v/>
      </c>
      <c r="O48" s="218"/>
      <c r="P48" s="219"/>
    </row>
    <row r="49" spans="1:16" ht="15" x14ac:dyDescent="0.2">
      <c r="A49" s="238"/>
      <c r="B49" s="238"/>
      <c r="C49" s="225" t="str">
        <f>IF(A47&lt;&gt;"",NeoPrtAfspr!K40,"")</f>
        <v/>
      </c>
      <c r="D49" s="226"/>
      <c r="E49" s="226" t="str">
        <f>IF(A47&lt;&gt;"",NeoPrtAfspr!M40&amp;" "&amp;NeoPrtAfspr!N40,"")</f>
        <v/>
      </c>
      <c r="F49" s="226"/>
      <c r="G49" s="250"/>
      <c r="H49" s="226"/>
      <c r="I49" s="226"/>
      <c r="J49" s="251" t="s">
        <v>118</v>
      </c>
      <c r="K49" s="226"/>
      <c r="L49" s="226"/>
      <c r="M49" s="231" t="str">
        <f>IF(A47&lt;&gt;"",TRUNC(Var_Neo_InfB_OplHoev_8),"")</f>
        <v/>
      </c>
      <c r="N49" s="222" t="str">
        <f>IF(A47&lt;&gt;"",(Var_Neo_InfB_OplHoev_8-M49)*100,"")</f>
        <v/>
      </c>
      <c r="O49" s="218"/>
      <c r="P49" s="219"/>
    </row>
    <row r="50" spans="1:16" ht="15" x14ac:dyDescent="0.2">
      <c r="A50" s="238" t="str">
        <f>IF(NeoBerInfB!B28&gt;1,NeoBerInfB!F28/10,"")</f>
        <v/>
      </c>
      <c r="B50" s="238"/>
      <c r="C50" s="243" t="str">
        <f>IF(A50&lt;&gt;"",IF(NeoBerInfB!B28&gt;1,INDEX(tbl_Neo_MedIV,NeoBerInfB!B28,1),""),"")</f>
        <v/>
      </c>
      <c r="D50" s="216"/>
      <c r="E50" s="217" t="str">
        <f>IF(A50&lt;&gt;"",IF(NeoBerInfB!B28&gt;1,NeoBerInfB!C28/10,""),"")</f>
        <v/>
      </c>
      <c r="F50" s="216" t="str">
        <f>IF(Var_Neo_InfB_Medicament_9&lt;&gt;5,"mg","ml")</f>
        <v>mg</v>
      </c>
      <c r="G50" s="244" t="s">
        <v>564</v>
      </c>
      <c r="H50" s="216" t="str">
        <f>IF(A50&lt;&gt;"",IF(NeoBerInfB!B28&gt;1,INDEX(tbl_Neo_MedIV,NeoBerInfB!B28,3),""),"")</f>
        <v/>
      </c>
      <c r="I50" s="216" t="s">
        <v>565</v>
      </c>
      <c r="J50" s="216" t="str">
        <f>IF(A50&lt;&gt;"",IF(NeoBerInfB!B28&gt;1,INDEX(tbl_Neo_MedIV,NeoBerInfB!B28,4),""),"")</f>
        <v/>
      </c>
      <c r="K50" s="216" t="s">
        <v>566</v>
      </c>
      <c r="L50" s="216"/>
      <c r="M50" s="245" t="str">
        <f>IF(A50&lt;&gt;"",TRUNC((J50/H50)*E50),"")</f>
        <v/>
      </c>
      <c r="N50" s="246" t="str">
        <f>IF(A50&lt;&gt;"",(IF(A50&gt;0,ROUND((J50/H50)*E50,2),0)-M50)*100,"")</f>
        <v/>
      </c>
      <c r="O50" s="218" t="str">
        <f>IF(C50&lt;&gt;"",IF(Var_Neo_InfB_VochtExtra_10,"extra",""),"")</f>
        <v/>
      </c>
      <c r="P50" s="219"/>
    </row>
    <row r="51" spans="1:16" ht="15" x14ac:dyDescent="0.2">
      <c r="A51" s="238"/>
      <c r="B51" s="238"/>
      <c r="C51" s="230"/>
      <c r="D51" s="218"/>
      <c r="E51" s="218"/>
      <c r="F51" s="218"/>
      <c r="G51" s="247"/>
      <c r="H51" s="218"/>
      <c r="I51" s="218" t="s">
        <v>567</v>
      </c>
      <c r="J51" s="218" t="str">
        <f>IF(A50&lt;&gt;"",IF(A50&gt;0,NeoPrtAfspr!I41,""),"")</f>
        <v/>
      </c>
      <c r="K51" s="218"/>
      <c r="L51" s="218"/>
      <c r="M51" s="248" t="str">
        <f>IF(A50&lt;&gt;"",TRUNC(IF(A50&gt;0,M52+N52/100-M50-N50/100,0)),"")</f>
        <v/>
      </c>
      <c r="N51" s="249" t="str">
        <f>IF(A50&lt;&gt;"",(IF(A50&gt;0,M52+N52/100-M50-N50/100,0)-M51)*100,"")</f>
        <v/>
      </c>
      <c r="O51" s="218"/>
      <c r="P51" s="219"/>
    </row>
    <row r="52" spans="1:16" ht="15" x14ac:dyDescent="0.2">
      <c r="A52" s="238"/>
      <c r="B52" s="238"/>
      <c r="C52" s="225" t="str">
        <f>IF(A50&lt;&gt;"",NeoPrtAfspr!K41,"")</f>
        <v/>
      </c>
      <c r="D52" s="226"/>
      <c r="E52" s="226" t="str">
        <f>IF(A50&lt;&gt;"",NeoPrtAfspr!M41&amp;" "&amp;NeoPrtAfspr!N41,"")</f>
        <v/>
      </c>
      <c r="F52" s="226"/>
      <c r="G52" s="250"/>
      <c r="H52" s="226"/>
      <c r="I52" s="226"/>
      <c r="J52" s="251" t="s">
        <v>118</v>
      </c>
      <c r="K52" s="226"/>
      <c r="L52" s="226"/>
      <c r="M52" s="231" t="str">
        <f>IF(A50&lt;&gt;"",TRUNC(Var_Neo_InfB_OplHoev_9),"")</f>
        <v/>
      </c>
      <c r="N52" s="222" t="str">
        <f>IF(A50&lt;&gt;"",(Var_Neo_InfB_OplHoev_9-M52)*100,"")</f>
        <v/>
      </c>
      <c r="O52" s="218"/>
      <c r="P52" s="219"/>
    </row>
    <row r="53" spans="1:16" x14ac:dyDescent="0.2">
      <c r="C53" s="218"/>
      <c r="D53" s="218"/>
      <c r="E53" s="218"/>
      <c r="F53" s="218"/>
      <c r="G53" s="218"/>
      <c r="H53" s="218"/>
      <c r="I53" s="218"/>
      <c r="J53" s="218"/>
      <c r="K53" s="218"/>
      <c r="L53" s="218"/>
      <c r="M53" s="252"/>
      <c r="N53" s="253"/>
      <c r="O53" s="218"/>
      <c r="P53" s="219"/>
    </row>
    <row r="54" spans="1:16" x14ac:dyDescent="0.2">
      <c r="A54" s="214"/>
      <c r="B54" s="215"/>
      <c r="C54" s="254" t="str">
        <f>IF(NeoPrtAfspr!B45&lt;&gt;0,NeoPrtAfspr!B45,"")</f>
        <v/>
      </c>
      <c r="D54" s="221"/>
      <c r="E54" s="221"/>
      <c r="F54" s="221"/>
      <c r="G54" s="255"/>
      <c r="H54" s="221"/>
      <c r="I54" s="221"/>
      <c r="J54" s="221"/>
      <c r="K54" s="221"/>
      <c r="L54" s="215"/>
      <c r="M54" s="256"/>
      <c r="N54" s="256"/>
      <c r="O54" s="218"/>
      <c r="P54" s="219"/>
    </row>
    <row r="55" spans="1:16" x14ac:dyDescent="0.2">
      <c r="A55" s="214"/>
      <c r="B55" s="215"/>
      <c r="C55" s="254" t="str">
        <f>IF(NeoPrtAfspr!B46&lt;&gt;0,NeoPrtAfspr!B46,"")</f>
        <v/>
      </c>
      <c r="D55" s="221"/>
      <c r="E55" s="221"/>
      <c r="F55" s="221"/>
      <c r="G55" s="255"/>
      <c r="H55" s="221"/>
      <c r="I55" s="221"/>
      <c r="J55" s="221"/>
      <c r="K55" s="221"/>
      <c r="L55" s="215"/>
      <c r="M55" s="256"/>
      <c r="N55" s="256"/>
      <c r="O55" s="218"/>
      <c r="P55" s="219"/>
    </row>
    <row r="56" spans="1:16" x14ac:dyDescent="0.2">
      <c r="A56" s="214"/>
      <c r="B56" s="215"/>
      <c r="C56" s="254"/>
      <c r="D56" s="221"/>
      <c r="E56" s="221"/>
      <c r="F56" s="221"/>
      <c r="G56" s="255"/>
      <c r="H56" s="221"/>
      <c r="I56" s="221"/>
      <c r="J56" s="221"/>
      <c r="K56" s="221"/>
      <c r="L56" s="215"/>
      <c r="M56" s="256"/>
      <c r="N56" s="256"/>
      <c r="O56" s="218"/>
      <c r="P56" s="219"/>
    </row>
    <row r="57" spans="1:16" x14ac:dyDescent="0.2">
      <c r="D57" s="257"/>
    </row>
  </sheetData>
  <mergeCells count="3">
    <mergeCell ref="I2:K2"/>
    <mergeCell ref="M2:N2"/>
    <mergeCell ref="M5:N5"/>
  </mergeCells>
  <pageMargins left="0.7" right="0.7" top="0.75" bottom="0.75" header="0.3" footer="0.3"/>
  <pageSetup paperSize="0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1700">
    <tabColor rgb="FF7030A0"/>
    <pageSetUpPr autoPageBreaks="0"/>
  </sheetPr>
  <dimension ref="A1:O60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40625" defaultRowHeight="15.95" customHeight="1" x14ac:dyDescent="0.2"/>
  <cols>
    <col min="1" max="1" width="3.7109375" style="579" customWidth="1"/>
    <col min="2" max="5" width="12.42578125" style="579" customWidth="1"/>
    <col min="6" max="6" width="10.7109375" style="579" customWidth="1"/>
    <col min="7" max="11" width="12.42578125" style="579" customWidth="1"/>
    <col min="12" max="12" width="5.28515625" style="579" customWidth="1"/>
    <col min="13" max="13" width="7.85546875" style="579" customWidth="1"/>
    <col min="14" max="14" width="17.140625" style="579" customWidth="1"/>
    <col min="15" max="19" width="12.42578125" style="579" customWidth="1"/>
    <col min="20" max="16384" width="9.140625" style="579"/>
  </cols>
  <sheetData>
    <row r="1" spans="1:15" ht="9.75" customHeight="1" x14ac:dyDescent="0.2">
      <c r="A1" s="643"/>
      <c r="B1" s="644" t="str">
        <f>IF(E60&lt;0,"Te weinig volume voor TPN!","")</f>
        <v/>
      </c>
    </row>
    <row r="2" spans="1:15" ht="15.95" customHeight="1" x14ac:dyDescent="0.2">
      <c r="B2" s="582" t="s">
        <v>367</v>
      </c>
      <c r="C2" s="582" t="s">
        <v>576</v>
      </c>
      <c r="D2" s="582" t="s">
        <v>577</v>
      </c>
      <c r="E2" s="582" t="s">
        <v>118</v>
      </c>
      <c r="F2" s="583"/>
      <c r="G2" s="582"/>
      <c r="H2" s="582" t="s">
        <v>576</v>
      </c>
      <c r="I2" s="582" t="s">
        <v>577</v>
      </c>
      <c r="J2" s="582" t="s">
        <v>118</v>
      </c>
      <c r="K2" s="1056" t="s">
        <v>1152</v>
      </c>
      <c r="L2" s="1056"/>
      <c r="M2" s="1056"/>
      <c r="N2" s="1056"/>
    </row>
    <row r="3" spans="1:15" ht="15.95" customHeight="1" x14ac:dyDescent="0.2">
      <c r="B3" s="584" t="s">
        <v>323</v>
      </c>
      <c r="C3" s="585" t="e">
        <f ca="1">ROUND(NeoBer1700!K50/(_Pat_Gewicht/10),0)&amp;" ml/kg"</f>
        <v>#DIV/0!</v>
      </c>
      <c r="D3" s="585" t="e">
        <f>ROUND(NeoBer1700!K49/(_Pat_Gewicht/10),0)&amp;" ml/kg"</f>
        <v>#DIV/0!</v>
      </c>
      <c r="E3" s="585" t="e">
        <f ca="1">ROUND(NeoBer1700!K47/(_Pat_Gewicht/10),0)&amp;" ml/kg  "&amp;"= "&amp;ROUND(NeoBer1700!K47,0)&amp;" ml"</f>
        <v>#DIV/0!</v>
      </c>
      <c r="F3" s="583"/>
      <c r="G3" s="584" t="s">
        <v>177</v>
      </c>
      <c r="H3" s="585" t="e">
        <f ca="1">ROUND(NeoBer1700!L50/(_Pat_Gewicht/10),1)&amp;" mmol/kg"</f>
        <v>#DIV/0!</v>
      </c>
      <c r="I3" s="585" t="e">
        <f>ROUND(NeoBer1700!L49/(_Pat_Gewicht/10),1)&amp;" mmol/kg"</f>
        <v>#DIV/0!</v>
      </c>
      <c r="J3" s="585" t="e">
        <f ca="1">ROUND(NeoBer1700!L47/(_Pat_Gewicht/10),1)&amp;" mmol/kg"</f>
        <v>#DIV/0!</v>
      </c>
      <c r="K3" s="1056"/>
      <c r="L3" s="1056"/>
      <c r="M3" s="1056"/>
      <c r="N3" s="1056"/>
    </row>
    <row r="4" spans="1:15" ht="15.95" customHeight="1" x14ac:dyDescent="0.2">
      <c r="B4" s="584" t="s">
        <v>232</v>
      </c>
      <c r="C4" s="585" t="e">
        <f ca="1">ROUND(NeoBer1700!Q50/(_Pat_Gewicht/10),1)&amp;" g/kg"</f>
        <v>#DIV/0!</v>
      </c>
      <c r="D4" s="585" t="e">
        <f>ROUND(NeoBer1700!Q49/(_Pat_Gewicht/10),1)&amp;" g/kg"</f>
        <v>#DIV/0!</v>
      </c>
      <c r="E4" s="585" t="e">
        <f ca="1">ROUND(NeoBer1700!Q47/(_Pat_Gewicht/10),1)&amp;" g/kg"</f>
        <v>#DIV/0!</v>
      </c>
      <c r="F4" s="583"/>
      <c r="G4" s="584" t="s">
        <v>291</v>
      </c>
      <c r="H4" s="585" t="e">
        <f ca="1">ROUND(NeoBer1700!M50/(_Pat_Gewicht/10),1)&amp;" mmol/kg"</f>
        <v>#DIV/0!</v>
      </c>
      <c r="I4" s="585" t="e">
        <f>ROUND(NeoBer1700!M49/(_Pat_Gewicht/10),1)&amp;" mmol/kg"</f>
        <v>#DIV/0!</v>
      </c>
      <c r="J4" s="585" t="e">
        <f ca="1">ROUND(NeoBer1700!M47/(_Pat_Gewicht/10),1)&amp;" mmol/kg"</f>
        <v>#DIV/0!</v>
      </c>
      <c r="K4" s="1056"/>
      <c r="L4" s="1056"/>
      <c r="M4" s="1056"/>
      <c r="N4" s="1056"/>
    </row>
    <row r="5" spans="1:15" ht="15.95" customHeight="1" x14ac:dyDescent="0.2">
      <c r="B5" s="584" t="s">
        <v>233</v>
      </c>
      <c r="C5" s="585" t="e">
        <f ca="1">ROUND(NeoBer1700!S50/(_Pat_Gewicht/10),1)&amp;" g/kg"</f>
        <v>#DIV/0!</v>
      </c>
      <c r="D5" s="585" t="e">
        <f>ROUND(NeoBer1700!S49/(_Pat_Gewicht/10),1)&amp;" g/kg"</f>
        <v>#DIV/0!</v>
      </c>
      <c r="E5" s="585" t="e">
        <f ca="1">ROUND(NeoBer1700!S47/(_Pat_Gewicht/10),1)&amp;" g/kg"</f>
        <v>#DIV/0!</v>
      </c>
      <c r="F5" s="583"/>
      <c r="G5" s="584" t="s">
        <v>234</v>
      </c>
      <c r="H5" s="585" t="e">
        <f ca="1">ROUND(NeoBer1700!N50/(_Pat_Gewicht/10),1)&amp;" mmol/kg"</f>
        <v>#DIV/0!</v>
      </c>
      <c r="I5" s="585" t="e">
        <f>ROUND(NeoBer1700!N49/(_Pat_Gewicht/10),1)&amp;" mmol/kg"</f>
        <v>#DIV/0!</v>
      </c>
      <c r="J5" s="585" t="e">
        <f ca="1">ROUND(NeoBer1700!N47/(_Pat_Gewicht/10),1)&amp;" mmol/kg"</f>
        <v>#DIV/0!</v>
      </c>
      <c r="K5" s="1056"/>
      <c r="L5" s="1056"/>
      <c r="M5" s="1056"/>
      <c r="N5" s="1056"/>
    </row>
    <row r="6" spans="1:15" ht="15.95" customHeight="1" x14ac:dyDescent="0.2">
      <c r="A6" s="643"/>
      <c r="B6" s="584" t="s">
        <v>578</v>
      </c>
      <c r="C6" s="585" t="e">
        <f>ROUND(1000*NeoBer1700!R50/(_Pat_Gewicht/10)/1440,1)&amp;" mg/kg/min"</f>
        <v>#DIV/0!</v>
      </c>
      <c r="D6" s="585" t="e">
        <f>ROUND(1000*NeoBer1700!R49/(_Pat_Gewicht/10)/1440,1)&amp;" mg/kg/min"</f>
        <v>#DIV/0!</v>
      </c>
      <c r="E6" s="585" t="e">
        <f>ROUND(1000*NeoBer1700!R47/(_Pat_Gewicht/10)/1440,1)&amp;" mg/kg/min"</f>
        <v>#DIV/0!</v>
      </c>
      <c r="F6" s="583"/>
      <c r="G6" s="584" t="s">
        <v>328</v>
      </c>
      <c r="H6" s="585" t="e">
        <f ca="1">ROUND(NeoBer1700!O50/(_Pat_Gewicht/10),1)&amp;" mmol/kg"</f>
        <v>#DIV/0!</v>
      </c>
      <c r="I6" s="585" t="e">
        <f>ROUND(NeoBer1700!O49/(_Pat_Gewicht/10),1)&amp;" mmol/kg"</f>
        <v>#DIV/0!</v>
      </c>
      <c r="J6" s="585" t="e">
        <f ca="1">ROUND(NeoBer1700!O47/(_Pat_Gewicht/10),1)&amp;" mmol/kg"</f>
        <v>#DIV/0!</v>
      </c>
    </row>
    <row r="7" spans="1:15" ht="15.95" customHeight="1" x14ac:dyDescent="0.2">
      <c r="B7" s="584" t="s">
        <v>571</v>
      </c>
      <c r="C7" s="585" t="e">
        <f ca="1">ROUND(NeoBer1700!T50/(_Pat_Gewicht/10),1)&amp; " kcal/kg"</f>
        <v>#DIV/0!</v>
      </c>
      <c r="D7" s="585" t="e">
        <f>ROUND(NeoBer1700!T49/(_Pat_Gewicht/10),1)&amp; " kcal/kg"</f>
        <v>#DIV/0!</v>
      </c>
      <c r="E7" s="585" t="e">
        <f ca="1">ROUND(NeoBer1700!T47/(_Pat_Gewicht/10),1)&amp; " kcal/kg"</f>
        <v>#DIV/0!</v>
      </c>
      <c r="F7" s="583"/>
      <c r="G7" s="584" t="s">
        <v>579</v>
      </c>
      <c r="H7" s="585" t="e">
        <f ca="1">ROUND(NeoBer1700!U50/(_Pat_Gewicht/10),1)&amp;" mmol/kg"</f>
        <v>#DIV/0!</v>
      </c>
      <c r="I7" s="585" t="e">
        <f>ROUND(NeoBer1700!U49/(_Pat_Gewicht/10),1)&amp;" mmol/kg"</f>
        <v>#DIV/0!</v>
      </c>
      <c r="J7" s="585" t="e">
        <f ca="1">ROUND(NeoBer1700!U47/(_Pat_Gewicht/10),1)&amp;" mmol/kg"</f>
        <v>#DIV/0!</v>
      </c>
    </row>
    <row r="8" spans="1:15" ht="15.95" customHeight="1" thickBot="1" x14ac:dyDescent="0.25">
      <c r="A8" s="581"/>
      <c r="B8" s="586" t="s">
        <v>580</v>
      </c>
      <c r="C8" s="587" t="str">
        <f ca="1">ROUND(NeoBer1700!V50,0)&amp; " IE/ml"</f>
        <v>0 IE/ml</v>
      </c>
      <c r="D8" s="587" t="str">
        <f>ROUND(NeoBer1700!V49,0)&amp; " IE/ml"</f>
        <v>0 IE/ml</v>
      </c>
      <c r="E8" s="587" t="str">
        <f ca="1">ROUND(NeoBer1700!V47,0)&amp; " IE/ml"</f>
        <v>0 IE/ml</v>
      </c>
      <c r="F8" s="588"/>
      <c r="G8" s="586" t="s">
        <v>235</v>
      </c>
      <c r="H8" s="587" t="e">
        <f>ROUND(NeoBer1700!P50/(_Pat_Gewicht/10),1)&amp;" mmol/kg"</f>
        <v>#DIV/0!</v>
      </c>
      <c r="I8" s="587" t="e">
        <f>ROUND(NeoBer1700!P49/(_Pat_Gewicht/10),1)&amp;" mmol/kg"</f>
        <v>#DIV/0!</v>
      </c>
      <c r="J8" s="587" t="e">
        <f>ROUND(NeoBer1700!P47/(_Pat_Gewicht/10),1)&amp;" mmol/kg"</f>
        <v>#DIV/0!</v>
      </c>
      <c r="K8" s="581"/>
      <c r="L8" s="581"/>
      <c r="M8" s="581"/>
      <c r="N8" s="581"/>
      <c r="O8" s="581"/>
    </row>
    <row r="9" spans="1:15" ht="8.25" customHeight="1" thickTop="1" x14ac:dyDescent="0.2">
      <c r="A9" s="645"/>
      <c r="B9" s="646"/>
      <c r="C9" s="647"/>
      <c r="D9" s="647"/>
      <c r="E9" s="647"/>
      <c r="F9" s="648"/>
      <c r="G9" s="646"/>
      <c r="H9" s="647"/>
      <c r="I9" s="647"/>
      <c r="J9" s="647"/>
      <c r="K9" s="648"/>
      <c r="L9" s="648"/>
      <c r="M9" s="648"/>
      <c r="N9" s="648"/>
    </row>
    <row r="10" spans="1:15" ht="15.95" customHeight="1" x14ac:dyDescent="0.2">
      <c r="B10" s="564" t="s">
        <v>581</v>
      </c>
      <c r="C10" s="565"/>
      <c r="D10" s="565"/>
      <c r="E10" s="565"/>
      <c r="F10" s="565"/>
      <c r="G10" s="566" t="s">
        <v>357</v>
      </c>
      <c r="H10" s="565"/>
      <c r="I10" s="565">
        <f>__0_PatNum</f>
        <v>0</v>
      </c>
      <c r="J10" s="565"/>
      <c r="K10" s="565"/>
      <c r="L10" s="565"/>
      <c r="M10" s="565"/>
    </row>
    <row r="11" spans="1:15" ht="15.95" customHeight="1" x14ac:dyDescent="0.2">
      <c r="B11" s="564" t="s">
        <v>582</v>
      </c>
      <c r="C11" s="565"/>
      <c r="D11" s="565"/>
      <c r="E11" s="565"/>
      <c r="F11" s="565"/>
      <c r="G11" s="566" t="s">
        <v>28</v>
      </c>
      <c r="H11" s="565"/>
      <c r="I11" s="567" t="str">
        <f>__2_AchterNaam &amp;",  "&amp;__3_VoorNaam</f>
        <v xml:space="preserve">,  </v>
      </c>
      <c r="J11" s="568"/>
      <c r="K11" s="565"/>
      <c r="L11" s="565"/>
      <c r="M11" s="565"/>
    </row>
    <row r="12" spans="1:15" ht="15.95" customHeight="1" x14ac:dyDescent="0.2">
      <c r="B12" s="564" t="s">
        <v>583</v>
      </c>
      <c r="C12" s="565"/>
      <c r="D12" s="565"/>
      <c r="E12" s="565"/>
      <c r="F12" s="565"/>
      <c r="G12" s="566" t="s">
        <v>584</v>
      </c>
      <c r="H12" s="565"/>
      <c r="I12" s="569">
        <f>NeoBer1700!B3-NeoBer1700!C3</f>
        <v>1462</v>
      </c>
      <c r="J12" s="570" t="str">
        <f ca="1">"=dag "&amp;NeoBer1700!B6</f>
        <v>=dag 41287</v>
      </c>
      <c r="K12" s="565"/>
      <c r="L12" s="565"/>
      <c r="M12" s="565"/>
    </row>
    <row r="13" spans="1:15" ht="15.95" customHeight="1" x14ac:dyDescent="0.2">
      <c r="B13" s="565"/>
      <c r="C13" s="565"/>
      <c r="D13" s="565"/>
      <c r="E13" s="565"/>
      <c r="F13" s="565"/>
      <c r="G13" s="566" t="s">
        <v>541</v>
      </c>
      <c r="H13" s="571">
        <f>NeoBerInfB!D4</f>
        <v>0</v>
      </c>
      <c r="I13" s="572" t="s">
        <v>585</v>
      </c>
      <c r="J13" s="571">
        <f>NeoBerInfB!D5</f>
        <v>0</v>
      </c>
      <c r="K13" s="572" t="s">
        <v>586</v>
      </c>
      <c r="L13" s="572"/>
      <c r="M13" s="565"/>
    </row>
    <row r="14" spans="1:15" ht="15.95" customHeight="1" x14ac:dyDescent="0.2">
      <c r="B14" s="566" t="s">
        <v>316</v>
      </c>
      <c r="C14" s="569">
        <f>NeoBer1700!B5</f>
        <v>1462</v>
      </c>
      <c r="D14" s="565"/>
      <c r="E14" s="565"/>
      <c r="F14" s="565"/>
      <c r="G14" s="565"/>
      <c r="H14" s="565"/>
      <c r="I14" s="565"/>
      <c r="J14" s="565"/>
      <c r="K14" s="565"/>
      <c r="L14" s="565"/>
      <c r="M14" s="565"/>
    </row>
    <row r="15" spans="1:15" ht="15.95" customHeight="1" x14ac:dyDescent="0.2">
      <c r="B15" s="573" t="s">
        <v>536</v>
      </c>
      <c r="C15" s="574">
        <f>__1_Bed</f>
        <v>0</v>
      </c>
      <c r="D15" s="575"/>
      <c r="E15" s="565"/>
      <c r="F15" s="565"/>
      <c r="G15" s="566" t="s">
        <v>287</v>
      </c>
      <c r="H15" s="576" t="str">
        <f ca="1">TRUNC((H13*7+J13+NeoBer1700!B6-1)/7)&amp;" weken en "&amp; H13*7+J13+NeoBer1700!B6-1-TRUNC((H13*7+J13+NeoBer1700!B6-1)/7)*7&amp;" dag(-en)"</f>
        <v>5898 weken en 0 dag(-en)</v>
      </c>
      <c r="I15" s="565"/>
      <c r="J15" s="565"/>
      <c r="K15" s="565"/>
      <c r="L15" s="565"/>
      <c r="M15" s="565"/>
    </row>
    <row r="16" spans="1:15" ht="15.95" customHeight="1" x14ac:dyDescent="0.2">
      <c r="B16" s="577"/>
      <c r="C16" s="578"/>
      <c r="D16" s="578"/>
      <c r="E16" s="578"/>
      <c r="F16" s="578"/>
      <c r="G16" s="577" t="s">
        <v>555</v>
      </c>
      <c r="H16" s="578" t="str">
        <f>NeoBerInfB!B4&amp;" kg"</f>
        <v>0 kg</v>
      </c>
      <c r="I16" s="578"/>
      <c r="J16" s="578"/>
      <c r="K16" s="578"/>
      <c r="L16" s="578"/>
      <c r="M16" s="578"/>
    </row>
    <row r="17" spans="1:15" ht="15.95" customHeight="1" x14ac:dyDescent="0.2">
      <c r="B17" s="580"/>
      <c r="K17" s="654" t="s">
        <v>587</v>
      </c>
      <c r="L17" s="654"/>
    </row>
    <row r="18" spans="1:15" ht="15.95" customHeight="1" x14ac:dyDescent="0.2">
      <c r="B18" s="580" t="s">
        <v>588</v>
      </c>
      <c r="E18" s="655" t="e">
        <f ca="1">IF(NeoBer1700!B17,NeoBer1700!C16,ROUND(NeoBer1700!K47/(_Pat_Gewicht/10),1))</f>
        <v>#DIV/0!</v>
      </c>
      <c r="F18" s="656" t="s">
        <v>589</v>
      </c>
      <c r="K18" s="657" t="str">
        <f ca="1">ROUND(NeoBer1700!B16,0)&amp;" ml/ kg/ 24 uur"</f>
        <v>160 ml/ kg/ 24 uur</v>
      </c>
      <c r="L18" s="657"/>
      <c r="M18" s="658"/>
    </row>
    <row r="19" spans="1:15" ht="15.95" customHeight="1" x14ac:dyDescent="0.2">
      <c r="B19" s="580" t="s">
        <v>590</v>
      </c>
      <c r="F19" s="656"/>
      <c r="K19" s="659"/>
      <c r="L19" s="659"/>
      <c r="M19" s="648"/>
    </row>
    <row r="21" spans="1:15" ht="15.95" customHeight="1" x14ac:dyDescent="0.2">
      <c r="D21" s="660" t="s">
        <v>591</v>
      </c>
      <c r="E21" s="650" t="str">
        <f>IF(_Neo_1700_Voeding&gt;1,NeoBer1700!D10,"")</f>
        <v/>
      </c>
      <c r="F21" s="650" t="s">
        <v>592</v>
      </c>
      <c r="G21" s="651" t="str">
        <f>IF(_Neo_1700_Voeding&gt;1,NeoBer1700!D11/10&amp;" ml","")</f>
        <v/>
      </c>
      <c r="H21" s="661" t="s">
        <v>593</v>
      </c>
    </row>
    <row r="22" spans="1:15" ht="15.95" customHeight="1" x14ac:dyDescent="0.2">
      <c r="D22" s="660" t="s">
        <v>594</v>
      </c>
      <c r="E22" s="650" t="str">
        <f>IF(_Neo_1700_Voeding&gt;1,NeoBer1700!D12,"")</f>
        <v/>
      </c>
      <c r="F22" s="650" t="s">
        <v>592</v>
      </c>
      <c r="G22" s="651" t="str">
        <f>IF(_Neo_1700_Voeding&gt;1,NeoBer1700!D13/10&amp;" ml","")</f>
        <v/>
      </c>
      <c r="I22" s="660" t="s">
        <v>948</v>
      </c>
      <c r="M22" s="660" t="s">
        <v>949</v>
      </c>
    </row>
    <row r="23" spans="1:15" ht="15.95" customHeight="1" x14ac:dyDescent="0.2">
      <c r="H23" s="660"/>
      <c r="I23" s="662" t="s">
        <v>966</v>
      </c>
      <c r="K23" s="658" t="e">
        <f>INDEX(tbl_Neo_NutrBMFWaard,NeoBer1700!K52)&amp;" %"</f>
        <v>#VALUE!</v>
      </c>
    </row>
    <row r="24" spans="1:15" ht="15.95" customHeight="1" x14ac:dyDescent="0.2">
      <c r="H24" s="660"/>
      <c r="K24" s="658" t="e">
        <f>INDEX(tbl_Neo_NutrToevWaard,NeoBer1700!K53)&amp;" %"</f>
        <v>#VALUE!</v>
      </c>
      <c r="O24" s="658" t="e">
        <f>INDEX(tbl_Neo_NutrToevWaard,NeoBer1700!K58)&amp;" %"</f>
        <v>#VALUE!</v>
      </c>
    </row>
    <row r="25" spans="1:15" ht="15.95" customHeight="1" x14ac:dyDescent="0.2">
      <c r="H25" s="660"/>
      <c r="K25" s="658" t="e">
        <f>INDEX(tbl_Neo_NutrToevWaard,NeoBer1700!K54)&amp;" %"</f>
        <v>#VALUE!</v>
      </c>
      <c r="O25" s="658" t="e">
        <f>INDEX(tbl_Neo_NutrToevWaard,NeoBer1700!K59)&amp;" %"</f>
        <v>#VALUE!</v>
      </c>
    </row>
    <row r="26" spans="1:15" ht="15.95" customHeight="1" x14ac:dyDescent="0.2">
      <c r="H26" s="660"/>
      <c r="K26" s="658" t="e">
        <f>INDEX(tbl_Neo_NutrToevWaard,NeoBer1700!K55)&amp;" %"</f>
        <v>#VALUE!</v>
      </c>
      <c r="O26" s="658" t="e">
        <f>INDEX(tbl_Neo_NutrToevWaard,NeoBer1700!K60)&amp;" %"</f>
        <v>#VALUE!</v>
      </c>
    </row>
    <row r="27" spans="1:15" ht="15.95" customHeight="1" x14ac:dyDescent="0.2">
      <c r="B27" s="663"/>
      <c r="C27" s="663"/>
      <c r="D27" s="663"/>
      <c r="E27" s="664"/>
      <c r="F27" s="663"/>
      <c r="G27" s="663"/>
      <c r="H27" s="664"/>
      <c r="I27" s="663"/>
      <c r="J27" s="663"/>
      <c r="K27" s="658" t="e">
        <f>INDEX(tbl_Neo_NutrToevWaard,NeoBer1700!K56)&amp;" %"</f>
        <v>#VALUE!</v>
      </c>
      <c r="L27" s="663"/>
      <c r="M27" s="663"/>
      <c r="N27" s="663"/>
      <c r="O27" s="658" t="e">
        <f>INDEX(tbl_Neo_NutrToevWaard,NeoBer1700!K61)&amp;" %"</f>
        <v>#VALUE!</v>
      </c>
    </row>
    <row r="28" spans="1:15" ht="15.95" customHeight="1" x14ac:dyDescent="0.2">
      <c r="B28" s="580" t="s">
        <v>595</v>
      </c>
      <c r="E28" s="655">
        <f ca="1">IF(NeoBer1700!B17,NeoBer1700!C17,NeoBer1700!K50)</f>
        <v>0</v>
      </c>
      <c r="F28" s="656" t="s">
        <v>596</v>
      </c>
    </row>
    <row r="29" spans="1:15" ht="15.95" customHeight="1" x14ac:dyDescent="0.2">
      <c r="H29" s="654" t="s">
        <v>597</v>
      </c>
      <c r="I29" s="654"/>
      <c r="J29" s="665" t="s">
        <v>545</v>
      </c>
      <c r="K29" s="654" t="s">
        <v>598</v>
      </c>
      <c r="L29" s="654"/>
      <c r="N29" s="654" t="s">
        <v>599</v>
      </c>
    </row>
    <row r="30" spans="1:15" ht="15.95" customHeight="1" x14ac:dyDescent="0.2">
      <c r="A30" s="666"/>
      <c r="B30" s="646" t="s">
        <v>764</v>
      </c>
      <c r="C30" s="648"/>
      <c r="D30" s="648"/>
      <c r="E30" s="648"/>
      <c r="F30" s="648"/>
      <c r="G30" s="667" t="str">
        <f>NeoBer1700!B18/10&amp;" ml/uur"</f>
        <v>0 ml/uur</v>
      </c>
      <c r="H30" s="648"/>
      <c r="I30" s="648"/>
      <c r="J30" s="648"/>
      <c r="K30" s="648"/>
      <c r="L30" s="648"/>
      <c r="M30" s="668"/>
      <c r="N30" s="648"/>
    </row>
    <row r="31" spans="1:15" ht="7.5" customHeight="1" x14ac:dyDescent="0.2">
      <c r="A31" s="666"/>
      <c r="B31" s="646"/>
      <c r="C31" s="648"/>
      <c r="D31" s="648"/>
      <c r="E31" s="648"/>
      <c r="F31" s="648"/>
      <c r="G31" s="667"/>
      <c r="H31" s="648"/>
      <c r="I31" s="648"/>
      <c r="J31" s="648"/>
      <c r="K31" s="648"/>
      <c r="L31" s="648"/>
      <c r="M31" s="668"/>
      <c r="N31" s="648"/>
    </row>
    <row r="32" spans="1:15" ht="15.95" customHeight="1" x14ac:dyDescent="0.2">
      <c r="A32" s="666">
        <v>1</v>
      </c>
      <c r="B32" s="669"/>
      <c r="C32" s="670" t="str">
        <f>IF(NeoBer1700!C20&gt;0,IF(NeoBer1700!B20&lt;&gt;5,NeoBer1700!C20/10&amp;" mg",NeoBer1700!C20/10&amp;" ml"),"")</f>
        <v/>
      </c>
      <c r="D32" s="670" t="str">
        <f>IF(NeoBer1700!D20&gt;0,"in "&amp;NeoBer1700!D20&amp;" ml","")</f>
        <v/>
      </c>
      <c r="E32" s="669"/>
      <c r="F32" s="669"/>
      <c r="G32" s="671" t="str">
        <f>IF(NeoBer1700!F20/10&gt;0,NeoBer1700!F20/10&amp;" ml/uur","")</f>
        <v/>
      </c>
      <c r="H32" s="670" t="str">
        <f>IF(AND(NeoBer1700!H20&gt;0),ROUND(NeoBer1700!H20,2),"")</f>
        <v/>
      </c>
      <c r="I32" s="670" t="str">
        <f>IF(_Neo_1700_Medicament_1&gt;1,INDEX(tbl_Neo_MedIV,NeoBer1700!B20,6),"")</f>
        <v/>
      </c>
      <c r="J32" s="658"/>
      <c r="K32" s="657">
        <f>INDEX(tbl_Neo_MedIV,NeoBer1700!B20,2)</f>
        <v>0</v>
      </c>
      <c r="L32" s="657"/>
      <c r="M32" s="672"/>
      <c r="N32" s="673" t="str">
        <f>IF(NeoBer1700!H20&gt;0,IF(NeoBer1700!X20*10&gt;1,NeoBer1700!W20&amp;" uren",NeoBer1700!W20&amp;" minuten"),"")</f>
        <v/>
      </c>
    </row>
    <row r="33" spans="1:14" ht="15.95" customHeight="1" x14ac:dyDescent="0.2">
      <c r="A33" s="666">
        <v>2</v>
      </c>
      <c r="B33" s="674"/>
      <c r="C33" s="675" t="str">
        <f>IF(NeoBer1700!C21&gt;0,NeoBer1700!C21/10&amp;" mg","")</f>
        <v/>
      </c>
      <c r="D33" s="675" t="str">
        <f>IF(NeoBer1700!D21&gt;0,"in "&amp;NeoBer1700!D21&amp;" ml","")</f>
        <v/>
      </c>
      <c r="E33" s="674"/>
      <c r="F33" s="674"/>
      <c r="G33" s="676" t="str">
        <f>IF(NeoBer1700!F21/10&gt;0,NeoBer1700!F21/10&amp;" ml/uur","")</f>
        <v/>
      </c>
      <c r="H33" s="670" t="str">
        <f>IF(AND(NeoBer1700!H21&gt;0),ROUND(NeoBer1700!H21,2),"")</f>
        <v/>
      </c>
      <c r="I33" s="670" t="str">
        <f>IF(_Neo_1700_Medicament_2&gt;1,INDEX(tbl_Neo_MedIV,NeoBer1700!B21,6),"")</f>
        <v/>
      </c>
      <c r="J33" s="677"/>
      <c r="K33" s="678">
        <f>INDEX(tbl_Neo_MedIV,NeoBer1700!B21,2)</f>
        <v>0</v>
      </c>
      <c r="L33" s="678"/>
      <c r="M33" s="679"/>
      <c r="N33" s="680" t="str">
        <f>IF(NeoBer1700!H21&gt;0,IF(NeoBer1700!X21*10&gt;1,NeoBer1700!W21&amp;" uren",NeoBer1700!W21&amp;" minuten"),"")</f>
        <v/>
      </c>
    </row>
    <row r="34" spans="1:14" ht="15.95" customHeight="1" x14ac:dyDescent="0.2">
      <c r="A34" s="666">
        <v>3</v>
      </c>
      <c r="B34" s="674"/>
      <c r="C34" s="675" t="str">
        <f>IF(NeoBer1700!C22&gt;0,NeoBer1700!C22/10&amp;" mg","")</f>
        <v/>
      </c>
      <c r="D34" s="675" t="str">
        <f>IF(NeoBer1700!D22&gt;0,"in "&amp;NeoBer1700!D22&amp;" ml","")</f>
        <v/>
      </c>
      <c r="E34" s="674"/>
      <c r="F34" s="674"/>
      <c r="G34" s="676" t="str">
        <f>IF(NeoBer1700!F22/10&gt;0,NeoBer1700!F22/10&amp;" ml/uur","")</f>
        <v/>
      </c>
      <c r="H34" s="670" t="str">
        <f>IF(AND(NeoBer1700!H22&gt;0),ROUND(NeoBer1700!H22,2),"")</f>
        <v/>
      </c>
      <c r="I34" s="670" t="str">
        <f>IF(_Neo_1700_Medicament_3&gt;1,INDEX(tbl_Neo_MedIV,NeoBer1700!B22,6),"")</f>
        <v/>
      </c>
      <c r="J34" s="677"/>
      <c r="K34" s="678">
        <f>INDEX(tbl_Neo_MedIV,NeoBer1700!B22,2)</f>
        <v>0</v>
      </c>
      <c r="L34" s="678"/>
      <c r="M34" s="679"/>
      <c r="N34" s="680" t="str">
        <f>IF(NeoBer1700!H22&gt;0,IF(NeoBer1700!X22*10&gt;1,NeoBer1700!W22&amp;" uren",NeoBer1700!W22&amp;" minuten"),"")</f>
        <v/>
      </c>
    </row>
    <row r="35" spans="1:14" ht="15.95" customHeight="1" x14ac:dyDescent="0.2">
      <c r="A35" s="666">
        <v>4</v>
      </c>
      <c r="B35" s="674"/>
      <c r="C35" s="675" t="str">
        <f>IF(NeoBer1700!C23&gt;0,NeoBer1700!C23/10&amp;" mg","")</f>
        <v/>
      </c>
      <c r="D35" s="675" t="str">
        <f>IF(NeoBer1700!D23&gt;0,"in "&amp;NeoBer1700!D23&amp;" ml","")</f>
        <v/>
      </c>
      <c r="E35" s="674"/>
      <c r="F35" s="674"/>
      <c r="G35" s="676" t="str">
        <f>IF(NeoBer1700!F23/10&gt;0,NeoBer1700!F23/10&amp;" ml/uur","")</f>
        <v/>
      </c>
      <c r="H35" s="670" t="str">
        <f>IF(AND(NeoBer1700!H23&gt;0),ROUND(NeoBer1700!H23,2),"")</f>
        <v/>
      </c>
      <c r="I35" s="670" t="str">
        <f>IF(_Neo_1700_Medicament_4&gt;1,INDEX(tbl_Neo_MedIV,NeoBer1700!B23,6),"")</f>
        <v/>
      </c>
      <c r="J35" s="677"/>
      <c r="K35" s="678">
        <f>INDEX(tbl_Neo_MedIV,NeoBer1700!B23,2)</f>
        <v>0</v>
      </c>
      <c r="L35" s="678"/>
      <c r="M35" s="679"/>
      <c r="N35" s="680" t="str">
        <f>IF(NeoBer1700!H23&gt;0,IF(NeoBer1700!X23*10&gt;1,NeoBer1700!W23&amp;" uren",NeoBer1700!W23&amp;" minuten"),"")</f>
        <v/>
      </c>
    </row>
    <row r="36" spans="1:14" ht="15.95" customHeight="1" x14ac:dyDescent="0.2">
      <c r="A36" s="666">
        <v>5</v>
      </c>
      <c r="B36" s="674"/>
      <c r="C36" s="675" t="str">
        <f>IF(NeoBer1700!C24&gt;0,NeoBer1700!C24/10&amp;" mg","")</f>
        <v/>
      </c>
      <c r="D36" s="675" t="str">
        <f>IF(NeoBer1700!D24&gt;0,"in "&amp;NeoBer1700!D24&amp;" ml","")</f>
        <v/>
      </c>
      <c r="E36" s="674"/>
      <c r="F36" s="674"/>
      <c r="G36" s="676" t="str">
        <f>IF(NeoBer1700!F24/10&gt;0,NeoBer1700!F24/10&amp;" ml/uur","")</f>
        <v/>
      </c>
      <c r="H36" s="670" t="str">
        <f>IF(AND(NeoBer1700!H24&gt;0),ROUND(NeoBer1700!H24,2),"")</f>
        <v/>
      </c>
      <c r="I36" s="670" t="str">
        <f>IF(_Neo_1700_Medicament_5&gt;1,INDEX(tbl_Neo_MedIV,NeoBer1700!B24,6),"")</f>
        <v/>
      </c>
      <c r="J36" s="677"/>
      <c r="K36" s="678">
        <f>INDEX(tbl_Neo_MedIV,NeoBer1700!B24,2)</f>
        <v>0</v>
      </c>
      <c r="L36" s="678"/>
      <c r="M36" s="679"/>
      <c r="N36" s="680" t="str">
        <f>IF(NeoBer1700!H24&gt;0,IF(NeoBer1700!X24*10&gt;1,NeoBer1700!W24&amp;" uren",NeoBer1700!W24&amp;" minuten"),"")</f>
        <v/>
      </c>
    </row>
    <row r="37" spans="1:14" ht="15.95" customHeight="1" x14ac:dyDescent="0.2">
      <c r="A37" s="666">
        <v>6</v>
      </c>
      <c r="B37" s="674"/>
      <c r="C37" s="675" t="str">
        <f>IF(NeoBer1700!C25&gt;0,NeoBer1700!C25/10&amp;" mg","")</f>
        <v/>
      </c>
      <c r="D37" s="675" t="str">
        <f>IF(NeoBer1700!D25&gt;0,"in "&amp;NeoBer1700!D25&amp;" ml","")</f>
        <v/>
      </c>
      <c r="E37" s="674"/>
      <c r="F37" s="674"/>
      <c r="G37" s="676" t="str">
        <f>IF(NeoBer1700!F25/10&gt;0,NeoBer1700!F25/10&amp;" ml/uur","")</f>
        <v/>
      </c>
      <c r="H37" s="670" t="str">
        <f>IF(AND(NeoBer1700!H25&gt;0),ROUND(NeoBer1700!H25,2),"")</f>
        <v/>
      </c>
      <c r="I37" s="670" t="str">
        <f>IF(_Neo_1700_Medicament_6&gt;1,INDEX(tbl_Neo_MedIV,NeoBer1700!B25,6),"")</f>
        <v/>
      </c>
      <c r="J37" s="677"/>
      <c r="K37" s="678">
        <f>INDEX(tbl_Neo_MedIV,NeoBer1700!B25,2)</f>
        <v>0</v>
      </c>
      <c r="L37" s="678"/>
      <c r="M37" s="679"/>
      <c r="N37" s="680" t="str">
        <f>IF(NeoBer1700!H25&gt;0,IF(NeoBer1700!X25*10&gt;1,NeoBer1700!W25&amp;" uren",NeoBer1700!W25&amp;" minuten"),"")</f>
        <v/>
      </c>
    </row>
    <row r="38" spans="1:14" ht="15.95" customHeight="1" x14ac:dyDescent="0.2">
      <c r="A38" s="666">
        <v>7</v>
      </c>
      <c r="B38" s="674"/>
      <c r="C38" s="675" t="str">
        <f>IF(NeoBer1700!C26&gt;0,NeoBer1700!C26/10&amp;" mg","")</f>
        <v/>
      </c>
      <c r="D38" s="675" t="str">
        <f>IF(NeoBer1700!D26&gt;0,"in "&amp;NeoBer1700!D26&amp;" ml","")</f>
        <v/>
      </c>
      <c r="E38" s="674"/>
      <c r="F38" s="674"/>
      <c r="G38" s="676" t="str">
        <f>IF(NeoBer1700!F26/10&gt;0,NeoBer1700!F26/10&amp;" ml/uur","")</f>
        <v/>
      </c>
      <c r="H38" s="670" t="str">
        <f>IF(AND(NeoBer1700!H26&gt;0),ROUND(NeoBer1700!H26,2),"")</f>
        <v/>
      </c>
      <c r="I38" s="670" t="str">
        <f>IF(_Neo_1700_Medicament_7&gt;1,INDEX(tbl_Neo_MedIV,NeoBer1700!B26,6),"")</f>
        <v/>
      </c>
      <c r="J38" s="677"/>
      <c r="K38" s="678">
        <f>INDEX(tbl_Neo_MedIV,NeoBer1700!B26,2)</f>
        <v>0</v>
      </c>
      <c r="L38" s="678"/>
      <c r="M38" s="679"/>
      <c r="N38" s="680" t="str">
        <f>IF(NeoBer1700!H26&gt;0,IF(NeoBer1700!X26*10&gt;1,NeoBer1700!W26&amp;" uren",NeoBer1700!W26&amp;" minuten"),"")</f>
        <v/>
      </c>
    </row>
    <row r="39" spans="1:14" ht="15.95" customHeight="1" x14ac:dyDescent="0.2">
      <c r="A39" s="666">
        <v>8</v>
      </c>
      <c r="B39" s="674"/>
      <c r="C39" s="675" t="str">
        <f>IF(NeoBer1700!C27&gt;0,NeoBer1700!C27/10&amp;" mg","")</f>
        <v/>
      </c>
      <c r="D39" s="675" t="str">
        <f>IF(NeoBer1700!D27&gt;0,"in "&amp;NeoBer1700!D27&amp;" ml","")</f>
        <v/>
      </c>
      <c r="E39" s="674"/>
      <c r="F39" s="674"/>
      <c r="G39" s="676" t="str">
        <f>IF(NeoBer1700!F27/10&gt;0,NeoBer1700!F27/10&amp;" ml/uur","")</f>
        <v/>
      </c>
      <c r="H39" s="670" t="str">
        <f>IF(AND(NeoBer1700!H27&gt;0),ROUND(NeoBer1700!H27,2),"")</f>
        <v/>
      </c>
      <c r="I39" s="670" t="str">
        <f>IF(_Neo_1700_Medicament_8&gt;1,INDEX(tbl_Neo_MedIV,NeoBer1700!B27,6),"")</f>
        <v/>
      </c>
      <c r="J39" s="677"/>
      <c r="K39" s="678">
        <f>INDEX(tbl_Neo_MedIV,NeoBer1700!B27,2)</f>
        <v>0</v>
      </c>
      <c r="L39" s="678"/>
      <c r="M39" s="679"/>
      <c r="N39" s="680" t="str">
        <f>IF(NeoBer1700!H27&gt;0,IF(NeoBer1700!X27*10&gt;1,NeoBer1700!W27&amp;" uren",NeoBer1700!W27&amp;" minuten"),"")</f>
        <v/>
      </c>
    </row>
    <row r="40" spans="1:14" ht="15.95" customHeight="1" x14ac:dyDescent="0.2">
      <c r="A40" s="666">
        <v>9</v>
      </c>
      <c r="B40" s="674"/>
      <c r="C40" s="675" t="str">
        <f>IF(NeoBer1700!C28&gt;0,NeoBer1700!C28/10&amp;" mg","")</f>
        <v/>
      </c>
      <c r="D40" s="675" t="str">
        <f>IF(NeoBer1700!D28&gt;0,"in "&amp;NeoBer1700!D28&amp;" ml","")</f>
        <v/>
      </c>
      <c r="E40" s="674"/>
      <c r="F40" s="669"/>
      <c r="G40" s="671" t="str">
        <f>IF(NeoBer1700!F28/10&gt;0,NeoBer1700!F28/10&amp;" ml/uur","")</f>
        <v/>
      </c>
      <c r="H40" s="670" t="str">
        <f>IF(AND(NeoBer1700!H28&gt;0),ROUND(NeoBer1700!H28,2),"")</f>
        <v/>
      </c>
      <c r="I40" s="670" t="str">
        <f>IF(_Neo_1700_Medicament_9&gt;1,INDEX(tbl_Neo_MedIV,NeoBer1700!B28,6),"")</f>
        <v/>
      </c>
      <c r="J40" s="658"/>
      <c r="K40" s="678">
        <f>INDEX(tbl_Neo_MedIV,NeoBer1700!B28,2)</f>
        <v>0</v>
      </c>
      <c r="L40" s="678"/>
      <c r="M40" s="679"/>
      <c r="N40" s="680" t="str">
        <f>IF(NeoBer1700!H28&gt;0,IF(NeoBer1700!X28*10&gt;1,NeoBer1700!W28&amp;" uren",NeoBer1700!W28&amp;" minuten"),"")</f>
        <v/>
      </c>
    </row>
    <row r="41" spans="1:14" ht="9.75" customHeight="1" x14ac:dyDescent="0.2">
      <c r="A41" s="666"/>
      <c r="B41" s="681"/>
      <c r="C41" s="682"/>
      <c r="D41" s="682"/>
      <c r="E41" s="681"/>
      <c r="F41" s="648"/>
      <c r="G41" s="667"/>
      <c r="H41" s="682"/>
      <c r="I41" s="648"/>
      <c r="J41" s="648"/>
      <c r="K41" s="683"/>
      <c r="L41" s="683"/>
      <c r="M41" s="684"/>
      <c r="N41" s="685"/>
    </row>
    <row r="42" spans="1:14" ht="15.95" customHeight="1" x14ac:dyDescent="0.2">
      <c r="A42" s="666">
        <v>10</v>
      </c>
      <c r="B42" s="686" t="s">
        <v>600</v>
      </c>
      <c r="C42" s="670"/>
      <c r="D42" s="670"/>
      <c r="E42" s="670"/>
      <c r="F42" s="670"/>
      <c r="G42" s="671" t="str">
        <f>IF(NeoBer1700!F29/10&gt;0,NeoBer1700!F29/10&amp;" ml/uur","")</f>
        <v/>
      </c>
      <c r="H42" s="687" t="str">
        <f>IF(NeoBer1700!H32&gt;0,"= "&amp;ROUND(NeoBer1700!H32,2),"")</f>
        <v/>
      </c>
      <c r="I42" s="687"/>
      <c r="J42" s="648"/>
      <c r="K42" s="659"/>
      <c r="L42" s="659"/>
      <c r="M42" s="688"/>
      <c r="N42" s="667"/>
    </row>
    <row r="43" spans="1:14" ht="15.95" customHeight="1" x14ac:dyDescent="0.2">
      <c r="A43" s="666">
        <v>11</v>
      </c>
      <c r="B43" s="686" t="s">
        <v>601</v>
      </c>
      <c r="C43" s="670"/>
      <c r="D43" s="670"/>
      <c r="E43" s="670"/>
      <c r="F43" s="670"/>
      <c r="G43" s="671" t="str">
        <f>IF(NeoBer1700!F30/10&gt;0,NeoBer1700!F30/10&amp;" ml/uur","")</f>
        <v/>
      </c>
      <c r="H43" s="687" t="str">
        <f>IF(NeoBer1700!H33&gt;0,"= "&amp;ROUND(NeoBer1700!H33,2),"")</f>
        <v/>
      </c>
      <c r="I43" s="687"/>
      <c r="J43" s="648"/>
      <c r="K43" s="659"/>
      <c r="L43" s="659"/>
      <c r="M43" s="688"/>
      <c r="N43" s="667"/>
    </row>
    <row r="44" spans="1:14" ht="15.95" customHeight="1" x14ac:dyDescent="0.2">
      <c r="A44" s="666">
        <v>12</v>
      </c>
      <c r="B44" s="686" t="s">
        <v>602</v>
      </c>
      <c r="C44" s="670"/>
      <c r="D44" s="670"/>
      <c r="E44" s="670"/>
      <c r="F44" s="670"/>
      <c r="G44" s="671" t="str">
        <f>IF(NeoBer1700!F31/10&gt;0,NeoBer1700!F31/10&amp;" ml/uur","")</f>
        <v/>
      </c>
      <c r="H44" s="687" t="str">
        <f>IF(NeoBer1700!H34&gt;0,"= "&amp;ROUND(NeoBer1700!H34,2),"")</f>
        <v/>
      </c>
      <c r="I44" s="687"/>
      <c r="J44" s="648"/>
      <c r="K44" s="659"/>
      <c r="L44" s="659"/>
      <c r="M44" s="688"/>
      <c r="N44" s="667"/>
    </row>
    <row r="45" spans="1:14" ht="15.95" customHeight="1" x14ac:dyDescent="0.2">
      <c r="A45" s="666">
        <v>13</v>
      </c>
      <c r="B45" s="676" t="str">
        <f>IF(_Neo_1700_MedTekst_1="","",_Neo_1700_MedTekst_1)</f>
        <v/>
      </c>
      <c r="C45" s="675"/>
      <c r="D45" s="675"/>
      <c r="E45" s="675"/>
      <c r="F45" s="675"/>
      <c r="G45" s="675"/>
      <c r="H45" s="670"/>
      <c r="I45" s="670"/>
      <c r="J45" s="648"/>
      <c r="K45" s="659"/>
      <c r="L45" s="659"/>
      <c r="M45" s="688"/>
      <c r="N45" s="667"/>
    </row>
    <row r="46" spans="1:14" ht="15.95" customHeight="1" x14ac:dyDescent="0.2">
      <c r="A46" s="666">
        <v>14</v>
      </c>
      <c r="B46" s="667" t="str">
        <f>IF(_Neo_1700_MedTekst_2="","",_Neo_1700_MedTekst_2)</f>
        <v/>
      </c>
      <c r="C46" s="687"/>
      <c r="D46" s="687"/>
      <c r="E46" s="687"/>
      <c r="F46" s="687"/>
      <c r="G46" s="687"/>
      <c r="H46" s="687"/>
      <c r="I46" s="687"/>
      <c r="J46" s="648"/>
      <c r="K46" s="659"/>
      <c r="L46" s="659"/>
      <c r="M46" s="688"/>
      <c r="N46" s="667"/>
    </row>
    <row r="47" spans="1:14" ht="15.95" customHeight="1" x14ac:dyDescent="0.2">
      <c r="D47" s="649"/>
      <c r="K47" s="689" t="s">
        <v>587</v>
      </c>
      <c r="L47" s="689"/>
    </row>
    <row r="48" spans="1:14" ht="15.95" customHeight="1" x14ac:dyDescent="0.2">
      <c r="B48" s="652"/>
      <c r="C48" s="653"/>
      <c r="D48" s="690"/>
      <c r="E48" s="691" t="str">
        <f ca="1">IF(NeoBer1700!C35&gt;0,NeoBer1700!C35&amp;" ml","")</f>
        <v/>
      </c>
      <c r="F48" s="649" t="str">
        <f ca="1">IF(E48&lt;&gt;"",ROUND(NeoBer1700!C35/(_Pat_Gewicht/10),0)&amp;" ml/ kg","")</f>
        <v/>
      </c>
      <c r="K48" s="657" t="str">
        <f ca="1">IF(NeoBer1700!B35&gt;0,NeoBer1700!B35&amp;" ml","")</f>
        <v/>
      </c>
      <c r="L48" s="657"/>
      <c r="M48" s="658"/>
    </row>
    <row r="49" spans="2:13" ht="12" customHeight="1" x14ac:dyDescent="0.2">
      <c r="B49" s="646"/>
      <c r="C49" s="648"/>
      <c r="D49" s="687"/>
      <c r="E49" s="667"/>
    </row>
    <row r="50" spans="2:13" ht="15.75" customHeight="1" x14ac:dyDescent="0.2">
      <c r="B50" s="692"/>
    </row>
    <row r="51" spans="2:13" ht="15.95" customHeight="1" x14ac:dyDescent="0.2">
      <c r="B51" s="580" t="s">
        <v>604</v>
      </c>
    </row>
    <row r="52" spans="2:13" ht="15.75" customHeight="1" x14ac:dyDescent="0.2">
      <c r="B52" s="693" t="s">
        <v>347</v>
      </c>
      <c r="C52" s="658"/>
      <c r="D52" s="658"/>
      <c r="E52" s="673" t="str">
        <f ca="1">IF(NeoBer1700!$D$36=1,NeoBer1700!C37&amp;" ml","")</f>
        <v>0 ml</v>
      </c>
      <c r="F52" s="658"/>
      <c r="G52" s="658"/>
      <c r="H52" s="658"/>
      <c r="I52" s="673" t="str">
        <f>IF(NeoBer1700!$D$36=3,NeoBer1700!C37&amp;" ml","")</f>
        <v/>
      </c>
      <c r="J52" s="658"/>
      <c r="K52" s="657" t="str">
        <f ca="1">IF(NeoBer1700!B37&gt;0,NeoBer1700!B37&amp;" ml","")</f>
        <v/>
      </c>
      <c r="L52" s="657"/>
      <c r="M52" s="658"/>
    </row>
    <row r="53" spans="2:13" ht="15.95" customHeight="1" x14ac:dyDescent="0.2">
      <c r="B53" s="694" t="s">
        <v>605</v>
      </c>
      <c r="C53" s="677"/>
      <c r="D53" s="677"/>
      <c r="E53" s="680" t="str">
        <f ca="1">IF(NeoBer1700!$D$36=1,NeoBer1700!C38&amp;" ml","")</f>
        <v>0 ml</v>
      </c>
      <c r="F53" s="677"/>
      <c r="G53" s="677"/>
      <c r="H53" s="677"/>
      <c r="I53" s="680" t="str">
        <f>IF(NeoBer1700!$D$36=3,NeoBer1700!C38&amp;" ml","")</f>
        <v/>
      </c>
      <c r="J53" s="677"/>
      <c r="K53" s="678" t="str">
        <f ca="1">IF(NeoBer1700!B38&gt;0,NeoBer1700!B38&amp;" ml","")</f>
        <v/>
      </c>
      <c r="L53" s="678"/>
      <c r="M53" s="678"/>
    </row>
    <row r="54" spans="2:13" ht="15.95" customHeight="1" x14ac:dyDescent="0.2">
      <c r="B54" s="694" t="s">
        <v>606</v>
      </c>
      <c r="C54" s="677"/>
      <c r="D54" s="677"/>
      <c r="E54" s="680" t="str">
        <f ca="1">IF(NeoBer1700!$D$36=1,NeoBer1700!C39&amp;" ml","")</f>
        <v>0 ml</v>
      </c>
      <c r="F54" s="677"/>
      <c r="G54" s="677"/>
      <c r="H54" s="677"/>
      <c r="I54" s="677"/>
      <c r="J54" s="677"/>
      <c r="K54" s="678" t="str">
        <f ca="1">IF(NeoBer1700!B39&gt;0,NeoBer1700!B39&amp;" ml","")</f>
        <v/>
      </c>
      <c r="L54" s="678"/>
      <c r="M54" s="678"/>
    </row>
    <row r="55" spans="2:13" ht="15.95" customHeight="1" x14ac:dyDescent="0.2">
      <c r="B55" s="694" t="s">
        <v>607</v>
      </c>
      <c r="C55" s="677"/>
      <c r="D55" s="677"/>
      <c r="E55" s="680" t="str">
        <f ca="1">IF(NeoBer1700!$D$36=1,NeoBer1700!C40&amp;" ml","")</f>
        <v>0 ml</v>
      </c>
      <c r="F55" s="677"/>
      <c r="G55" s="677"/>
      <c r="H55" s="677"/>
      <c r="I55" s="677"/>
      <c r="J55" s="677"/>
      <c r="K55" s="678" t="str">
        <f ca="1">IF(NeoBer1700!B40&gt;0,NeoBer1700!B40&amp;" ml","")</f>
        <v/>
      </c>
      <c r="L55" s="678"/>
      <c r="M55" s="678"/>
    </row>
    <row r="56" spans="2:13" ht="15.95" customHeight="1" x14ac:dyDescent="0.2">
      <c r="B56" s="694" t="s">
        <v>210</v>
      </c>
      <c r="C56" s="677"/>
      <c r="D56" s="677"/>
      <c r="E56" s="680" t="str">
        <f ca="1">IF(NeoBer1700!$D$36=1,NeoBer1700!C41&amp;" ml","")</f>
        <v>0 ml</v>
      </c>
      <c r="F56" s="677"/>
      <c r="G56" s="677"/>
      <c r="H56" s="677"/>
      <c r="I56" s="677"/>
      <c r="J56" s="677"/>
      <c r="K56" s="678" t="str">
        <f ca="1">IF(NeoBer1700!B41&gt;0,NeoBer1700!B41&amp;" ml","")</f>
        <v/>
      </c>
      <c r="L56" s="678"/>
      <c r="M56" s="678"/>
    </row>
    <row r="57" spans="2:13" ht="15.95" customHeight="1" x14ac:dyDescent="0.2">
      <c r="B57" s="694" t="s">
        <v>562</v>
      </c>
      <c r="C57" s="677"/>
      <c r="D57" s="677"/>
      <c r="E57" s="680" t="str">
        <f ca="1">IF(NeoBer1700!$D$36=1,NeoBer1700!C42&amp;" ml","")</f>
        <v>0 ml</v>
      </c>
      <c r="F57" s="677"/>
      <c r="G57" s="677"/>
      <c r="H57" s="677"/>
      <c r="I57" s="677"/>
      <c r="J57" s="677"/>
      <c r="K57" s="678" t="str">
        <f ca="1">IF(NeoBer1700!B42&gt;0,NeoBer1700!B42&amp;" ml","")</f>
        <v/>
      </c>
      <c r="L57" s="678"/>
      <c r="M57" s="678"/>
    </row>
    <row r="58" spans="2:13" ht="15.95" customHeight="1" x14ac:dyDescent="0.2">
      <c r="B58" s="694" t="s">
        <v>563</v>
      </c>
      <c r="C58" s="677"/>
      <c r="D58" s="677"/>
      <c r="E58" s="677"/>
      <c r="F58" s="677"/>
      <c r="G58" s="680" t="str">
        <f>IF(NeoBer1700!D36=2,NeoBer1700!C43&amp;" ml","")</f>
        <v/>
      </c>
      <c r="H58" s="695" t="str">
        <f>IF(G58&lt;&gt;"","("&amp;ROUND(NeoBer1700!C43/(_Pat_Gewicht/10),0)&amp;" ml/kg)","")</f>
        <v/>
      </c>
      <c r="I58" s="677"/>
      <c r="J58" s="677"/>
      <c r="K58" s="678" t="str">
        <f ca="1">IF(NeoBer1700!B43&gt;0,NeoBer1700!B43&amp;" ml","")</f>
        <v/>
      </c>
      <c r="L58" s="678"/>
      <c r="M58" s="678"/>
    </row>
    <row r="59" spans="2:13" ht="15.95" customHeight="1" x14ac:dyDescent="0.2">
      <c r="B59" s="694" t="s">
        <v>345</v>
      </c>
      <c r="C59" s="677"/>
      <c r="D59" s="677"/>
      <c r="E59" s="677"/>
      <c r="F59" s="677"/>
      <c r="G59" s="677"/>
      <c r="H59" s="677"/>
      <c r="I59" s="680" t="str">
        <f>IF(NeoBer1700!$D$36=3,NeoBer1700!C44&amp;" ml","")</f>
        <v/>
      </c>
      <c r="J59" s="695" t="str">
        <f>IF(I59&lt;&gt;"","("&amp;ROUND(1000*NeoBer1700!C44/(_Pat_Gewicht/10),0)&amp;" ml/kg)","")</f>
        <v/>
      </c>
      <c r="K59" s="678" t="str">
        <f ca="1">IF(NeoBer1700!B44&gt;0,NeoBer1700!B44&amp;" ml","")</f>
        <v/>
      </c>
      <c r="L59" s="678"/>
      <c r="M59" s="678"/>
    </row>
    <row r="60" spans="2:13" ht="20.100000000000001" customHeight="1" x14ac:dyDescent="0.2">
      <c r="B60" s="677"/>
      <c r="C60" s="677"/>
      <c r="D60" s="677"/>
      <c r="E60" s="696">
        <f>IF(NeoBer1700!D36=1,NeoBer1700!K45,"")</f>
        <v>0</v>
      </c>
      <c r="F60" s="677" t="str">
        <f>IF(E60&lt;&gt;"","ml","")</f>
        <v>ml</v>
      </c>
      <c r="G60" s="696" t="str">
        <f>IF(NeoBer1700!D36=2,NeoBer1700!K45,"")</f>
        <v/>
      </c>
      <c r="H60" s="677" t="str">
        <f>IF(G60&lt;&gt;"","ml","")</f>
        <v/>
      </c>
      <c r="I60" s="696" t="str">
        <f>IF(NeoBer1700!D36=3,NeoBer1700!K45,"")</f>
        <v/>
      </c>
      <c r="J60" s="677" t="str">
        <f>IF(I60&lt;&gt;"","ml","")</f>
        <v/>
      </c>
      <c r="K60" s="678"/>
      <c r="L60" s="678"/>
      <c r="M60" s="678"/>
    </row>
  </sheetData>
  <mergeCells count="1">
    <mergeCell ref="K2:N5"/>
  </mergeCells>
  <conditionalFormatting sqref="E60:J60 E28">
    <cfRule type="cellIs" dxfId="3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4" name="Drop Down 1">
              <controlPr defaultSize="0" autoLine="0" autoPict="0" macro="[0]!VerwijderContInfuus1700_1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190500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5" name="Drop Down 2">
              <controlPr defaultSize="0" autoLine="0" autoPict="0" macro="[0]!VerwijderContInfuus1700_2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190500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6" name="Drop Down 3">
              <controlPr defaultSize="0" autoLine="0" autoPict="0" macro="[0]!VerwijderContInfuus1700_3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190500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7" name="Drop Down 4">
              <controlPr defaultSize="0" autoLine="0" autoPict="0" macro="[0]!VerwijderContInfuus1700_4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190500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3" r:id="rId8" name="Drop Down 5">
              <controlPr defaultSize="0" autoLine="0" autoPict="0" macro="[0]!VerwijderContInfuus1700_5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190500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4" r:id="rId9" name="Drop Down 6">
              <controlPr defaultSize="0" autoLine="0" autoPict="0" macro="[0]!VerwijderContInfuus1700_6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190500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5" r:id="rId10" name="Drop Down 7">
              <controlPr defaultSize="0" autoLine="0" autoPict="0" macro="[0]!VerwijderContInfuus1700_7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190500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6" r:id="rId11" name="Spinner 8">
              <controlPr defaultSize="0" autoPict="0">
                <anchor moveWithCells="1" sizeWithCells="1">
                  <from>
                    <xdr:col>7</xdr:col>
                    <xdr:colOff>19050</xdr:colOff>
                    <xdr:row>29</xdr:row>
                    <xdr:rowOff>9525</xdr:rowOff>
                  </from>
                  <to>
                    <xdr:col>7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7" r:id="rId12" name="Spinner 9">
              <controlPr defaultSize="0" autoPict="0">
                <anchor moveWithCells="1" sizeWithCells="1">
                  <from>
                    <xdr:col>7</xdr:col>
                    <xdr:colOff>19050</xdr:colOff>
                    <xdr:row>31</xdr:row>
                    <xdr:rowOff>9525</xdr:rowOff>
                  </from>
                  <to>
                    <xdr:col>7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8" r:id="rId13" name="Spinner 10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9" r:id="rId14" name="Spinner 11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0" r:id="rId15" name="Spinner 12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1" r:id="rId16" name="Spinner 13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2" r:id="rId17" name="Spinner 14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3" r:id="rId18" name="Spinner 15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4" r:id="rId19" name="Option Button 16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28575</xdr:rowOff>
                  </from>
                  <to>
                    <xdr:col>2</xdr:col>
                    <xdr:colOff>390525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5" r:id="rId20" name="Option Button 17">
              <controlPr defaultSize="0" autoFill="0" autoLine="0" autoPict="0">
                <anchor moveWithCells="1">
                  <from>
                    <xdr:col>1</xdr:col>
                    <xdr:colOff>209550</xdr:colOff>
                    <xdr:row>21</xdr:row>
                    <xdr:rowOff>38100</xdr:rowOff>
                  </from>
                  <to>
                    <xdr:col>2</xdr:col>
                    <xdr:colOff>390525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6" r:id="rId21" name="Spinner 18">
              <controlPr defaultSize="0" autoPict="0">
                <anchor moveWithCells="1" sizeWithCells="1">
                  <from>
                    <xdr:col>4</xdr:col>
                    <xdr:colOff>685800</xdr:colOff>
                    <xdr:row>20</xdr:row>
                    <xdr:rowOff>9525</xdr:rowOff>
                  </from>
                  <to>
                    <xdr:col>4</xdr:col>
                    <xdr:colOff>809625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7" r:id="rId22" name="Spinner 19">
              <controlPr defaultSize="0" autoPict="0">
                <anchor moveWithCells="1" sizeWithCells="1">
                  <from>
                    <xdr:col>6</xdr:col>
                    <xdr:colOff>685800</xdr:colOff>
                    <xdr:row>20</xdr:row>
                    <xdr:rowOff>9525</xdr:rowOff>
                  </from>
                  <to>
                    <xdr:col>6</xdr:col>
                    <xdr:colOff>809625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8" r:id="rId23" name="Spinner 20">
              <controlPr defaultSize="0" autoPict="0">
                <anchor moveWithCells="1" sizeWithCells="1">
                  <from>
                    <xdr:col>4</xdr:col>
                    <xdr:colOff>714375</xdr:colOff>
                    <xdr:row>17</xdr:row>
                    <xdr:rowOff>9525</xdr:rowOff>
                  </from>
                  <to>
                    <xdr:col>5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9" r:id="rId24" name="Option Button 21">
              <controlPr defaultSize="0" autoFill="0" autoLine="0" autoPict="0">
                <anchor moveWithCells="1">
                  <from>
                    <xdr:col>3</xdr:col>
                    <xdr:colOff>657225</xdr:colOff>
                    <xdr:row>49</xdr:row>
                    <xdr:rowOff>180975</xdr:rowOff>
                  </from>
                  <to>
                    <xdr:col>4</xdr:col>
                    <xdr:colOff>647700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0" r:id="rId25" name="Option Button 22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171450</xdr:rowOff>
                  </from>
                  <to>
                    <xdr:col>7</xdr:col>
                    <xdr:colOff>209550</xdr:colOff>
                    <xdr:row>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1" r:id="rId26" name="Option Button 23">
              <controlPr defaultSize="0" autoFill="0" autoLine="0" autoPict="0">
                <anchor moveWithCells="1">
                  <from>
                    <xdr:col>8</xdr:col>
                    <xdr:colOff>9525</xdr:colOff>
                    <xdr:row>49</xdr:row>
                    <xdr:rowOff>180975</xdr:rowOff>
                  </from>
                  <to>
                    <xdr:col>9</xdr:col>
                    <xdr:colOff>314325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2" r:id="rId27" name="Spinner 24">
              <controlPr defaultSize="0" autoPict="0">
                <anchor moveWithCells="1" sizeWithCells="1">
                  <from>
                    <xdr:col>4</xdr:col>
                    <xdr:colOff>685800</xdr:colOff>
                    <xdr:row>51</xdr:row>
                    <xdr:rowOff>0</xdr:rowOff>
                  </from>
                  <to>
                    <xdr:col>4</xdr:col>
                    <xdr:colOff>809625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3" r:id="rId28" name="Spinner 25">
              <controlPr defaultSize="0" autoPict="0">
                <anchor moveWithCells="1" sizeWithCells="1">
                  <from>
                    <xdr:col>4</xdr:col>
                    <xdr:colOff>685800</xdr:colOff>
                    <xdr:row>52</xdr:row>
                    <xdr:rowOff>0</xdr:rowOff>
                  </from>
                  <to>
                    <xdr:col>4</xdr:col>
                    <xdr:colOff>809625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4" r:id="rId29" name="Spinner 26">
              <controlPr defaultSize="0" autoPict="0">
                <anchor moveWithCells="1" sizeWithCells="1">
                  <from>
                    <xdr:col>4</xdr:col>
                    <xdr:colOff>685800</xdr:colOff>
                    <xdr:row>53</xdr:row>
                    <xdr:rowOff>0</xdr:rowOff>
                  </from>
                  <to>
                    <xdr:col>4</xdr:col>
                    <xdr:colOff>809625</xdr:colOff>
                    <xdr:row>53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5" r:id="rId30" name="Spinner 27">
              <controlPr defaultSize="0" autoPict="0">
                <anchor moveWithCells="1" sizeWithCells="1">
                  <from>
                    <xdr:col>4</xdr:col>
                    <xdr:colOff>685800</xdr:colOff>
                    <xdr:row>54</xdr:row>
                    <xdr:rowOff>0</xdr:rowOff>
                  </from>
                  <to>
                    <xdr:col>4</xdr:col>
                    <xdr:colOff>809625</xdr:colOff>
                    <xdr:row>54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6" r:id="rId31" name="Spinner 28">
              <controlPr defaultSize="0" autoPict="0">
                <anchor moveWithCells="1" sizeWithCells="1">
                  <from>
                    <xdr:col>4</xdr:col>
                    <xdr:colOff>685800</xdr:colOff>
                    <xdr:row>55</xdr:row>
                    <xdr:rowOff>0</xdr:rowOff>
                  </from>
                  <to>
                    <xdr:col>4</xdr:col>
                    <xdr:colOff>809625</xdr:colOff>
                    <xdr:row>55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7" r:id="rId32" name="Spinner 29">
              <controlPr defaultSize="0" autoPict="0">
                <anchor moveWithCells="1" sizeWithCells="1">
                  <from>
                    <xdr:col>4</xdr:col>
                    <xdr:colOff>685800</xdr:colOff>
                    <xdr:row>56</xdr:row>
                    <xdr:rowOff>0</xdr:rowOff>
                  </from>
                  <to>
                    <xdr:col>4</xdr:col>
                    <xdr:colOff>809625</xdr:colOff>
                    <xdr:row>56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8" r:id="rId33" name="Spinner 30">
              <controlPr defaultSize="0" autoPict="0">
                <anchor moveWithCells="1" sizeWithCells="1">
                  <from>
                    <xdr:col>6</xdr:col>
                    <xdr:colOff>704850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9" r:id="rId34" name="Spinner 31">
              <controlPr defaultSize="0" autoPict="0">
                <anchor moveWithCells="1" sizeWithCells="1">
                  <from>
                    <xdr:col>8</xdr:col>
                    <xdr:colOff>695325</xdr:colOff>
                    <xdr:row>51</xdr:row>
                    <xdr:rowOff>0</xdr:rowOff>
                  </from>
                  <to>
                    <xdr:col>8</xdr:col>
                    <xdr:colOff>819150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0" r:id="rId35" name="Spinner 32">
              <controlPr defaultSize="0" autoPict="0">
                <anchor moveWithCells="1" sizeWithCells="1">
                  <from>
                    <xdr:col>8</xdr:col>
                    <xdr:colOff>695325</xdr:colOff>
                    <xdr:row>52</xdr:row>
                    <xdr:rowOff>0</xdr:rowOff>
                  </from>
                  <to>
                    <xdr:col>8</xdr:col>
                    <xdr:colOff>819150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1" r:id="rId36" name="Spinner 33">
              <controlPr defaultSize="0" autoPict="0">
                <anchor moveWithCells="1" sizeWithCells="1">
                  <from>
                    <xdr:col>8</xdr:col>
                    <xdr:colOff>695325</xdr:colOff>
                    <xdr:row>58</xdr:row>
                    <xdr:rowOff>0</xdr:rowOff>
                  </from>
                  <to>
                    <xdr:col>8</xdr:col>
                    <xdr:colOff>819150</xdr:colOff>
                    <xdr:row>58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2" r:id="rId37" name="Option Button 34">
              <controlPr defaultSize="0" autoFill="0" autoLine="0" autoPict="0">
                <anchor moveWithCells="1">
                  <from>
                    <xdr:col>2</xdr:col>
                    <xdr:colOff>171450</xdr:colOff>
                    <xdr:row>17</xdr:row>
                    <xdr:rowOff>180975</xdr:rowOff>
                  </from>
                  <to>
                    <xdr:col>2</xdr:col>
                    <xdr:colOff>781050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3" r:id="rId38" name="Option Button 35">
              <controlPr defaultSize="0" autoFill="0" autoLine="0" autoPict="0">
                <anchor moveWithCells="1">
                  <from>
                    <xdr:col>2</xdr:col>
                    <xdr:colOff>552450</xdr:colOff>
                    <xdr:row>17</xdr:row>
                    <xdr:rowOff>180975</xdr:rowOff>
                  </from>
                  <to>
                    <xdr:col>3</xdr:col>
                    <xdr:colOff>333375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4" r:id="rId39" name="Drop Down 36">
              <controlPr defaultSize="0" autoLine="0" autoPict="0">
                <anchor moveWithCells="1">
                  <from>
                    <xdr:col>4</xdr:col>
                    <xdr:colOff>323850</xdr:colOff>
                    <xdr:row>31</xdr:row>
                    <xdr:rowOff>0</xdr:rowOff>
                  </from>
                  <to>
                    <xdr:col>5</xdr:col>
                    <xdr:colOff>609600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5" r:id="rId40" name="Drop Down 37">
              <controlPr defaultSize="0" autoLine="0" autoPict="0">
                <anchor moveWithCells="1">
                  <from>
                    <xdr:col>4</xdr:col>
                    <xdr:colOff>323850</xdr:colOff>
                    <xdr:row>32</xdr:row>
                    <xdr:rowOff>0</xdr:rowOff>
                  </from>
                  <to>
                    <xdr:col>5</xdr:col>
                    <xdr:colOff>609600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6" r:id="rId41" name="Drop Down 38">
              <controlPr defaultSize="0" autoLine="0" autoPict="0">
                <anchor moveWithCells="1">
                  <from>
                    <xdr:col>4</xdr:col>
                    <xdr:colOff>323850</xdr:colOff>
                    <xdr:row>33</xdr:row>
                    <xdr:rowOff>0</xdr:rowOff>
                  </from>
                  <to>
                    <xdr:col>5</xdr:col>
                    <xdr:colOff>609600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7" r:id="rId42" name="Drop Down 39">
              <controlPr defaultSize="0" autoLine="0" autoPict="0">
                <anchor moveWithCells="1">
                  <from>
                    <xdr:col>4</xdr:col>
                    <xdr:colOff>323850</xdr:colOff>
                    <xdr:row>34</xdr:row>
                    <xdr:rowOff>0</xdr:rowOff>
                  </from>
                  <to>
                    <xdr:col>5</xdr:col>
                    <xdr:colOff>609600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8" r:id="rId43" name="Drop Down 40">
              <controlPr defaultSize="0" autoLine="0" autoPict="0">
                <anchor moveWithCells="1">
                  <from>
                    <xdr:col>4</xdr:col>
                    <xdr:colOff>323850</xdr:colOff>
                    <xdr:row>35</xdr:row>
                    <xdr:rowOff>0</xdr:rowOff>
                  </from>
                  <to>
                    <xdr:col>5</xdr:col>
                    <xdr:colOff>609600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9" r:id="rId44" name="Drop Down 41">
              <controlPr defaultSize="0" autoLine="0" autoPict="0">
                <anchor moveWithCells="1">
                  <from>
                    <xdr:col>4</xdr:col>
                    <xdr:colOff>323850</xdr:colOff>
                    <xdr:row>36</xdr:row>
                    <xdr:rowOff>0</xdr:rowOff>
                  </from>
                  <to>
                    <xdr:col>5</xdr:col>
                    <xdr:colOff>609600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0" r:id="rId45" name="Spinner 42">
              <controlPr defaultSize="0" autoPict="0">
                <anchor moveWithCells="1" sizeWithCells="1">
                  <from>
                    <xdr:col>4</xdr:col>
                    <xdr:colOff>152400</xdr:colOff>
                    <xdr:row>31</xdr:row>
                    <xdr:rowOff>0</xdr:rowOff>
                  </from>
                  <to>
                    <xdr:col>4</xdr:col>
                    <xdr:colOff>276225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1" r:id="rId46" name="Spinner 43">
              <controlPr defaultSize="0" autoPict="0">
                <anchor moveWithCells="1" sizeWithCells="1">
                  <from>
                    <xdr:col>4</xdr:col>
                    <xdr:colOff>152400</xdr:colOff>
                    <xdr:row>32</xdr:row>
                    <xdr:rowOff>0</xdr:rowOff>
                  </from>
                  <to>
                    <xdr:col>4</xdr:col>
                    <xdr:colOff>276225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2" r:id="rId47" name="Spinner 44">
              <controlPr defaultSize="0" autoPict="0">
                <anchor moveWithCells="1" sizeWithCells="1">
                  <from>
                    <xdr:col>4</xdr:col>
                    <xdr:colOff>152400</xdr:colOff>
                    <xdr:row>33</xdr:row>
                    <xdr:rowOff>0</xdr:rowOff>
                  </from>
                  <to>
                    <xdr:col>4</xdr:col>
                    <xdr:colOff>276225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3" r:id="rId48" name="Spinner 45">
              <controlPr defaultSize="0" autoPict="0">
                <anchor moveWithCells="1" sizeWithCells="1">
                  <from>
                    <xdr:col>4</xdr:col>
                    <xdr:colOff>152400</xdr:colOff>
                    <xdr:row>34</xdr:row>
                    <xdr:rowOff>0</xdr:rowOff>
                  </from>
                  <to>
                    <xdr:col>4</xdr:col>
                    <xdr:colOff>276225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4" r:id="rId49" name="Spinner 46">
              <controlPr defaultSize="0" autoPict="0">
                <anchor moveWithCells="1" sizeWithCells="1">
                  <from>
                    <xdr:col>4</xdr:col>
                    <xdr:colOff>152400</xdr:colOff>
                    <xdr:row>35</xdr:row>
                    <xdr:rowOff>0</xdr:rowOff>
                  </from>
                  <to>
                    <xdr:col>4</xdr:col>
                    <xdr:colOff>276225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5" r:id="rId50" name="Spinner 47">
              <controlPr defaultSize="0" autoPict="0">
                <anchor moveWithCells="1" sizeWithCells="1">
                  <from>
                    <xdr:col>4</xdr:col>
                    <xdr:colOff>152400</xdr:colOff>
                    <xdr:row>36</xdr:row>
                    <xdr:rowOff>0</xdr:rowOff>
                  </from>
                  <to>
                    <xdr:col>4</xdr:col>
                    <xdr:colOff>276225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6" r:id="rId51" name="Spinner 48">
              <controlPr defaultSize="0" autoPict="0">
                <anchor moveWithCells="1" sizeWithCells="1">
                  <from>
                    <xdr:col>4</xdr:col>
                    <xdr:colOff>152400</xdr:colOff>
                    <xdr:row>37</xdr:row>
                    <xdr:rowOff>0</xdr:rowOff>
                  </from>
                  <to>
                    <xdr:col>4</xdr:col>
                    <xdr:colOff>276225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7" r:id="rId52" name="Spinner 49">
              <controlPr defaultSize="0" autoPict="0">
                <anchor moveWithCells="1" sizeWithCells="1">
                  <from>
                    <xdr:col>3</xdr:col>
                    <xdr:colOff>9525</xdr:colOff>
                    <xdr:row>30</xdr:row>
                    <xdr:rowOff>85725</xdr:rowOff>
                  </from>
                  <to>
                    <xdr:col>3</xdr:col>
                    <xdr:colOff>133350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8" r:id="rId53" name="Spinner 50">
              <controlPr defaultSize="0" autoPict="0">
                <anchor moveWithCells="1" sizeWithCells="1">
                  <from>
                    <xdr:col>3</xdr:col>
                    <xdr:colOff>9525</xdr:colOff>
                    <xdr:row>31</xdr:row>
                    <xdr:rowOff>190500</xdr:rowOff>
                  </from>
                  <to>
                    <xdr:col>3</xdr:col>
                    <xdr:colOff>133350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9" r:id="rId54" name="Spinner 51">
              <controlPr defaultSize="0" autoPict="0">
                <anchor moveWithCells="1" sizeWithCells="1">
                  <from>
                    <xdr:col>3</xdr:col>
                    <xdr:colOff>9525</xdr:colOff>
                    <xdr:row>32</xdr:row>
                    <xdr:rowOff>190500</xdr:rowOff>
                  </from>
                  <to>
                    <xdr:col>3</xdr:col>
                    <xdr:colOff>133350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0" r:id="rId55" name="Spinner 52">
              <controlPr defaultSize="0" autoPict="0">
                <anchor moveWithCells="1" sizeWithCells="1">
                  <from>
                    <xdr:col>3</xdr:col>
                    <xdr:colOff>9525</xdr:colOff>
                    <xdr:row>33</xdr:row>
                    <xdr:rowOff>190500</xdr:rowOff>
                  </from>
                  <to>
                    <xdr:col>3</xdr:col>
                    <xdr:colOff>133350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1" r:id="rId56" name="Spinner 53">
              <controlPr defaultSize="0" autoPict="0">
                <anchor moveWithCells="1" sizeWithCells="1">
                  <from>
                    <xdr:col>3</xdr:col>
                    <xdr:colOff>9525</xdr:colOff>
                    <xdr:row>34</xdr:row>
                    <xdr:rowOff>190500</xdr:rowOff>
                  </from>
                  <to>
                    <xdr:col>3</xdr:col>
                    <xdr:colOff>133350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2" r:id="rId57" name="Spinner 54">
              <controlPr defaultSize="0" autoPict="0">
                <anchor moveWithCells="1" sizeWithCells="1">
                  <from>
                    <xdr:col>3</xdr:col>
                    <xdr:colOff>9525</xdr:colOff>
                    <xdr:row>35</xdr:row>
                    <xdr:rowOff>190500</xdr:rowOff>
                  </from>
                  <to>
                    <xdr:col>3</xdr:col>
                    <xdr:colOff>133350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3" r:id="rId58" name="Spinner 55">
              <controlPr defaultSize="0" autoPict="0">
                <anchor moveWithCells="1" sizeWithCells="1">
                  <from>
                    <xdr:col>3</xdr:col>
                    <xdr:colOff>9525</xdr:colOff>
                    <xdr:row>36</xdr:row>
                    <xdr:rowOff>190500</xdr:rowOff>
                  </from>
                  <to>
                    <xdr:col>3</xdr:col>
                    <xdr:colOff>133350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4" r:id="rId59" name="Group Box 56">
              <controlPr defaultSize="0" autoFill="0" autoPict="0">
                <anchor moveWithCells="1">
                  <from>
                    <xdr:col>1</xdr:col>
                    <xdr:colOff>152400</xdr:colOff>
                    <xdr:row>19</xdr:row>
                    <xdr:rowOff>152400</xdr:rowOff>
                  </from>
                  <to>
                    <xdr:col>2</xdr:col>
                    <xdr:colOff>723900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5" r:id="rId60" name="Group Box 57">
              <controlPr defaultSize="0" autoFill="0" autoPict="0">
                <anchor moveWithCells="1">
                  <from>
                    <xdr:col>3</xdr:col>
                    <xdr:colOff>9525</xdr:colOff>
                    <xdr:row>49</xdr:row>
                    <xdr:rowOff>76200</xdr:rowOff>
                  </from>
                  <to>
                    <xdr:col>9</xdr:col>
                    <xdr:colOff>447675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6" r:id="rId61" name="Check Box 58">
              <controlPr defaultSize="0" autoFill="0" autoLine="0" autoPict="0">
                <anchor moveWithCells="1">
                  <from>
                    <xdr:col>9</xdr:col>
                    <xdr:colOff>295275</xdr:colOff>
                    <xdr:row>29</xdr:row>
                    <xdr:rowOff>0</xdr:rowOff>
                  </from>
                  <to>
                    <xdr:col>9</xdr:col>
                    <xdr:colOff>600075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7" r:id="rId62" name="Check Box 59">
              <controlPr defaultSize="0" autoFill="0" autoLine="0" autoPict="0">
                <anchor moveWithCells="1">
                  <from>
                    <xdr:col>9</xdr:col>
                    <xdr:colOff>295275</xdr:colOff>
                    <xdr:row>31</xdr:row>
                    <xdr:rowOff>0</xdr:rowOff>
                  </from>
                  <to>
                    <xdr:col>9</xdr:col>
                    <xdr:colOff>600075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8" r:id="rId63" name="Check Box 60">
              <controlPr defaultSize="0" autoFill="0" autoLine="0" autoPict="0">
                <anchor moveWithCells="1">
                  <from>
                    <xdr:col>9</xdr:col>
                    <xdr:colOff>295275</xdr:colOff>
                    <xdr:row>32</xdr:row>
                    <xdr:rowOff>0</xdr:rowOff>
                  </from>
                  <to>
                    <xdr:col>9</xdr:col>
                    <xdr:colOff>600075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9" r:id="rId64" name="Check Box 61">
              <controlPr defaultSize="0" autoFill="0" autoLine="0" autoPict="0">
                <anchor moveWithCells="1">
                  <from>
                    <xdr:col>9</xdr:col>
                    <xdr:colOff>295275</xdr:colOff>
                    <xdr:row>33</xdr:row>
                    <xdr:rowOff>0</xdr:rowOff>
                  </from>
                  <to>
                    <xdr:col>9</xdr:col>
                    <xdr:colOff>600075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0" r:id="rId65" name="Check Box 62">
              <controlPr defaultSize="0" autoFill="0" autoLine="0" autoPict="0">
                <anchor moveWithCells="1">
                  <from>
                    <xdr:col>9</xdr:col>
                    <xdr:colOff>295275</xdr:colOff>
                    <xdr:row>34</xdr:row>
                    <xdr:rowOff>0</xdr:rowOff>
                  </from>
                  <to>
                    <xdr:col>9</xdr:col>
                    <xdr:colOff>600075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1" r:id="rId66" name="Check Box 63">
              <controlPr defaultSize="0" autoFill="0" autoLine="0" autoPict="0">
                <anchor moveWithCells="1">
                  <from>
                    <xdr:col>9</xdr:col>
                    <xdr:colOff>295275</xdr:colOff>
                    <xdr:row>35</xdr:row>
                    <xdr:rowOff>0</xdr:rowOff>
                  </from>
                  <to>
                    <xdr:col>9</xdr:col>
                    <xdr:colOff>600075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2" r:id="rId67" name="Check Box 64">
              <controlPr defaultSize="0" autoFill="0" autoLine="0" autoPict="0">
                <anchor moveWithCells="1">
                  <from>
                    <xdr:col>9</xdr:col>
                    <xdr:colOff>295275</xdr:colOff>
                    <xdr:row>36</xdr:row>
                    <xdr:rowOff>0</xdr:rowOff>
                  </from>
                  <to>
                    <xdr:col>9</xdr:col>
                    <xdr:colOff>600075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3" r:id="rId68" name="Check Box 65">
              <controlPr defaultSize="0" autoFill="0" autoLine="0" autoPict="0">
                <anchor moveWithCells="1">
                  <from>
                    <xdr:col>9</xdr:col>
                    <xdr:colOff>295275</xdr:colOff>
                    <xdr:row>37</xdr:row>
                    <xdr:rowOff>0</xdr:rowOff>
                  </from>
                  <to>
                    <xdr:col>9</xdr:col>
                    <xdr:colOff>600075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4" r:id="rId69" name="Drop Down 66">
              <controlPr defaultSize="0" autoLine="0" autoPict="0" macro="[0]!VerwijderContInfuus1700_8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190500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5" r:id="rId70" name="Spinner 67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6" r:id="rId71" name="Drop Down 68">
              <controlPr defaultSize="0" autoLine="0" autoPict="0">
                <anchor moveWithCells="1">
                  <from>
                    <xdr:col>4</xdr:col>
                    <xdr:colOff>323850</xdr:colOff>
                    <xdr:row>37</xdr:row>
                    <xdr:rowOff>0</xdr:rowOff>
                  </from>
                  <to>
                    <xdr:col>5</xdr:col>
                    <xdr:colOff>609600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7" r:id="rId72" name="Spinner 69">
              <controlPr defaultSize="0" autoPict="0">
                <anchor moveWithCells="1" sizeWithCells="1">
                  <from>
                    <xdr:col>4</xdr:col>
                    <xdr:colOff>152400</xdr:colOff>
                    <xdr:row>38</xdr:row>
                    <xdr:rowOff>0</xdr:rowOff>
                  </from>
                  <to>
                    <xdr:col>4</xdr:col>
                    <xdr:colOff>276225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8" r:id="rId73" name="Spinner 70">
              <controlPr defaultSize="0" autoPict="0">
                <anchor moveWithCells="1" sizeWithCells="1">
                  <from>
                    <xdr:col>3</xdr:col>
                    <xdr:colOff>9525</xdr:colOff>
                    <xdr:row>37</xdr:row>
                    <xdr:rowOff>190500</xdr:rowOff>
                  </from>
                  <to>
                    <xdr:col>3</xdr:col>
                    <xdr:colOff>133350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9" r:id="rId74" name="Check Box 71">
              <controlPr defaultSize="0" autoFill="0" autoLine="0" autoPict="0">
                <anchor moveWithCells="1">
                  <from>
                    <xdr:col>9</xdr:col>
                    <xdr:colOff>295275</xdr:colOff>
                    <xdr:row>37</xdr:row>
                    <xdr:rowOff>0</xdr:rowOff>
                  </from>
                  <to>
                    <xdr:col>9</xdr:col>
                    <xdr:colOff>600075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0" r:id="rId75" name="Check Box 72">
              <controlPr defaultSize="0" autoFill="0" autoLine="0" autoPict="0">
                <anchor moveWithCells="1">
                  <from>
                    <xdr:col>9</xdr:col>
                    <xdr:colOff>295275</xdr:colOff>
                    <xdr:row>38</xdr:row>
                    <xdr:rowOff>0</xdr:rowOff>
                  </from>
                  <to>
                    <xdr:col>9</xdr:col>
                    <xdr:colOff>600075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1" r:id="rId76" name="Spinner 73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2" r:id="rId77" name="Drop Down 74">
              <controlPr defaultSize="0" autoLine="0" autoPict="0">
                <anchor moveWithCells="1">
                  <from>
                    <xdr:col>4</xdr:col>
                    <xdr:colOff>323850</xdr:colOff>
                    <xdr:row>38</xdr:row>
                    <xdr:rowOff>0</xdr:rowOff>
                  </from>
                  <to>
                    <xdr:col>5</xdr:col>
                    <xdr:colOff>609600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3" r:id="rId78" name="Drop Down 75">
              <controlPr defaultSize="0" autoLine="0" autoPict="0">
                <anchor moveWithCells="1">
                  <from>
                    <xdr:col>4</xdr:col>
                    <xdr:colOff>323850</xdr:colOff>
                    <xdr:row>39</xdr:row>
                    <xdr:rowOff>0</xdr:rowOff>
                  </from>
                  <to>
                    <xdr:col>5</xdr:col>
                    <xdr:colOff>609600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4" r:id="rId79" name="Check Box 76">
              <controlPr defaultSize="0" autoFill="0" autoLine="0" autoPict="0">
                <anchor moveWithCells="1">
                  <from>
                    <xdr:col>9</xdr:col>
                    <xdr:colOff>295275</xdr:colOff>
                    <xdr:row>38</xdr:row>
                    <xdr:rowOff>0</xdr:rowOff>
                  </from>
                  <to>
                    <xdr:col>9</xdr:col>
                    <xdr:colOff>600075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5" r:id="rId80" name="Check Box 77">
              <controlPr defaultSize="0" autoFill="0" autoLine="0" autoPict="0">
                <anchor moveWithCells="1">
                  <from>
                    <xdr:col>9</xdr:col>
                    <xdr:colOff>295275</xdr:colOff>
                    <xdr:row>39</xdr:row>
                    <xdr:rowOff>0</xdr:rowOff>
                  </from>
                  <to>
                    <xdr:col>9</xdr:col>
                    <xdr:colOff>600075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6" r:id="rId81" name="Spinner 78">
              <controlPr defaultSize="0" autoPict="0">
                <anchor moveWithCells="1" sizeWithCells="1">
                  <from>
                    <xdr:col>4</xdr:col>
                    <xdr:colOff>695325</xdr:colOff>
                    <xdr:row>47</xdr:row>
                    <xdr:rowOff>0</xdr:rowOff>
                  </from>
                  <to>
                    <xdr:col>4</xdr:col>
                    <xdr:colOff>819150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7" r:id="rId82" name="Drop Down 79">
              <controlPr defaultSize="0" autoLine="0" autoPict="0">
                <anchor moveWithCells="1">
                  <from>
                    <xdr:col>1</xdr:col>
                    <xdr:colOff>19050</xdr:colOff>
                    <xdr:row>59</xdr:row>
                    <xdr:rowOff>38100</xdr:rowOff>
                  </from>
                  <to>
                    <xdr:col>2</xdr:col>
                    <xdr:colOff>190500</xdr:colOff>
                    <xdr:row>59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8" r:id="rId83" name="Spinner 80">
              <controlPr defaultSize="0" autoPict="0">
                <anchor moveWithCells="1" sizeWithCells="1">
                  <from>
                    <xdr:col>7</xdr:col>
                    <xdr:colOff>685800</xdr:colOff>
                    <xdr:row>12</xdr:row>
                    <xdr:rowOff>9525</xdr:rowOff>
                  </from>
                  <to>
                    <xdr:col>7</xdr:col>
                    <xdr:colOff>809625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9" r:id="rId84" name="Spinner 81">
              <controlPr defaultSize="0" autoPict="0">
                <anchor moveWithCells="1" sizeWithCells="1">
                  <from>
                    <xdr:col>9</xdr:col>
                    <xdr:colOff>685800</xdr:colOff>
                    <xdr:row>12</xdr:row>
                    <xdr:rowOff>9525</xdr:rowOff>
                  </from>
                  <to>
                    <xdr:col>9</xdr:col>
                    <xdr:colOff>809625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0" r:id="rId85" name="Drop Down 82">
              <controlPr defaultSize="0" autoLine="0" autoPict="0">
                <anchor moveWithCells="1">
                  <from>
                    <xdr:col>8</xdr:col>
                    <xdr:colOff>47625</xdr:colOff>
                    <xdr:row>23</xdr:row>
                    <xdr:rowOff>180975</xdr:rowOff>
                  </from>
                  <to>
                    <xdr:col>9</xdr:col>
                    <xdr:colOff>590550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1" r:id="rId86" name="Drop Down 83">
              <controlPr defaultSize="0" autoLine="0" autoPict="0">
                <anchor moveWithCells="1">
                  <from>
                    <xdr:col>8</xdr:col>
                    <xdr:colOff>57150</xdr:colOff>
                    <xdr:row>25</xdr:row>
                    <xdr:rowOff>9525</xdr:rowOff>
                  </from>
                  <to>
                    <xdr:col>9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2" r:id="rId87" name="Pos">
              <controlPr defaultSize="0" autoLine="0" autoPict="0">
                <anchor moveWithCells="1">
                  <from>
                    <xdr:col>8</xdr:col>
                    <xdr:colOff>66675</xdr:colOff>
                    <xdr:row>20</xdr:row>
                    <xdr:rowOff>9525</xdr:rowOff>
                  </from>
                  <to>
                    <xdr:col>10</xdr:col>
                    <xdr:colOff>685800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3" r:id="rId88" name="Spinner 85">
              <controlPr defaultSize="0" autoPict="0">
                <anchor moveWithCells="1" sizeWithCells="1">
                  <from>
                    <xdr:col>4</xdr:col>
                    <xdr:colOff>685800</xdr:colOff>
                    <xdr:row>21</xdr:row>
                    <xdr:rowOff>9525</xdr:rowOff>
                  </from>
                  <to>
                    <xdr:col>4</xdr:col>
                    <xdr:colOff>809625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4" r:id="rId89" name="Spinner 86">
              <controlPr defaultSize="0" autoPict="0">
                <anchor moveWithCells="1" sizeWithCells="1">
                  <from>
                    <xdr:col>6</xdr:col>
                    <xdr:colOff>685800</xdr:colOff>
                    <xdr:row>21</xdr:row>
                    <xdr:rowOff>9525</xdr:rowOff>
                  </from>
                  <to>
                    <xdr:col>6</xdr:col>
                    <xdr:colOff>809625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5" r:id="rId90" name="Drop Down 87">
              <controlPr defaultSize="0" autoLine="0" autoPict="0">
                <anchor moveWithCells="1">
                  <from>
                    <xdr:col>8</xdr:col>
                    <xdr:colOff>47625</xdr:colOff>
                    <xdr:row>24</xdr:row>
                    <xdr:rowOff>180975</xdr:rowOff>
                  </from>
                  <to>
                    <xdr:col>9</xdr:col>
                    <xdr:colOff>590550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6" r:id="rId91" name="Drop Down 88">
              <controlPr defaultSize="0" autoLine="0" autoPict="0">
                <anchor moveWithCells="1">
                  <from>
                    <xdr:col>8</xdr:col>
                    <xdr:colOff>47625</xdr:colOff>
                    <xdr:row>25</xdr:row>
                    <xdr:rowOff>180975</xdr:rowOff>
                  </from>
                  <to>
                    <xdr:col>9</xdr:col>
                    <xdr:colOff>590550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7" r:id="rId92" name="Drop Down 89">
              <controlPr defaultSize="0" autoLine="0" autoPict="0" macro="[0]!VerwijderContInfuus1700_9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190500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8" r:id="rId93" name="Spinner 90">
              <controlPr defaultSize="0" autoPict="0">
                <anchor moveWithCells="1" sizeWithCells="1">
                  <from>
                    <xdr:col>4</xdr:col>
                    <xdr:colOff>152400</xdr:colOff>
                    <xdr:row>39</xdr:row>
                    <xdr:rowOff>0</xdr:rowOff>
                  </from>
                  <to>
                    <xdr:col>4</xdr:col>
                    <xdr:colOff>276225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9" r:id="rId94" name="Spinner 91">
              <controlPr defaultSize="0" autoPict="0">
                <anchor moveWithCells="1" sizeWithCells="1">
                  <from>
                    <xdr:col>3</xdr:col>
                    <xdr:colOff>9525</xdr:colOff>
                    <xdr:row>38</xdr:row>
                    <xdr:rowOff>190500</xdr:rowOff>
                  </from>
                  <to>
                    <xdr:col>3</xdr:col>
                    <xdr:colOff>133350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0" r:id="rId95" name="Drop Down 92">
              <controlPr defaultSize="0" autoLine="0" autoPict="0">
                <anchor moveWithCells="1">
                  <from>
                    <xdr:col>4</xdr:col>
                    <xdr:colOff>323850</xdr:colOff>
                    <xdr:row>39</xdr:row>
                    <xdr:rowOff>0</xdr:rowOff>
                  </from>
                  <to>
                    <xdr:col>5</xdr:col>
                    <xdr:colOff>609600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1" r:id="rId96" name="Drop Down 93">
              <controlPr defaultSize="0" autoLine="0" autoPict="0" macro="[0]!Vervolgkeuzelijst101_BijWijzigen">
                <anchor moveWithCells="1">
                  <from>
                    <xdr:col>4</xdr:col>
                    <xdr:colOff>323850</xdr:colOff>
                    <xdr:row>41</xdr:row>
                    <xdr:rowOff>0</xdr:rowOff>
                  </from>
                  <to>
                    <xdr:col>5</xdr:col>
                    <xdr:colOff>609600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2" r:id="rId97" name="Spinner 94">
              <controlPr defaultSize="0" autoPict="0">
                <anchor moveWithCells="1" sizeWithCells="1">
                  <from>
                    <xdr:col>7</xdr:col>
                    <xdr:colOff>19050</xdr:colOff>
                    <xdr:row>41</xdr:row>
                    <xdr:rowOff>9525</xdr:rowOff>
                  </from>
                  <to>
                    <xdr:col>7</xdr:col>
                    <xdr:colOff>142875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3" r:id="rId98" name="Check Box 95">
              <controlPr defaultSize="0" autoFill="0" autoLine="0" autoPict="0">
                <anchor moveWithCells="1">
                  <from>
                    <xdr:col>9</xdr:col>
                    <xdr:colOff>295275</xdr:colOff>
                    <xdr:row>41</xdr:row>
                    <xdr:rowOff>0</xdr:rowOff>
                  </from>
                  <to>
                    <xdr:col>9</xdr:col>
                    <xdr:colOff>600075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4" r:id="rId99" name="Drop Down 96">
              <controlPr defaultSize="0" autoLine="0" autoPict="0" macro="[0]!Vervolgkeuzelijst104_BijWijzigen">
                <anchor moveWithCells="1">
                  <from>
                    <xdr:col>4</xdr:col>
                    <xdr:colOff>323850</xdr:colOff>
                    <xdr:row>42</xdr:row>
                    <xdr:rowOff>0</xdr:rowOff>
                  </from>
                  <to>
                    <xdr:col>5</xdr:col>
                    <xdr:colOff>609600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5" r:id="rId100" name="Spinner 97">
              <controlPr defaultSize="0" autoPict="0">
                <anchor moveWithCells="1" sizeWithCells="1">
                  <from>
                    <xdr:col>7</xdr:col>
                    <xdr:colOff>19050</xdr:colOff>
                    <xdr:row>42</xdr:row>
                    <xdr:rowOff>9525</xdr:rowOff>
                  </from>
                  <to>
                    <xdr:col>7</xdr:col>
                    <xdr:colOff>142875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6" r:id="rId101" name="Check Box 98">
              <controlPr defaultSize="0" autoFill="0" autoLine="0" autoPict="0">
                <anchor moveWithCells="1">
                  <from>
                    <xdr:col>9</xdr:col>
                    <xdr:colOff>295275</xdr:colOff>
                    <xdr:row>42</xdr:row>
                    <xdr:rowOff>0</xdr:rowOff>
                  </from>
                  <to>
                    <xdr:col>9</xdr:col>
                    <xdr:colOff>600075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7" r:id="rId102" name="Check Box 99">
              <controlPr defaultSize="0" autoFill="0" autoLine="0" autoPict="0">
                <anchor moveWithCells="1">
                  <from>
                    <xdr:col>9</xdr:col>
                    <xdr:colOff>295275</xdr:colOff>
                    <xdr:row>42</xdr:row>
                    <xdr:rowOff>0</xdr:rowOff>
                  </from>
                  <to>
                    <xdr:col>9</xdr:col>
                    <xdr:colOff>600075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8" r:id="rId103" name="Drop Down 100">
              <controlPr defaultSize="0" autoLine="0" autoPict="0" macro="[0]!Vervolgkeuzelijst108_BijWijzigen">
                <anchor moveWithCells="1">
                  <from>
                    <xdr:col>4</xdr:col>
                    <xdr:colOff>323850</xdr:colOff>
                    <xdr:row>43</xdr:row>
                    <xdr:rowOff>0</xdr:rowOff>
                  </from>
                  <to>
                    <xdr:col>5</xdr:col>
                    <xdr:colOff>609600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9" r:id="rId104" name="Spinner 101">
              <controlPr defaultSize="0" autoPict="0">
                <anchor moveWithCells="1" sizeWithCells="1">
                  <from>
                    <xdr:col>7</xdr:col>
                    <xdr:colOff>19050</xdr:colOff>
                    <xdr:row>43</xdr:row>
                    <xdr:rowOff>9525</xdr:rowOff>
                  </from>
                  <to>
                    <xdr:col>7</xdr:col>
                    <xdr:colOff>142875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0" r:id="rId105" name="Check Box 102">
              <controlPr defaultSize="0" autoFill="0" autoLine="0" autoPict="0">
                <anchor moveWithCells="1">
                  <from>
                    <xdr:col>9</xdr:col>
                    <xdr:colOff>295275</xdr:colOff>
                    <xdr:row>43</xdr:row>
                    <xdr:rowOff>0</xdr:rowOff>
                  </from>
                  <to>
                    <xdr:col>9</xdr:col>
                    <xdr:colOff>600075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1" r:id="rId106" name="Drop Down 103">
              <controlPr defaultSize="0" autoLine="0" autoPict="0">
                <anchor moveWithCells="1">
                  <from>
                    <xdr:col>12</xdr:col>
                    <xdr:colOff>47625</xdr:colOff>
                    <xdr:row>23</xdr:row>
                    <xdr:rowOff>180975</xdr:rowOff>
                  </from>
                  <to>
                    <xdr:col>13</xdr:col>
                    <xdr:colOff>895350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2" r:id="rId107" name="Drop Down 104">
              <controlPr defaultSize="0" autoLine="0" autoPict="0">
                <anchor moveWithCells="1">
                  <from>
                    <xdr:col>12</xdr:col>
                    <xdr:colOff>57150</xdr:colOff>
                    <xdr:row>25</xdr:row>
                    <xdr:rowOff>9525</xdr:rowOff>
                  </from>
                  <to>
                    <xdr:col>13</xdr:col>
                    <xdr:colOff>904875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3" r:id="rId108" name="Drop Down 105">
              <controlPr defaultSize="0" autoLine="0" autoPict="0">
                <anchor moveWithCells="1">
                  <from>
                    <xdr:col>12</xdr:col>
                    <xdr:colOff>47625</xdr:colOff>
                    <xdr:row>24</xdr:row>
                    <xdr:rowOff>180975</xdr:rowOff>
                  </from>
                  <to>
                    <xdr:col>13</xdr:col>
                    <xdr:colOff>895350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4" r:id="rId109" name="Drop Down 106">
              <controlPr defaultSize="0" autoLine="0" autoPict="0">
                <anchor moveWithCells="1">
                  <from>
                    <xdr:col>12</xdr:col>
                    <xdr:colOff>47625</xdr:colOff>
                    <xdr:row>25</xdr:row>
                    <xdr:rowOff>180975</xdr:rowOff>
                  </from>
                  <to>
                    <xdr:col>13</xdr:col>
                    <xdr:colOff>895350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5" r:id="rId110" name="Drop Down 107">
              <controlPr defaultSize="0" autoLine="0" autoPict="0" macro="[0]!Voeding_BijWijzigen">
                <anchor moveWithCells="1">
                  <from>
                    <xdr:col>13</xdr:col>
                    <xdr:colOff>1114425</xdr:colOff>
                    <xdr:row>23</xdr:row>
                    <xdr:rowOff>0</xdr:rowOff>
                  </from>
                  <to>
                    <xdr:col>14</xdr:col>
                    <xdr:colOff>533400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6" r:id="rId111" name="Drop Down 108">
              <controlPr defaultSize="0" autoLine="0" autoPict="0">
                <anchor moveWithCells="1">
                  <from>
                    <xdr:col>13</xdr:col>
                    <xdr:colOff>1114425</xdr:colOff>
                    <xdr:row>23</xdr:row>
                    <xdr:rowOff>190500</xdr:rowOff>
                  </from>
                  <to>
                    <xdr:col>15</xdr:col>
                    <xdr:colOff>38100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7" r:id="rId112" name="Drop Down 109">
              <controlPr defaultSize="0" autoLine="0" autoPict="0">
                <anchor moveWithCells="1">
                  <from>
                    <xdr:col>13</xdr:col>
                    <xdr:colOff>1114425</xdr:colOff>
                    <xdr:row>24</xdr:row>
                    <xdr:rowOff>190500</xdr:rowOff>
                  </from>
                  <to>
                    <xdr:col>15</xdr:col>
                    <xdr:colOff>38100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8" r:id="rId113" name="Drop Down 110">
              <controlPr defaultSize="0" autoLine="0" autoPict="0">
                <anchor moveWithCells="1">
                  <from>
                    <xdr:col>13</xdr:col>
                    <xdr:colOff>1114425</xdr:colOff>
                    <xdr:row>25</xdr:row>
                    <xdr:rowOff>190500</xdr:rowOff>
                  </from>
                  <to>
                    <xdr:col>15</xdr:col>
                    <xdr:colOff>38100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9" r:id="rId114" name="Drop Down 111">
              <controlPr defaultSize="0" autoLine="0" autoPict="0">
                <anchor moveWithCells="1">
                  <from>
                    <xdr:col>8</xdr:col>
                    <xdr:colOff>47625</xdr:colOff>
                    <xdr:row>22</xdr:row>
                    <xdr:rowOff>180975</xdr:rowOff>
                  </from>
                  <to>
                    <xdr:col>9</xdr:col>
                    <xdr:colOff>590550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0" r:id="rId115" name="Drop Down 112">
              <controlPr defaultSize="0" autoLine="0" autoPict="0">
                <anchor moveWithCells="1">
                  <from>
                    <xdr:col>12</xdr:col>
                    <xdr:colOff>47625</xdr:colOff>
                    <xdr:row>22</xdr:row>
                    <xdr:rowOff>180975</xdr:rowOff>
                  </from>
                  <to>
                    <xdr:col>13</xdr:col>
                    <xdr:colOff>895350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1" r:id="rId116" name="Drop Down 113">
              <controlPr defaultSize="0" autoLine="0" autoPict="0">
                <anchor moveWithCells="1">
                  <from>
                    <xdr:col>13</xdr:col>
                    <xdr:colOff>1114425</xdr:colOff>
                    <xdr:row>22</xdr:row>
                    <xdr:rowOff>190500</xdr:rowOff>
                  </from>
                  <to>
                    <xdr:col>15</xdr:col>
                    <xdr:colOff>38100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2" r:id="rId117" name="Drop Down 11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66675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3" r:id="rId118" name="Drop Down 11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180975</xdr:rowOff>
                  </from>
                  <to>
                    <xdr:col>11</xdr:col>
                    <xdr:colOff>66675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4" r:id="rId119" name="Drop Down 11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180975</xdr:rowOff>
                  </from>
                  <to>
                    <xdr:col>11</xdr:col>
                    <xdr:colOff>66675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5" r:id="rId120" name="Drop Down 11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11</xdr:col>
                    <xdr:colOff>66675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6" r:id="rId121" name="Drop Down 11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180975</xdr:rowOff>
                  </from>
                  <to>
                    <xdr:col>11</xdr:col>
                    <xdr:colOff>66675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7" r:id="rId122" name="Check Box 119">
              <controlPr defaultSize="0" autoFill="0" autoLine="0" autoPict="0">
                <anchor moveWithCells="1">
                  <from>
                    <xdr:col>1</xdr:col>
                    <xdr:colOff>161925</xdr:colOff>
                    <xdr:row>25</xdr:row>
                    <xdr:rowOff>142875</xdr:rowOff>
                  </from>
                  <to>
                    <xdr:col>2</xdr:col>
                    <xdr:colOff>800100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9" r:id="rId123" name="Spinner 121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0" r:id="rId124" name="Spinner 122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1" r:id="rId125" name="Spinner 123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2" r:id="rId126" name="Spinner 124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3" r:id="rId127" name="Spinner 125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4" r:id="rId128" name="Spinner 126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5" r:id="rId129" name="Spinner 127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6" r:id="rId130" name="Spinner 128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7" r:id="rId131" name="Spinner 129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8" r:id="rId132" name="Spinner 130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9" r:id="rId133" name="Spinner 131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0" r:id="rId134" name="Spinner 132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1" r:id="rId135" name="Spinner 133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2" r:id="rId136" name="Spinner 134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3" r:id="rId137" name="Spinner 135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4" r:id="rId138" name="Spinner 136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5" r:id="rId139" name="Spinner 137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6" r:id="rId140" name="Spinner 138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7" r:id="rId141" name="Spinner 139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8" r:id="rId142" name="Spinner 140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9" r:id="rId143" name="Spinner 141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0" r:id="rId144" name="Spinner 142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1" r:id="rId145" name="Spinner 143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2" r:id="rId146" name="Drop Down 144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28575</xdr:colOff>
                    <xdr:row>47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A509254-AFA0-4600-BD2A-21CC4DA6AB73}">
            <xm:f>IF(NeoBer1700!B20&gt;1,IF(AND(H32&lt;&gt;"""",H32&gt;=INDEX(tbl_Neo_MedIV,NeoBer1700!B20,9)),TRUE,FALSE),FALSE)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E427B4DE-4C87-4D5B-B931-21CB871B65A0}">
            <xm:f>IF(AND(C32&lt;&gt;0,G32&lt;&gt;""),IF(AND(H32&gt;=INDEX(tbl_Neo_MedIV,NeoBer1700!$B20,7),H32&lt;=INDEX(tbl_Neo_MedIV,NeoBer1700!$B20,8)),TRUE,FALSE),TRUE)=FALSE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1700">
    <tabColor rgb="FF92D050"/>
  </sheetPr>
  <dimension ref="A1:X116"/>
  <sheetViews>
    <sheetView workbookViewId="0">
      <pane xSplit="1" ySplit="1" topLeftCell="B2" activePane="bottomRight" state="frozen"/>
      <selection activeCell="J26" sqref="J26"/>
      <selection pane="topRight" activeCell="J26" sqref="J26"/>
      <selection pane="bottomLeft" activeCell="J26" sqref="J26"/>
      <selection pane="bottomRight" activeCell="B87" sqref="B87"/>
    </sheetView>
  </sheetViews>
  <sheetFormatPr defaultColWidth="9.140625" defaultRowHeight="12.75" x14ac:dyDescent="0.2"/>
  <cols>
    <col min="1" max="1" width="40.140625" style="421" customWidth="1"/>
    <col min="2" max="3" width="13.85546875" style="421" customWidth="1"/>
    <col min="4" max="4" width="11.7109375" style="421" customWidth="1"/>
    <col min="5" max="5" width="10.7109375" style="421" customWidth="1"/>
    <col min="6" max="6" width="10" style="421" customWidth="1"/>
    <col min="7" max="7" width="10.7109375" style="421" bestFit="1" customWidth="1"/>
    <col min="8" max="8" width="12.42578125" style="421" bestFit="1" customWidth="1"/>
    <col min="9" max="11" width="9.140625" style="421"/>
    <col min="12" max="12" width="13.28515625" style="421" bestFit="1" customWidth="1"/>
    <col min="13" max="16384" width="9.140625" style="421"/>
  </cols>
  <sheetData>
    <row r="1" spans="1:24" x14ac:dyDescent="0.2">
      <c r="A1" s="360" t="s">
        <v>28</v>
      </c>
      <c r="E1" s="421" t="s">
        <v>194</v>
      </c>
      <c r="J1" s="421" t="s">
        <v>545</v>
      </c>
      <c r="K1" s="421" t="s">
        <v>323</v>
      </c>
      <c r="L1" s="421" t="s">
        <v>239</v>
      </c>
      <c r="M1" s="421" t="s">
        <v>240</v>
      </c>
      <c r="N1" s="421" t="s">
        <v>241</v>
      </c>
      <c r="O1" s="421" t="s">
        <v>242</v>
      </c>
      <c r="P1" s="421" t="s">
        <v>568</v>
      </c>
      <c r="Q1" s="421" t="s">
        <v>237</v>
      </c>
      <c r="R1" s="421" t="s">
        <v>569</v>
      </c>
      <c r="S1" s="421" t="s">
        <v>570</v>
      </c>
      <c r="T1" s="421" t="s">
        <v>571</v>
      </c>
      <c r="U1" s="421" t="s">
        <v>622</v>
      </c>
      <c r="V1" s="421" t="s">
        <v>580</v>
      </c>
      <c r="W1" s="421" t="s">
        <v>599</v>
      </c>
      <c r="X1" s="421" t="s">
        <v>650</v>
      </c>
    </row>
    <row r="2" spans="1:24" x14ac:dyDescent="0.2">
      <c r="A2" s="421" t="s">
        <v>535</v>
      </c>
      <c r="B2" s="421">
        <f>__1_Bed</f>
        <v>0</v>
      </c>
    </row>
    <row r="3" spans="1:24" x14ac:dyDescent="0.2">
      <c r="A3" s="421" t="s">
        <v>584</v>
      </c>
      <c r="B3" s="317">
        <f>__4_GebDatum</f>
        <v>1462</v>
      </c>
      <c r="C3" s="312">
        <v>0</v>
      </c>
      <c r="E3" s="421" t="s">
        <v>651</v>
      </c>
    </row>
    <row r="4" spans="1:24" x14ac:dyDescent="0.2">
      <c r="A4" s="421" t="s">
        <v>555</v>
      </c>
      <c r="B4" s="318">
        <f>_Pat_Gewicht/10</f>
        <v>0</v>
      </c>
      <c r="C4" s="175" t="s">
        <v>652</v>
      </c>
      <c r="D4" s="316">
        <v>30</v>
      </c>
    </row>
    <row r="5" spans="1:24" x14ac:dyDescent="0.2">
      <c r="A5" s="421" t="s">
        <v>316</v>
      </c>
      <c r="B5" s="317">
        <f>_Pat_OpnDatum</f>
        <v>1462</v>
      </c>
      <c r="C5" s="175" t="s">
        <v>653</v>
      </c>
      <c r="D5" s="316">
        <v>0</v>
      </c>
    </row>
    <row r="6" spans="1:24" x14ac:dyDescent="0.2">
      <c r="A6" s="360" t="s">
        <v>654</v>
      </c>
      <c r="B6" s="312">
        <f ca="1">TODAY()-B3+1+C3</f>
        <v>41287</v>
      </c>
      <c r="C6" s="421">
        <f ca="1">IF(B6&lt;7,B6,6)</f>
        <v>6</v>
      </c>
    </row>
    <row r="7" spans="1:24" x14ac:dyDescent="0.2">
      <c r="A7" s="421" t="s">
        <v>194</v>
      </c>
    </row>
    <row r="8" spans="1:24" x14ac:dyDescent="0.2">
      <c r="A8" s="421" t="s">
        <v>588</v>
      </c>
    </row>
    <row r="9" spans="1:24" x14ac:dyDescent="0.2">
      <c r="A9" s="421" t="s">
        <v>655</v>
      </c>
    </row>
    <row r="10" spans="1:24" x14ac:dyDescent="0.2">
      <c r="A10" s="421" t="s">
        <v>307</v>
      </c>
      <c r="D10" s="421">
        <v>0</v>
      </c>
    </row>
    <row r="11" spans="1:24" x14ac:dyDescent="0.2">
      <c r="A11" s="421" t="s">
        <v>591</v>
      </c>
      <c r="D11" s="421">
        <v>0</v>
      </c>
      <c r="L11" s="421">
        <v>2</v>
      </c>
      <c r="M11" s="421">
        <v>3</v>
      </c>
      <c r="N11" s="421">
        <v>4</v>
      </c>
      <c r="O11" s="421">
        <v>5</v>
      </c>
      <c r="P11" s="421">
        <v>6</v>
      </c>
      <c r="Q11" s="421">
        <v>7</v>
      </c>
      <c r="R11" s="421">
        <v>8</v>
      </c>
      <c r="S11" s="421">
        <v>9</v>
      </c>
      <c r="T11" s="421">
        <v>10</v>
      </c>
      <c r="U11" s="421">
        <v>11</v>
      </c>
      <c r="V11" s="421">
        <v>12</v>
      </c>
    </row>
    <row r="12" spans="1:24" x14ac:dyDescent="0.2">
      <c r="A12" s="421" t="s">
        <v>307</v>
      </c>
      <c r="D12" s="421">
        <v>0</v>
      </c>
    </row>
    <row r="13" spans="1:24" x14ac:dyDescent="0.2">
      <c r="A13" s="421" t="s">
        <v>591</v>
      </c>
      <c r="D13" s="421">
        <v>0</v>
      </c>
    </row>
    <row r="14" spans="1:24" x14ac:dyDescent="0.2">
      <c r="A14" s="421" t="s">
        <v>296</v>
      </c>
      <c r="D14" s="421">
        <v>1</v>
      </c>
      <c r="J14" s="421">
        <v>1</v>
      </c>
      <c r="K14" s="421">
        <f>IF(AND(Var_Neo_InfB_VochtExtra_01=2,Var_Neo_InfB_Voeding&gt;1),(D10*D11+D12*D13)/10,0)</f>
        <v>0</v>
      </c>
      <c r="L14" s="421">
        <f t="shared" ref="L14:V14" si="0">INDEX(tbl_Neo_Pos,$D$14,L11)*$K$14</f>
        <v>0</v>
      </c>
      <c r="M14" s="421">
        <f t="shared" si="0"/>
        <v>0</v>
      </c>
      <c r="N14" s="421">
        <f t="shared" si="0"/>
        <v>0</v>
      </c>
      <c r="O14" s="421">
        <f t="shared" si="0"/>
        <v>0</v>
      </c>
      <c r="P14" s="421">
        <f t="shared" si="0"/>
        <v>0</v>
      </c>
      <c r="Q14" s="421">
        <f t="shared" si="0"/>
        <v>0</v>
      </c>
      <c r="R14" s="421">
        <f t="shared" si="0"/>
        <v>0</v>
      </c>
      <c r="S14" s="421">
        <f t="shared" si="0"/>
        <v>0</v>
      </c>
      <c r="T14" s="421">
        <f t="shared" si="0"/>
        <v>0</v>
      </c>
      <c r="U14" s="421">
        <f t="shared" si="0"/>
        <v>0</v>
      </c>
      <c r="V14" s="421">
        <f t="shared" si="0"/>
        <v>0</v>
      </c>
    </row>
    <row r="15" spans="1:24" x14ac:dyDescent="0.2">
      <c r="A15" s="421" t="s">
        <v>590</v>
      </c>
      <c r="B15" s="421">
        <v>0</v>
      </c>
    </row>
    <row r="16" spans="1:24" x14ac:dyDescent="0.2">
      <c r="A16" s="421" t="s">
        <v>656</v>
      </c>
      <c r="B16" s="421">
        <f ca="1">IF(AND(D4&lt;37,(_Pat_Gewicht/10)&gt;=1),INDEX(NeoBerAdvies!B4:G4,1,NeoBer1700!C6),IF((_Pat_Gewicht/10)&lt;1,INDEX(NeoBerAdvies!B5:G5,1,NeoBer1700!C6),INDEX(NeoBerAdvies!B6:G6,1,NeoBer1700!C6)))+IF(B15=1,20,0)</f>
        <v>160</v>
      </c>
      <c r="C16" s="421">
        <f ca="1">ROUND(B16/5,0)*5+(D16-5000)</f>
        <v>160</v>
      </c>
      <c r="D16" s="421">
        <v>5000</v>
      </c>
    </row>
    <row r="17" spans="1:24" x14ac:dyDescent="0.2">
      <c r="A17" s="421" t="s">
        <v>657</v>
      </c>
      <c r="B17" s="421" t="b">
        <v>0</v>
      </c>
      <c r="C17" s="421">
        <f ca="1">ROUND(C16*(_Pat_Gewicht/10)-K14,0)</f>
        <v>0</v>
      </c>
    </row>
    <row r="18" spans="1:24" x14ac:dyDescent="0.2">
      <c r="A18" s="421" t="s">
        <v>764</v>
      </c>
      <c r="B18" s="421">
        <v>0</v>
      </c>
      <c r="J18" s="421" t="b">
        <v>0</v>
      </c>
      <c r="K18" s="421">
        <f>IF(J18,0,B18*2.4)</f>
        <v>0</v>
      </c>
      <c r="L18" s="421">
        <f>0.155*K18/2</f>
        <v>0</v>
      </c>
    </row>
    <row r="19" spans="1:24" x14ac:dyDescent="0.2">
      <c r="B19" s="421" t="s">
        <v>619</v>
      </c>
      <c r="C19" s="421" t="s">
        <v>658</v>
      </c>
      <c r="D19" s="421" t="s">
        <v>659</v>
      </c>
      <c r="E19" s="421" t="s">
        <v>159</v>
      </c>
      <c r="F19" s="421" t="s">
        <v>52</v>
      </c>
      <c r="G19" s="421" t="s">
        <v>660</v>
      </c>
      <c r="H19" s="421" t="s">
        <v>661</v>
      </c>
      <c r="I19" s="421" t="s">
        <v>621</v>
      </c>
    </row>
    <row r="20" spans="1:24" x14ac:dyDescent="0.2">
      <c r="A20" s="421" t="s">
        <v>662</v>
      </c>
      <c r="B20" s="421">
        <v>1</v>
      </c>
      <c r="C20" s="421">
        <v>0</v>
      </c>
      <c r="D20" s="421">
        <v>0</v>
      </c>
      <c r="E20" s="421">
        <v>1</v>
      </c>
      <c r="F20" s="421">
        <v>0</v>
      </c>
      <c r="G20" s="421">
        <f>IF(INDEX(tbl_Neo_MedIV,NeoBer1700!B20,5)=0,1,INDEX(tbl_Neo_MedIV,NeoBer1700!B20,5))</f>
        <v>1</v>
      </c>
      <c r="H20" s="421">
        <f t="shared" ref="H20:H28" si="1">IF(D20&gt;0,(F20*IF(X20*10&gt;=24,2.4,2.4)*((C20/10)/D20))/($B$4)/I20,0)</f>
        <v>0</v>
      </c>
      <c r="I20" s="421">
        <f>IF(NeoBer1700!G20&gt;1,INDEX(tbl_Neo_FaktorLijst,NeoBer1700!G20),1)</f>
        <v>1</v>
      </c>
      <c r="J20" s="421">
        <v>0</v>
      </c>
      <c r="K20" s="421">
        <f t="shared" ref="K20:K31" si="2">IF(J20,0,F20*2.4)</f>
        <v>0</v>
      </c>
      <c r="L20" s="421">
        <f t="shared" ref="L20:L31" si="3">IF($E20&gt;1,INDEX(tbl_Neo_Opl,$E20,3),0)*$K20</f>
        <v>0</v>
      </c>
      <c r="M20" s="421">
        <f t="shared" ref="M20:M31" si="4">IF($E20&gt;1,INDEX(tbl_Neo_Opl,$E20,4),0)*$K20</f>
        <v>0</v>
      </c>
      <c r="N20" s="421">
        <f t="shared" ref="N20:N31" si="5">IF($E20&gt;1,INDEX(tbl_Neo_Opl,$E20,6),0)*$K20</f>
        <v>0</v>
      </c>
      <c r="O20" s="421">
        <f t="shared" ref="O20:O31" si="6">IF($E20&gt;1,INDEX(tbl_Neo_Opl,$E20,7),0)*$K20</f>
        <v>0</v>
      </c>
      <c r="P20" s="421">
        <f t="shared" ref="P20:P31" si="7">IF($E20&gt;1,INDEX(tbl_Neo_Opl,$E20,8),0)*$K20</f>
        <v>0</v>
      </c>
      <c r="Q20" s="421">
        <f t="shared" ref="Q20:Q31" si="8">IF($E20&gt;1,INDEX(tbl_Neo_Opl,$E20,5),0)*$K20</f>
        <v>0</v>
      </c>
      <c r="R20" s="421">
        <f t="shared" ref="R20:R31" si="9">IF($E20&gt;1,INDEX(tbl_Neo_Opl,$E20,2),0)*$K20</f>
        <v>0</v>
      </c>
      <c r="W20" s="421">
        <f>ROUND(IF(X20*10&gt;1,X20*10,X20*600),0)</f>
        <v>0</v>
      </c>
      <c r="X20" s="421">
        <f t="shared" ref="X20:X31" si="10">IF(F20&gt;0,D20/F20,0)</f>
        <v>0</v>
      </c>
    </row>
    <row r="21" spans="1:24" x14ac:dyDescent="0.2">
      <c r="A21" s="421" t="s">
        <v>663</v>
      </c>
      <c r="B21" s="421">
        <v>1</v>
      </c>
      <c r="C21" s="421">
        <v>0</v>
      </c>
      <c r="D21" s="421">
        <v>0</v>
      </c>
      <c r="E21" s="421">
        <v>1</v>
      </c>
      <c r="F21" s="421">
        <v>0</v>
      </c>
      <c r="G21" s="516">
        <f>IF(INDEX(tbl_Neo_MedIV,NeoBer1700!B21,5)=0,1,INDEX(tbl_Neo_MedIV,NeoBer1700!B21,5))</f>
        <v>1</v>
      </c>
      <c r="H21" s="516">
        <f t="shared" si="1"/>
        <v>0</v>
      </c>
      <c r="I21" s="516">
        <f>IF(NeoBer1700!G21&gt;1,INDEX(tbl_Neo_FaktorLijst,NeoBer1700!G21),1)</f>
        <v>1</v>
      </c>
      <c r="J21" s="421">
        <v>0</v>
      </c>
      <c r="K21" s="421">
        <f t="shared" si="2"/>
        <v>0</v>
      </c>
      <c r="L21" s="421">
        <f t="shared" si="3"/>
        <v>0</v>
      </c>
      <c r="M21" s="421">
        <f t="shared" si="4"/>
        <v>0</v>
      </c>
      <c r="N21" s="421">
        <f t="shared" si="5"/>
        <v>0</v>
      </c>
      <c r="O21" s="421">
        <f t="shared" si="6"/>
        <v>0</v>
      </c>
      <c r="P21" s="421">
        <f t="shared" si="7"/>
        <v>0</v>
      </c>
      <c r="Q21" s="421">
        <f t="shared" si="8"/>
        <v>0</v>
      </c>
      <c r="R21" s="421">
        <f t="shared" si="9"/>
        <v>0</v>
      </c>
      <c r="W21" s="421">
        <f t="shared" ref="W21:W28" si="11">ROUND(IF(X21*10&gt;1,X21*10,X21*600),0)</f>
        <v>0</v>
      </c>
      <c r="X21" s="421">
        <f t="shared" si="10"/>
        <v>0</v>
      </c>
    </row>
    <row r="22" spans="1:24" x14ac:dyDescent="0.2">
      <c r="A22" s="421" t="s">
        <v>664</v>
      </c>
      <c r="B22" s="421">
        <v>1</v>
      </c>
      <c r="C22" s="421">
        <v>0</v>
      </c>
      <c r="D22" s="421">
        <v>0</v>
      </c>
      <c r="E22" s="421">
        <v>1</v>
      </c>
      <c r="F22" s="421">
        <v>0</v>
      </c>
      <c r="G22" s="516">
        <f>IF(INDEX(tbl_Neo_MedIV,NeoBer1700!B22,5)=0,1,INDEX(tbl_Neo_MedIV,NeoBer1700!B22,5))</f>
        <v>1</v>
      </c>
      <c r="H22" s="516">
        <f t="shared" si="1"/>
        <v>0</v>
      </c>
      <c r="I22" s="516">
        <f>IF(NeoBer1700!G22&gt;1,INDEX(tbl_Neo_FaktorLijst,NeoBer1700!G22),1)</f>
        <v>1</v>
      </c>
      <c r="J22" s="421">
        <v>0</v>
      </c>
      <c r="K22" s="421">
        <f t="shared" si="2"/>
        <v>0</v>
      </c>
      <c r="L22" s="421">
        <f t="shared" si="3"/>
        <v>0</v>
      </c>
      <c r="M22" s="421">
        <f t="shared" si="4"/>
        <v>0</v>
      </c>
      <c r="N22" s="421">
        <f t="shared" si="5"/>
        <v>0</v>
      </c>
      <c r="O22" s="421">
        <f t="shared" si="6"/>
        <v>0</v>
      </c>
      <c r="P22" s="421">
        <f t="shared" si="7"/>
        <v>0</v>
      </c>
      <c r="Q22" s="421">
        <f t="shared" si="8"/>
        <v>0</v>
      </c>
      <c r="R22" s="421">
        <f t="shared" si="9"/>
        <v>0</v>
      </c>
      <c r="W22" s="421">
        <f t="shared" si="11"/>
        <v>0</v>
      </c>
      <c r="X22" s="421">
        <f t="shared" si="10"/>
        <v>0</v>
      </c>
    </row>
    <row r="23" spans="1:24" x14ac:dyDescent="0.2">
      <c r="A23" s="421" t="s">
        <v>665</v>
      </c>
      <c r="B23" s="421">
        <v>1</v>
      </c>
      <c r="C23" s="421">
        <v>0</v>
      </c>
      <c r="D23" s="421">
        <v>0</v>
      </c>
      <c r="E23" s="421">
        <v>1</v>
      </c>
      <c r="F23" s="421">
        <v>0</v>
      </c>
      <c r="G23" s="516">
        <f>IF(INDEX(tbl_Neo_MedIV,NeoBer1700!B23,5)=0,1,INDEX(tbl_Neo_MedIV,NeoBer1700!B23,5))</f>
        <v>1</v>
      </c>
      <c r="H23" s="516">
        <f t="shared" si="1"/>
        <v>0</v>
      </c>
      <c r="I23" s="516">
        <f>IF(NeoBer1700!G23&gt;1,INDEX(tbl_Neo_FaktorLijst,NeoBer1700!G23),1)</f>
        <v>1</v>
      </c>
      <c r="J23" s="421">
        <v>0</v>
      </c>
      <c r="K23" s="421">
        <f t="shared" si="2"/>
        <v>0</v>
      </c>
      <c r="L23" s="421">
        <f t="shared" si="3"/>
        <v>0</v>
      </c>
      <c r="M23" s="421">
        <f t="shared" si="4"/>
        <v>0</v>
      </c>
      <c r="N23" s="421">
        <f t="shared" si="5"/>
        <v>0</v>
      </c>
      <c r="O23" s="421">
        <f t="shared" si="6"/>
        <v>0</v>
      </c>
      <c r="P23" s="421">
        <f t="shared" si="7"/>
        <v>0</v>
      </c>
      <c r="Q23" s="421">
        <f t="shared" si="8"/>
        <v>0</v>
      </c>
      <c r="R23" s="421">
        <f t="shared" si="9"/>
        <v>0</v>
      </c>
      <c r="W23" s="421">
        <f t="shared" si="11"/>
        <v>0</v>
      </c>
      <c r="X23" s="421">
        <f t="shared" si="10"/>
        <v>0</v>
      </c>
    </row>
    <row r="24" spans="1:24" x14ac:dyDescent="0.2">
      <c r="A24" s="421" t="s">
        <v>666</v>
      </c>
      <c r="B24" s="421">
        <v>1</v>
      </c>
      <c r="C24" s="421">
        <v>0</v>
      </c>
      <c r="D24" s="421">
        <v>0</v>
      </c>
      <c r="E24" s="421">
        <v>1</v>
      </c>
      <c r="F24" s="421">
        <v>0</v>
      </c>
      <c r="G24" s="516">
        <f>IF(INDEX(tbl_Neo_MedIV,NeoBer1700!B24,5)=0,1,INDEX(tbl_Neo_MedIV,NeoBer1700!B24,5))</f>
        <v>1</v>
      </c>
      <c r="H24" s="516">
        <f t="shared" si="1"/>
        <v>0</v>
      </c>
      <c r="I24" s="516">
        <f>IF(NeoBer1700!G24&gt;1,INDEX(tbl_Neo_FaktorLijst,NeoBer1700!G24),1)</f>
        <v>1</v>
      </c>
      <c r="J24" s="421">
        <v>0</v>
      </c>
      <c r="K24" s="421">
        <f t="shared" si="2"/>
        <v>0</v>
      </c>
      <c r="L24" s="421">
        <f t="shared" si="3"/>
        <v>0</v>
      </c>
      <c r="M24" s="421">
        <f t="shared" si="4"/>
        <v>0</v>
      </c>
      <c r="N24" s="421">
        <f t="shared" si="5"/>
        <v>0</v>
      </c>
      <c r="O24" s="421">
        <f t="shared" si="6"/>
        <v>0</v>
      </c>
      <c r="P24" s="421">
        <f t="shared" si="7"/>
        <v>0</v>
      </c>
      <c r="Q24" s="421">
        <f t="shared" si="8"/>
        <v>0</v>
      </c>
      <c r="R24" s="421">
        <f t="shared" si="9"/>
        <v>0</v>
      </c>
      <c r="W24" s="421">
        <f t="shared" si="11"/>
        <v>0</v>
      </c>
      <c r="X24" s="421">
        <f t="shared" si="10"/>
        <v>0</v>
      </c>
    </row>
    <row r="25" spans="1:24" x14ac:dyDescent="0.2">
      <c r="A25" s="421" t="s">
        <v>667</v>
      </c>
      <c r="B25" s="421">
        <v>1</v>
      </c>
      <c r="C25" s="421">
        <v>0</v>
      </c>
      <c r="D25" s="421">
        <v>0</v>
      </c>
      <c r="E25" s="421">
        <v>1</v>
      </c>
      <c r="F25" s="421">
        <v>0</v>
      </c>
      <c r="G25" s="516">
        <f>IF(INDEX(tbl_Neo_MedIV,NeoBer1700!B25,5)=0,1,INDEX(tbl_Neo_MedIV,NeoBer1700!B25,5))</f>
        <v>1</v>
      </c>
      <c r="H25" s="516">
        <f t="shared" si="1"/>
        <v>0</v>
      </c>
      <c r="I25" s="516">
        <f>IF(NeoBer1700!G25&gt;1,INDEX(tbl_Neo_FaktorLijst,NeoBer1700!G25),1)</f>
        <v>1</v>
      </c>
      <c r="J25" s="421">
        <v>0</v>
      </c>
      <c r="K25" s="421">
        <f t="shared" si="2"/>
        <v>0</v>
      </c>
      <c r="L25" s="421">
        <f t="shared" si="3"/>
        <v>0</v>
      </c>
      <c r="M25" s="421">
        <f t="shared" si="4"/>
        <v>0</v>
      </c>
      <c r="N25" s="421">
        <f t="shared" si="5"/>
        <v>0</v>
      </c>
      <c r="O25" s="421">
        <f t="shared" si="6"/>
        <v>0</v>
      </c>
      <c r="P25" s="421">
        <f t="shared" si="7"/>
        <v>0</v>
      </c>
      <c r="Q25" s="421">
        <f t="shared" si="8"/>
        <v>0</v>
      </c>
      <c r="R25" s="421">
        <f t="shared" si="9"/>
        <v>0</v>
      </c>
      <c r="W25" s="421">
        <f t="shared" si="11"/>
        <v>0</v>
      </c>
      <c r="X25" s="421">
        <f t="shared" si="10"/>
        <v>0</v>
      </c>
    </row>
    <row r="26" spans="1:24" x14ac:dyDescent="0.2">
      <c r="A26" s="421" t="s">
        <v>668</v>
      </c>
      <c r="B26" s="421">
        <v>1</v>
      </c>
      <c r="C26" s="421">
        <v>0</v>
      </c>
      <c r="D26" s="421">
        <v>0</v>
      </c>
      <c r="E26" s="421">
        <v>1</v>
      </c>
      <c r="F26" s="421">
        <v>0</v>
      </c>
      <c r="G26" s="516">
        <f>IF(INDEX(tbl_Neo_MedIV,NeoBer1700!B26,5)=0,1,INDEX(tbl_Neo_MedIV,NeoBer1700!B26,5))</f>
        <v>1</v>
      </c>
      <c r="H26" s="516">
        <f t="shared" si="1"/>
        <v>0</v>
      </c>
      <c r="I26" s="516">
        <f>IF(NeoBer1700!G26&gt;1,INDEX(tbl_Neo_FaktorLijst,NeoBer1700!G26),1)</f>
        <v>1</v>
      </c>
      <c r="J26" s="421">
        <v>0</v>
      </c>
      <c r="K26" s="421">
        <f t="shared" si="2"/>
        <v>0</v>
      </c>
      <c r="L26" s="421">
        <f t="shared" si="3"/>
        <v>0</v>
      </c>
      <c r="M26" s="421">
        <f t="shared" si="4"/>
        <v>0</v>
      </c>
      <c r="N26" s="421">
        <f t="shared" si="5"/>
        <v>0</v>
      </c>
      <c r="O26" s="421">
        <f t="shared" si="6"/>
        <v>0</v>
      </c>
      <c r="P26" s="421">
        <f t="shared" si="7"/>
        <v>0</v>
      </c>
      <c r="Q26" s="421">
        <f t="shared" si="8"/>
        <v>0</v>
      </c>
      <c r="R26" s="421">
        <f t="shared" si="9"/>
        <v>0</v>
      </c>
      <c r="W26" s="421">
        <f t="shared" si="11"/>
        <v>0</v>
      </c>
      <c r="X26" s="421">
        <f t="shared" si="10"/>
        <v>0</v>
      </c>
    </row>
    <row r="27" spans="1:24" x14ac:dyDescent="0.2">
      <c r="A27" s="421" t="s">
        <v>669</v>
      </c>
      <c r="B27" s="421">
        <v>1</v>
      </c>
      <c r="C27" s="421">
        <v>0</v>
      </c>
      <c r="D27" s="421">
        <v>0</v>
      </c>
      <c r="E27" s="421">
        <v>1</v>
      </c>
      <c r="F27" s="421">
        <v>0</v>
      </c>
      <c r="G27" s="516">
        <f>IF(INDEX(tbl_Neo_MedIV,NeoBer1700!B27,5)=0,1,INDEX(tbl_Neo_MedIV,NeoBer1700!B27,5))</f>
        <v>1</v>
      </c>
      <c r="H27" s="516">
        <f t="shared" si="1"/>
        <v>0</v>
      </c>
      <c r="I27" s="516">
        <f>IF(NeoBer1700!G27&gt;1,INDEX(tbl_Neo_FaktorLijst,NeoBer1700!G27),1)</f>
        <v>1</v>
      </c>
      <c r="J27" s="421">
        <v>0</v>
      </c>
      <c r="K27" s="421">
        <f t="shared" si="2"/>
        <v>0</v>
      </c>
      <c r="L27" s="421">
        <f t="shared" si="3"/>
        <v>0</v>
      </c>
      <c r="M27" s="421">
        <f t="shared" si="4"/>
        <v>0</v>
      </c>
      <c r="N27" s="421">
        <f t="shared" si="5"/>
        <v>0</v>
      </c>
      <c r="O27" s="421">
        <f t="shared" si="6"/>
        <v>0</v>
      </c>
      <c r="P27" s="421">
        <f t="shared" si="7"/>
        <v>0</v>
      </c>
      <c r="Q27" s="421">
        <f t="shared" si="8"/>
        <v>0</v>
      </c>
      <c r="R27" s="421">
        <f t="shared" si="9"/>
        <v>0</v>
      </c>
      <c r="W27" s="421">
        <f t="shared" si="11"/>
        <v>0</v>
      </c>
      <c r="X27" s="421">
        <f t="shared" si="10"/>
        <v>0</v>
      </c>
    </row>
    <row r="28" spans="1:24" x14ac:dyDescent="0.2">
      <c r="A28" s="421" t="s">
        <v>670</v>
      </c>
      <c r="B28" s="421">
        <v>1</v>
      </c>
      <c r="C28" s="421">
        <v>0</v>
      </c>
      <c r="D28" s="421">
        <v>0</v>
      </c>
      <c r="E28" s="421">
        <v>1</v>
      </c>
      <c r="F28" s="421">
        <v>0</v>
      </c>
      <c r="G28" s="516">
        <f>IF(INDEX(tbl_Neo_MedIV,NeoBer1700!B28,5)=0,1,INDEX(tbl_Neo_MedIV,NeoBer1700!B28,5))</f>
        <v>1</v>
      </c>
      <c r="H28" s="516">
        <f t="shared" si="1"/>
        <v>0</v>
      </c>
      <c r="I28" s="516">
        <f>IF(NeoBer1700!G28&gt;1,INDEX(tbl_Neo_FaktorLijst,NeoBer1700!G28),1)</f>
        <v>1</v>
      </c>
      <c r="J28" s="421">
        <v>0</v>
      </c>
      <c r="K28" s="421">
        <f t="shared" si="2"/>
        <v>0</v>
      </c>
      <c r="L28" s="421">
        <f t="shared" si="3"/>
        <v>0</v>
      </c>
      <c r="M28" s="421">
        <f t="shared" si="4"/>
        <v>0</v>
      </c>
      <c r="N28" s="421">
        <f t="shared" si="5"/>
        <v>0</v>
      </c>
      <c r="O28" s="421">
        <f t="shared" si="6"/>
        <v>0</v>
      </c>
      <c r="P28" s="421">
        <f t="shared" si="7"/>
        <v>0</v>
      </c>
      <c r="Q28" s="421">
        <f t="shared" si="8"/>
        <v>0</v>
      </c>
      <c r="R28" s="421">
        <f t="shared" si="9"/>
        <v>0</v>
      </c>
      <c r="W28" s="421">
        <f t="shared" si="11"/>
        <v>0</v>
      </c>
      <c r="X28" s="421">
        <f t="shared" si="10"/>
        <v>0</v>
      </c>
    </row>
    <row r="29" spans="1:24" x14ac:dyDescent="0.2">
      <c r="A29" s="421" t="s">
        <v>600</v>
      </c>
      <c r="E29" s="421">
        <v>1</v>
      </c>
      <c r="F29" s="421">
        <v>0</v>
      </c>
      <c r="J29" s="421" t="b">
        <v>0</v>
      </c>
      <c r="K29" s="421">
        <f t="shared" si="2"/>
        <v>0</v>
      </c>
      <c r="L29" s="421">
        <f t="shared" si="3"/>
        <v>0</v>
      </c>
      <c r="M29" s="421">
        <f t="shared" si="4"/>
        <v>0</v>
      </c>
      <c r="N29" s="421">
        <f t="shared" si="5"/>
        <v>0</v>
      </c>
      <c r="O29" s="421">
        <f t="shared" si="6"/>
        <v>0</v>
      </c>
      <c r="P29" s="421">
        <f t="shared" si="7"/>
        <v>0</v>
      </c>
      <c r="Q29" s="421">
        <f t="shared" si="8"/>
        <v>0</v>
      </c>
      <c r="R29" s="421">
        <f t="shared" si="9"/>
        <v>0</v>
      </c>
      <c r="W29" s="421">
        <f>ROUND(IF(X29*10&gt;1,X29*10,X29*600),0)</f>
        <v>0</v>
      </c>
      <c r="X29" s="421">
        <f t="shared" si="10"/>
        <v>0</v>
      </c>
    </row>
    <row r="30" spans="1:24" x14ac:dyDescent="0.2">
      <c r="A30" s="421" t="s">
        <v>601</v>
      </c>
      <c r="E30" s="421">
        <v>1</v>
      </c>
      <c r="F30" s="421">
        <v>0</v>
      </c>
      <c r="J30" s="421" t="b">
        <v>0</v>
      </c>
      <c r="K30" s="421">
        <f t="shared" si="2"/>
        <v>0</v>
      </c>
      <c r="L30" s="421">
        <f t="shared" si="3"/>
        <v>0</v>
      </c>
      <c r="M30" s="421">
        <f t="shared" si="4"/>
        <v>0</v>
      </c>
      <c r="N30" s="421">
        <f t="shared" si="5"/>
        <v>0</v>
      </c>
      <c r="O30" s="421">
        <f t="shared" si="6"/>
        <v>0</v>
      </c>
      <c r="P30" s="421">
        <f t="shared" si="7"/>
        <v>0</v>
      </c>
      <c r="Q30" s="421">
        <f t="shared" si="8"/>
        <v>0</v>
      </c>
      <c r="R30" s="421">
        <f t="shared" si="9"/>
        <v>0</v>
      </c>
      <c r="W30" s="421">
        <f>ROUND(IF(X30*10&gt;1,X30*10,X30*600),0)</f>
        <v>0</v>
      </c>
      <c r="X30" s="421">
        <f t="shared" si="10"/>
        <v>0</v>
      </c>
    </row>
    <row r="31" spans="1:24" x14ac:dyDescent="0.2">
      <c r="A31" s="421" t="s">
        <v>602</v>
      </c>
      <c r="E31" s="421">
        <v>1</v>
      </c>
      <c r="F31" s="421">
        <v>0</v>
      </c>
      <c r="J31" s="421" t="b">
        <v>0</v>
      </c>
      <c r="K31" s="421">
        <f t="shared" si="2"/>
        <v>0</v>
      </c>
      <c r="L31" s="421">
        <f t="shared" si="3"/>
        <v>0</v>
      </c>
      <c r="M31" s="421">
        <f t="shared" si="4"/>
        <v>0</v>
      </c>
      <c r="N31" s="421">
        <f t="shared" si="5"/>
        <v>0</v>
      </c>
      <c r="O31" s="421">
        <f t="shared" si="6"/>
        <v>0</v>
      </c>
      <c r="P31" s="421">
        <f t="shared" si="7"/>
        <v>0</v>
      </c>
      <c r="Q31" s="421">
        <f t="shared" si="8"/>
        <v>0</v>
      </c>
      <c r="R31" s="421">
        <f t="shared" si="9"/>
        <v>0</v>
      </c>
      <c r="W31" s="421">
        <f>ROUND(IF(X31*10&gt;1,X31*10,X31*600),0)</f>
        <v>0</v>
      </c>
      <c r="X31" s="421">
        <f t="shared" si="10"/>
        <v>0</v>
      </c>
    </row>
    <row r="32" spans="1:24" x14ac:dyDescent="0.2">
      <c r="A32" s="421" t="s">
        <v>1150</v>
      </c>
    </row>
    <row r="33" spans="1:22" x14ac:dyDescent="0.2">
      <c r="A33" s="421" t="s">
        <v>1151</v>
      </c>
    </row>
    <row r="34" spans="1:22" x14ac:dyDescent="0.2">
      <c r="B34" s="421" t="s">
        <v>671</v>
      </c>
      <c r="C34" s="421" t="s">
        <v>672</v>
      </c>
      <c r="D34" s="421" t="s">
        <v>673</v>
      </c>
      <c r="F34" s="516" t="s">
        <v>1164</v>
      </c>
    </row>
    <row r="35" spans="1:22" x14ac:dyDescent="0.2">
      <c r="A35" s="516" t="e">
        <f>INDEX(tbl_Neo_IntralipidSmof,_Neo_1700_IntralipidSmof)</f>
        <v>#VALUE!</v>
      </c>
      <c r="B35" s="312">
        <f ca="1">ROUND((_Pat_Gewicht/10)*INDEX(NeoBerAdvies!$B$9:$G$16,8,NeoBer1700!$C$6),0)</f>
        <v>0</v>
      </c>
      <c r="C35" s="421">
        <f ca="1">ROUND(IF(AND(B17,B35+(D35-5000)&gt;0),B35+(D35-5000),0),0)</f>
        <v>0</v>
      </c>
      <c r="D35" s="421">
        <v>5000</v>
      </c>
      <c r="F35" s="516">
        <v>0</v>
      </c>
      <c r="K35" s="421">
        <f ca="1">C35</f>
        <v>0</v>
      </c>
      <c r="S35" s="421">
        <f ca="1">0.2*K35*10/12</f>
        <v>0</v>
      </c>
      <c r="V35" s="421">
        <f ca="1">40*C35*2/12</f>
        <v>0</v>
      </c>
    </row>
    <row r="36" spans="1:22" x14ac:dyDescent="0.2">
      <c r="A36" s="421" t="s">
        <v>604</v>
      </c>
      <c r="B36" s="312"/>
      <c r="D36" s="421">
        <v>1</v>
      </c>
    </row>
    <row r="37" spans="1:22" x14ac:dyDescent="0.2">
      <c r="A37" s="421" t="s">
        <v>347</v>
      </c>
      <c r="B37" s="312">
        <f ca="1">ROUND((_Pat_Gewicht/10)*INDEX(NeoBerAdvies!$B$9:$G$16,2,NeoBer1700!$C$6),0)</f>
        <v>0</v>
      </c>
      <c r="C37" s="421">
        <f ca="1">IF(AND($B$17,B37+(D37-5000)/10&gt;0),ROUND(B37+(D37-5000)/10,1),0)</f>
        <v>0</v>
      </c>
      <c r="D37" s="421">
        <v>5000</v>
      </c>
      <c r="K37" s="421">
        <f ca="1">IF(OR($D$36=1,$D$36=3),C37,0)</f>
        <v>0</v>
      </c>
      <c r="L37" s="421">
        <f ca="1">K37*0.5</f>
        <v>0</v>
      </c>
      <c r="U37" s="421">
        <f ca="1">K37*0.5</f>
        <v>0</v>
      </c>
    </row>
    <row r="38" spans="1:22" x14ac:dyDescent="0.2">
      <c r="A38" s="421" t="s">
        <v>605</v>
      </c>
      <c r="B38" s="312">
        <f ca="1">ROUND((_Pat_Gewicht/10)*INDEX(NeoBerAdvies!$B$9:$G$16,3,NeoBer1700!$C$6),0)</f>
        <v>0</v>
      </c>
      <c r="C38" s="421">
        <f ca="1">IF(AND($B$17,B38+(D38-5000)/10&gt;0),ROUND(B38+(D38-5000)/10,1),0)</f>
        <v>0</v>
      </c>
      <c r="D38" s="421">
        <v>5000</v>
      </c>
      <c r="K38" s="421">
        <f ca="1">IF(OR($D$36=1,$D$36=3),C38,0)</f>
        <v>0</v>
      </c>
      <c r="M38" s="421">
        <f ca="1">K38</f>
        <v>0</v>
      </c>
    </row>
    <row r="39" spans="1:22" x14ac:dyDescent="0.2">
      <c r="A39" s="421" t="s">
        <v>606</v>
      </c>
      <c r="B39" s="312">
        <f ca="1">ROUND((_Pat_Gewicht/10)*INDEX(NeoBerAdvies!$B$9:$G$16,4,NeoBer1700!$C$6),0)</f>
        <v>0</v>
      </c>
      <c r="C39" s="421">
        <f ca="1">IF(AND($B$17,B39+(D39-5000)/10&gt;0),ROUND(B39+(D39-5000)/10,1),0)</f>
        <v>0</v>
      </c>
      <c r="D39" s="421">
        <v>5000</v>
      </c>
      <c r="K39" s="421">
        <f ca="1">IF($D$36=1,C39,0)</f>
        <v>0</v>
      </c>
      <c r="N39" s="421">
        <f ca="1">K39*0.225</f>
        <v>0</v>
      </c>
      <c r="U39" s="421">
        <f ca="1">K39*0.225*2</f>
        <v>0</v>
      </c>
    </row>
    <row r="40" spans="1:22" x14ac:dyDescent="0.2">
      <c r="A40" s="421" t="s">
        <v>607</v>
      </c>
      <c r="B40" s="312">
        <f ca="1">ROUND((_Pat_Gewicht/10)*INDEX(NeoBerAdvies!$B$9:$G$16,5,NeoBer1700!$C$6),1)</f>
        <v>0</v>
      </c>
      <c r="C40" s="421">
        <f ca="1">IF(AND($B$17,B40+(D40-5000)/10&gt;0),ROUND(B40+(D40-5000)/10,1),0)</f>
        <v>0</v>
      </c>
      <c r="D40" s="421">
        <v>5000</v>
      </c>
      <c r="K40" s="421">
        <f ca="1">IF($D$36=1,C40,0)</f>
        <v>0</v>
      </c>
      <c r="O40" s="421">
        <f ca="1">K40*0.5</f>
        <v>0</v>
      </c>
      <c r="U40" s="421">
        <f ca="1">K40*0.5*2</f>
        <v>0</v>
      </c>
    </row>
    <row r="41" spans="1:22" x14ac:dyDescent="0.2">
      <c r="A41" s="421" t="s">
        <v>210</v>
      </c>
      <c r="B41" s="312">
        <f ca="1">ROUND((_Pat_Gewicht/10)*INDEX(NeoBerAdvies!$B$9:$G$16,6,NeoBer1700!$C$6),1)</f>
        <v>0</v>
      </c>
      <c r="C41" s="421">
        <f ca="1">IF(AND($B$17,B41+(D41-5000)/10&gt;0),ROUND(B41+(D41-5000)/10,1),0)</f>
        <v>0</v>
      </c>
      <c r="D41" s="421">
        <v>5000</v>
      </c>
      <c r="K41" s="421">
        <f ca="1">IF($D$36=1,C41,0)</f>
        <v>0</v>
      </c>
      <c r="V41" s="421">
        <f ca="1">40*C41</f>
        <v>0</v>
      </c>
    </row>
    <row r="42" spans="1:22" x14ac:dyDescent="0.2">
      <c r="A42" s="421" t="s">
        <v>562</v>
      </c>
      <c r="B42" s="312">
        <f ca="1">ROUND((_Pat_Gewicht/10)*INDEX(NeoBerAdvies!$B$9:$G$16,7,NeoBer1700!$C$6),0)</f>
        <v>0</v>
      </c>
      <c r="C42" s="421">
        <f ca="1">IF(AND($B$17,B42+(D42-5000)&gt;0),ROUND(B42+(D42-5000),0),0)</f>
        <v>0</v>
      </c>
      <c r="D42" s="421">
        <v>5000</v>
      </c>
      <c r="K42" s="421">
        <f ca="1">IF($D$36=1,C42,0)</f>
        <v>0</v>
      </c>
      <c r="Q42" s="421">
        <f ca="1">0.1*K42</f>
        <v>0</v>
      </c>
    </row>
    <row r="43" spans="1:22" x14ac:dyDescent="0.2">
      <c r="A43" s="421" t="s">
        <v>563</v>
      </c>
      <c r="B43" s="312">
        <f ca="1">ROUND((_Pat_Gewicht/10)*INDEX(NeoBerAdvies!$B$9:$G$16,1,NeoBer1700!$C$6),1)</f>
        <v>0</v>
      </c>
      <c r="C43" s="421">
        <f ca="1">ROUND(IF(AND($B$17,B43+(D43-5000)&gt;0),B43+(D43-5000),0),0)</f>
        <v>0</v>
      </c>
      <c r="D43" s="421">
        <v>5000</v>
      </c>
      <c r="K43" s="421">
        <f>IF(D36=2,C43,0)</f>
        <v>0</v>
      </c>
      <c r="L43" s="421">
        <f>INDEX(tbl_Neo_TpnNICU,2,L11)*$K$43</f>
        <v>0</v>
      </c>
      <c r="M43" s="421">
        <f t="shared" ref="M43:T43" si="12">INDEX(tbl_Neo_TpnNICU,2,M11)*$K$43</f>
        <v>0</v>
      </c>
      <c r="N43" s="421">
        <f t="shared" si="12"/>
        <v>0</v>
      </c>
      <c r="O43" s="421">
        <f t="shared" si="12"/>
        <v>0</v>
      </c>
      <c r="P43" s="421">
        <f t="shared" si="12"/>
        <v>0</v>
      </c>
      <c r="Q43" s="421">
        <f t="shared" si="12"/>
        <v>0</v>
      </c>
      <c r="R43" s="421">
        <f t="shared" si="12"/>
        <v>0</v>
      </c>
      <c r="S43" s="421">
        <f t="shared" si="12"/>
        <v>0</v>
      </c>
      <c r="T43" s="421">
        <f t="shared" si="12"/>
        <v>0</v>
      </c>
    </row>
    <row r="44" spans="1:22" x14ac:dyDescent="0.2">
      <c r="A44" s="421" t="s">
        <v>345</v>
      </c>
      <c r="B44" s="312">
        <f ca="1">ROUND((_Pat_Gewicht/10)*INDEX(NeoBerAdvies!$B$9:$G$16,1,NeoBer1700!$C$6),1)</f>
        <v>0</v>
      </c>
      <c r="C44" s="421">
        <f ca="1">ROUND(IF(AND($B$17,B44+(D44-5000)&gt;0),B44+(D44-5000),0),0)</f>
        <v>0</v>
      </c>
      <c r="D44" s="421">
        <v>5000</v>
      </c>
      <c r="K44" s="421">
        <f>IF(D36=3,C44,0)</f>
        <v>0</v>
      </c>
      <c r="L44" s="421">
        <f>INDEX(tbl_Neo_TpnNICU,1,L11)*$K$44</f>
        <v>0</v>
      </c>
      <c r="M44" s="421">
        <f t="shared" ref="M44:T44" si="13">INDEX(tbl_Neo_TpnNICU,1,M11)*$K$44</f>
        <v>0</v>
      </c>
      <c r="N44" s="421">
        <f t="shared" si="13"/>
        <v>0</v>
      </c>
      <c r="O44" s="421">
        <f t="shared" si="13"/>
        <v>0</v>
      </c>
      <c r="P44" s="421">
        <f t="shared" si="13"/>
        <v>0</v>
      </c>
      <c r="Q44" s="421">
        <f t="shared" si="13"/>
        <v>0</v>
      </c>
      <c r="R44" s="421">
        <f t="shared" si="13"/>
        <v>0</v>
      </c>
      <c r="S44" s="421">
        <f t="shared" si="13"/>
        <v>0</v>
      </c>
      <c r="T44" s="421">
        <f t="shared" si="13"/>
        <v>0</v>
      </c>
    </row>
    <row r="45" spans="1:22" x14ac:dyDescent="0.2">
      <c r="A45" s="421" t="s">
        <v>674</v>
      </c>
      <c r="D45" s="421">
        <v>0</v>
      </c>
      <c r="K45" s="421">
        <f>IF(B17,ROUND(C17-SUM(K18:K44),1),0)</f>
        <v>0</v>
      </c>
      <c r="R45" s="421">
        <f>INDEX(tbl_Neo_Opl,D45+1,2)*K45</f>
        <v>0</v>
      </c>
    </row>
    <row r="47" spans="1:22" x14ac:dyDescent="0.2">
      <c r="A47" s="421" t="s">
        <v>118</v>
      </c>
      <c r="K47" s="421">
        <f ca="1">K49+K50</f>
        <v>0</v>
      </c>
      <c r="L47" s="421">
        <f t="shared" ref="L47:V47" ca="1" si="14">L49+L50</f>
        <v>0</v>
      </c>
      <c r="M47" s="421">
        <f t="shared" ca="1" si="14"/>
        <v>0</v>
      </c>
      <c r="N47" s="421">
        <f t="shared" ca="1" si="14"/>
        <v>0</v>
      </c>
      <c r="O47" s="421">
        <f t="shared" ca="1" si="14"/>
        <v>0</v>
      </c>
      <c r="P47" s="421">
        <f t="shared" si="14"/>
        <v>0</v>
      </c>
      <c r="Q47" s="421">
        <f t="shared" ca="1" si="14"/>
        <v>0</v>
      </c>
      <c r="R47" s="421">
        <f t="shared" si="14"/>
        <v>0</v>
      </c>
      <c r="S47" s="421">
        <f t="shared" ca="1" si="14"/>
        <v>0</v>
      </c>
      <c r="T47" s="421">
        <f t="shared" ca="1" si="14"/>
        <v>0</v>
      </c>
      <c r="U47" s="421">
        <f t="shared" ca="1" si="14"/>
        <v>0</v>
      </c>
      <c r="V47" s="421">
        <f t="shared" ca="1" si="14"/>
        <v>0</v>
      </c>
    </row>
    <row r="49" spans="1:22" x14ac:dyDescent="0.2">
      <c r="A49" s="421" t="s">
        <v>213</v>
      </c>
      <c r="K49" s="421">
        <f>K14</f>
        <v>0</v>
      </c>
      <c r="L49" s="421">
        <f t="shared" ref="L49:V49" si="15">L14+IF(INDEX(tbl_Neo_LijstVoeding,Var_Neo_InfB_Voeding,14)="MM",L57,L62)</f>
        <v>0</v>
      </c>
      <c r="M49" s="421">
        <f t="shared" si="15"/>
        <v>0</v>
      </c>
      <c r="N49" s="421">
        <f t="shared" si="15"/>
        <v>0</v>
      </c>
      <c r="O49" s="421">
        <f t="shared" si="15"/>
        <v>0</v>
      </c>
      <c r="P49" s="421">
        <f t="shared" si="15"/>
        <v>0</v>
      </c>
      <c r="Q49" s="421">
        <f t="shared" si="15"/>
        <v>0</v>
      </c>
      <c r="R49" s="421">
        <f t="shared" si="15"/>
        <v>0</v>
      </c>
      <c r="S49" s="421">
        <f t="shared" si="15"/>
        <v>0</v>
      </c>
      <c r="T49" s="421">
        <f t="shared" si="15"/>
        <v>0</v>
      </c>
      <c r="U49" s="421">
        <f t="shared" si="15"/>
        <v>0</v>
      </c>
      <c r="V49" s="421">
        <f t="shared" si="15"/>
        <v>0</v>
      </c>
    </row>
    <row r="50" spans="1:22" x14ac:dyDescent="0.2">
      <c r="A50" s="421" t="s">
        <v>211</v>
      </c>
      <c r="K50" s="421">
        <f ca="1">SUM(K18:K45)</f>
        <v>0</v>
      </c>
      <c r="L50" s="421">
        <f t="shared" ref="L50:V50" ca="1" si="16">SUM(L18:L45)</f>
        <v>0</v>
      </c>
      <c r="M50" s="421">
        <f t="shared" ca="1" si="16"/>
        <v>0</v>
      </c>
      <c r="N50" s="421">
        <f t="shared" ca="1" si="16"/>
        <v>0</v>
      </c>
      <c r="O50" s="421">
        <f t="shared" ca="1" si="16"/>
        <v>0</v>
      </c>
      <c r="P50" s="421">
        <f t="shared" si="16"/>
        <v>0</v>
      </c>
      <c r="Q50" s="421">
        <f t="shared" ca="1" si="16"/>
        <v>0</v>
      </c>
      <c r="R50" s="421">
        <f t="shared" si="16"/>
        <v>0</v>
      </c>
      <c r="S50" s="421">
        <f t="shared" ca="1" si="16"/>
        <v>0</v>
      </c>
      <c r="T50" s="421">
        <f ca="1">S50*9+R50*4+Q50*4</f>
        <v>0</v>
      </c>
      <c r="U50" s="421">
        <f t="shared" ca="1" si="16"/>
        <v>0</v>
      </c>
      <c r="V50" s="421">
        <f t="shared" ca="1" si="16"/>
        <v>0</v>
      </c>
    </row>
    <row r="52" spans="1:22" x14ac:dyDescent="0.2">
      <c r="A52" s="421" t="s">
        <v>967</v>
      </c>
      <c r="B52" s="421">
        <v>1</v>
      </c>
      <c r="J52" s="421">
        <v>1</v>
      </c>
      <c r="K52" s="516">
        <f>INDEX(tbl_Neo_NutrBMFWaard,NeoBer1700!J52)</f>
        <v>0</v>
      </c>
      <c r="L52" s="417">
        <f t="shared" ref="L52:V52" si="17">IF($J52&gt;1,($K52/100)*$K$49*HLOOKUP(L1,tbl_Neo_NutrBMFToev,$B52,FALSE),0)</f>
        <v>0</v>
      </c>
      <c r="M52" s="417">
        <f t="shared" si="17"/>
        <v>0</v>
      </c>
      <c r="N52" s="417">
        <f t="shared" si="17"/>
        <v>0</v>
      </c>
      <c r="O52" s="417">
        <f t="shared" si="17"/>
        <v>0</v>
      </c>
      <c r="P52" s="417">
        <f t="shared" si="17"/>
        <v>0</v>
      </c>
      <c r="Q52" s="417">
        <f t="shared" si="17"/>
        <v>0</v>
      </c>
      <c r="R52" s="417">
        <f t="shared" si="17"/>
        <v>0</v>
      </c>
      <c r="S52" s="417">
        <f t="shared" si="17"/>
        <v>0</v>
      </c>
      <c r="T52" s="417">
        <f t="shared" si="17"/>
        <v>0</v>
      </c>
      <c r="U52" s="417">
        <f t="shared" si="17"/>
        <v>0</v>
      </c>
      <c r="V52" s="417">
        <f t="shared" si="17"/>
        <v>0</v>
      </c>
    </row>
    <row r="53" spans="1:22" x14ac:dyDescent="0.2">
      <c r="A53" s="421" t="s">
        <v>958</v>
      </c>
      <c r="B53" s="421">
        <v>1</v>
      </c>
      <c r="C53" s="421">
        <f>Var_Neo_InfB_Toevoeging_1+1</f>
        <v>2</v>
      </c>
      <c r="J53" s="421">
        <v>1</v>
      </c>
      <c r="K53" s="516">
        <f>INDEX(tbl_Neo_NutrToevWaard,NeoBer1700!J53)</f>
        <v>0</v>
      </c>
      <c r="L53" s="417">
        <f>IF($B53&gt;1,($K53)*$K$49*HLOOKUP(NeoBer1700!L$1,tbl_Neo_OpzoektabelMM,$C53,FALSE),0)</f>
        <v>0</v>
      </c>
      <c r="M53" s="417">
        <f>IF($B53&gt;1,($K53)*$K$49*HLOOKUP(NeoBer1700!M$1,tbl_Neo_OpzoektabelMM,$C53,FALSE),0)</f>
        <v>0</v>
      </c>
      <c r="N53" s="417">
        <f>IF($B53&gt;1,($K53)*$K$49*HLOOKUP(NeoBer1700!N$1,tbl_Neo_OpzoektabelMM,$C53,FALSE),0)</f>
        <v>0</v>
      </c>
      <c r="O53" s="417">
        <f>IF($B53&gt;1,($K53)*$K$49*HLOOKUP(NeoBer1700!O$1,tbl_Neo_OpzoektabelMM,$C53,FALSE),0)</f>
        <v>0</v>
      </c>
      <c r="P53" s="417">
        <f>IF($B53&gt;1,($K53)*$K$49*HLOOKUP(NeoBer1700!P$1,tbl_Neo_OpzoektabelMM,$C53,FALSE),0)</f>
        <v>0</v>
      </c>
      <c r="Q53" s="417">
        <f>IF($B53&gt;1,($K53)*$K$49*HLOOKUP(NeoBer1700!Q$1,tbl_Neo_OpzoektabelMM,$C53,FALSE),0)</f>
        <v>0</v>
      </c>
      <c r="R53" s="417">
        <f>IF($B53&gt;1,($K53)*$K$49*HLOOKUP(NeoBer1700!R$1,tbl_Neo_OpzoektabelMM,$C53,FALSE),0)</f>
        <v>0</v>
      </c>
      <c r="S53" s="417">
        <f>IF($B53&gt;1,($K53)*$K$49*HLOOKUP(NeoBer1700!S$1,tbl_Neo_OpzoektabelMM,$C53,FALSE),0)</f>
        <v>0</v>
      </c>
      <c r="T53" s="417">
        <f>IF($B53&gt;1,($K53)*$K$49*HLOOKUP(NeoBer1700!T$1,tbl_Neo_OpzoektabelMM,$C53,FALSE),0)</f>
        <v>0</v>
      </c>
      <c r="U53" s="417">
        <f>IF($B53&gt;1,($K53)*$K$49*HLOOKUP(NeoBer1700!U$1,tbl_Neo_OpzoektabelMM,$C53,FALSE),0)</f>
        <v>0</v>
      </c>
      <c r="V53" s="417">
        <f>IF($B53&gt;1,($K53)*$K$49*HLOOKUP(NeoBer1700!V$1,tbl_Neo_OpzoektabelMM,$C53,FALSE),0)</f>
        <v>0</v>
      </c>
    </row>
    <row r="54" spans="1:22" x14ac:dyDescent="0.2">
      <c r="A54" s="421" t="s">
        <v>959</v>
      </c>
      <c r="B54" s="421">
        <v>1</v>
      </c>
      <c r="C54" s="421">
        <f>Var_Neo_InfB_Toevoeging_2+1</f>
        <v>2</v>
      </c>
      <c r="J54" s="421">
        <v>1</v>
      </c>
      <c r="K54" s="516">
        <f>INDEX(tbl_Neo_NutrToevWaard,NeoBer1700!J54)</f>
        <v>0</v>
      </c>
      <c r="L54" s="417">
        <f>IF($B54&gt;1,($K54)*$K$49*HLOOKUP(NeoBer1700!L$1,tbl_Neo_OpzoektabelMM,$C54,FALSE),0)</f>
        <v>0</v>
      </c>
      <c r="M54" s="417">
        <f>IF($B54&gt;1,($K54)*$K$49*HLOOKUP(NeoBer1700!M$1,tbl_Neo_OpzoektabelMM,$C54,FALSE),0)</f>
        <v>0</v>
      </c>
      <c r="N54" s="417">
        <f>IF($B54&gt;1,($K54)*$K$49*HLOOKUP(NeoBer1700!N$1,tbl_Neo_OpzoektabelMM,$C54,FALSE),0)</f>
        <v>0</v>
      </c>
      <c r="O54" s="417">
        <f>IF($B54&gt;1,($K54)*$K$49*HLOOKUP(NeoBer1700!O$1,tbl_Neo_OpzoektabelMM,$C54,FALSE),0)</f>
        <v>0</v>
      </c>
      <c r="P54" s="417">
        <f>IF($B54&gt;1,($K54)*$K$49*HLOOKUP(NeoBer1700!P$1,tbl_Neo_OpzoektabelMM,$C54,FALSE),0)</f>
        <v>0</v>
      </c>
      <c r="Q54" s="417">
        <f>IF($B54&gt;1,($K54)*$K$49*HLOOKUP(NeoBer1700!Q$1,tbl_Neo_OpzoektabelMM,$C54,FALSE),0)</f>
        <v>0</v>
      </c>
      <c r="R54" s="417">
        <f>IF($B54&gt;1,($K54)*$K$49*HLOOKUP(NeoBer1700!R$1,tbl_Neo_OpzoektabelMM,$C54,FALSE),0)</f>
        <v>0</v>
      </c>
      <c r="S54" s="417">
        <f>IF($B54&gt;1,($K54)*$K$49*HLOOKUP(NeoBer1700!S$1,tbl_Neo_OpzoektabelMM,$C54,FALSE),0)</f>
        <v>0</v>
      </c>
      <c r="T54" s="417">
        <f>IF($B54&gt;1,($K54)*$K$49*HLOOKUP(NeoBer1700!T$1,tbl_Neo_OpzoektabelMM,$C54,FALSE),0)</f>
        <v>0</v>
      </c>
      <c r="U54" s="417">
        <f>IF($B54&gt;1,($K54)*$K$49*HLOOKUP(NeoBer1700!U$1,tbl_Neo_OpzoektabelMM,$C54,FALSE),0)</f>
        <v>0</v>
      </c>
      <c r="V54" s="417">
        <f>IF($B54&gt;1,($K54)*$K$49*HLOOKUP(NeoBer1700!V$1,tbl_Neo_OpzoektabelMM,$C54,FALSE),0)</f>
        <v>0</v>
      </c>
    </row>
    <row r="55" spans="1:22" x14ac:dyDescent="0.2">
      <c r="A55" s="421" t="s">
        <v>960</v>
      </c>
      <c r="B55" s="421">
        <v>1</v>
      </c>
      <c r="C55" s="421">
        <f>Var_Neo_InfB_Toevoeging_3+1</f>
        <v>2</v>
      </c>
      <c r="J55" s="421">
        <v>1</v>
      </c>
      <c r="K55" s="516">
        <f>INDEX(tbl_Neo_NutrToevWaard,NeoBer1700!J55)</f>
        <v>0</v>
      </c>
      <c r="L55" s="417">
        <f>IF($B55&gt;1,($K55)*$K$49*HLOOKUP(NeoBer1700!L$1,tbl_Neo_OpzoektabelMM,$C55,FALSE),0)</f>
        <v>0</v>
      </c>
      <c r="M55" s="417">
        <f>IF($B55&gt;1,($K55)*$K$49*HLOOKUP(NeoBer1700!M$1,tbl_Neo_OpzoektabelMM,$C55,FALSE),0)</f>
        <v>0</v>
      </c>
      <c r="N55" s="417">
        <f>IF($B55&gt;1,($K55)*$K$49*HLOOKUP(NeoBer1700!N$1,tbl_Neo_OpzoektabelMM,$C55,FALSE),0)</f>
        <v>0</v>
      </c>
      <c r="O55" s="417">
        <f>IF($B55&gt;1,($K55)*$K$49*HLOOKUP(NeoBer1700!O$1,tbl_Neo_OpzoektabelMM,$C55,FALSE),0)</f>
        <v>0</v>
      </c>
      <c r="P55" s="417">
        <f>IF($B55&gt;1,($K55)*$K$49*HLOOKUP(NeoBer1700!P$1,tbl_Neo_OpzoektabelMM,$C55,FALSE),0)</f>
        <v>0</v>
      </c>
      <c r="Q55" s="417">
        <f>IF($B55&gt;1,($K55)*$K$49*HLOOKUP(NeoBer1700!Q$1,tbl_Neo_OpzoektabelMM,$C55,FALSE),0)</f>
        <v>0</v>
      </c>
      <c r="R55" s="417">
        <f>IF($B55&gt;1,($K55)*$K$49*HLOOKUP(NeoBer1700!R$1,tbl_Neo_OpzoektabelMM,$C55,FALSE),0)</f>
        <v>0</v>
      </c>
      <c r="S55" s="417">
        <f>IF($B55&gt;1,($K55)*$K$49*HLOOKUP(NeoBer1700!S$1,tbl_Neo_OpzoektabelMM,$C55,FALSE),0)</f>
        <v>0</v>
      </c>
      <c r="T55" s="417">
        <f>IF($B55&gt;1,($K55)*$K$49*HLOOKUP(NeoBer1700!T$1,tbl_Neo_OpzoektabelMM,$C55,FALSE),0)</f>
        <v>0</v>
      </c>
      <c r="U55" s="417">
        <f>IF($B55&gt;1,($K55)*$K$49*HLOOKUP(NeoBer1700!U$1,tbl_Neo_OpzoektabelMM,$C55,FALSE),0)</f>
        <v>0</v>
      </c>
      <c r="V55" s="417">
        <f>IF($B55&gt;1,($K55)*$K$49*HLOOKUP(NeoBer1700!V$1,tbl_Neo_OpzoektabelMM,$C55,FALSE),0)</f>
        <v>0</v>
      </c>
    </row>
    <row r="56" spans="1:22" x14ac:dyDescent="0.2">
      <c r="A56" s="421" t="s">
        <v>961</v>
      </c>
      <c r="B56" s="421">
        <v>1</v>
      </c>
      <c r="C56" s="421">
        <f>Var_Neo_InfB_Toevoeging_4+1</f>
        <v>2</v>
      </c>
      <c r="J56" s="421">
        <v>1</v>
      </c>
      <c r="K56" s="516">
        <f>INDEX(tbl_Neo_NutrToevWaard,NeoBer1700!J56)</f>
        <v>0</v>
      </c>
      <c r="L56" s="417">
        <f>IF($B56&gt;1,($K56)*$K$49*HLOOKUP(NeoBer1700!L$1,tbl_Neo_OpzoektabelMM,$C56,FALSE),0)</f>
        <v>0</v>
      </c>
      <c r="M56" s="417">
        <f>IF($B56&gt;1,($K56)*$K$49*HLOOKUP(NeoBer1700!M$1,tbl_Neo_OpzoektabelMM,$C56,FALSE),0)</f>
        <v>0</v>
      </c>
      <c r="N56" s="417">
        <f>IF($B56&gt;1,($K56)*$K$49*HLOOKUP(NeoBer1700!N$1,tbl_Neo_OpzoektabelMM,$C56,FALSE),0)</f>
        <v>0</v>
      </c>
      <c r="O56" s="417">
        <f>IF($B56&gt;1,($K56)*$K$49*HLOOKUP(NeoBer1700!O$1,tbl_Neo_OpzoektabelMM,$C56,FALSE),0)</f>
        <v>0</v>
      </c>
      <c r="P56" s="417">
        <f>IF($B56&gt;1,($K56)*$K$49*HLOOKUP(NeoBer1700!P$1,tbl_Neo_OpzoektabelMM,$C56,FALSE),0)</f>
        <v>0</v>
      </c>
      <c r="Q56" s="417">
        <f>IF($B56&gt;1,($K56)*$K$49*HLOOKUP(NeoBer1700!Q$1,tbl_Neo_OpzoektabelMM,$C56,FALSE),0)</f>
        <v>0</v>
      </c>
      <c r="R56" s="417">
        <f>IF($B56&gt;1,($K56)*$K$49*HLOOKUP(NeoBer1700!R$1,tbl_Neo_OpzoektabelMM,$C56,FALSE),0)</f>
        <v>0</v>
      </c>
      <c r="S56" s="417">
        <f>IF($B56&gt;1,($K56)*$K$49*HLOOKUP(NeoBer1700!S$1,tbl_Neo_OpzoektabelMM,$C56,FALSE),0)</f>
        <v>0</v>
      </c>
      <c r="T56" s="417">
        <f>IF($B56&gt;1,($K56)*$K$49*HLOOKUP(NeoBer1700!T$1,tbl_Neo_OpzoektabelMM,$C56,FALSE),0)</f>
        <v>0</v>
      </c>
      <c r="U56" s="417">
        <f>IF($B56&gt;1,($K56)*$K$49*HLOOKUP(NeoBer1700!U$1,tbl_Neo_OpzoektabelMM,$C56,FALSE),0)</f>
        <v>0</v>
      </c>
      <c r="V56" s="417">
        <f>IF($B56&gt;1,($K56)*$K$49*HLOOKUP(NeoBer1700!V$1,tbl_Neo_OpzoektabelMM,$C56,FALSE),0)</f>
        <v>0</v>
      </c>
    </row>
    <row r="57" spans="1:22" x14ac:dyDescent="0.2">
      <c r="A57" s="421" t="s">
        <v>1056</v>
      </c>
      <c r="K57" s="516"/>
      <c r="L57" s="417">
        <f>SUM(L52:L56)</f>
        <v>0</v>
      </c>
      <c r="M57" s="417">
        <f t="shared" ref="M57:V57" si="18">SUM(M52:M56)</f>
        <v>0</v>
      </c>
      <c r="N57" s="417">
        <f t="shared" si="18"/>
        <v>0</v>
      </c>
      <c r="O57" s="417">
        <f t="shared" si="18"/>
        <v>0</v>
      </c>
      <c r="P57" s="417">
        <f t="shared" si="18"/>
        <v>0</v>
      </c>
      <c r="Q57" s="417">
        <f t="shared" si="18"/>
        <v>0</v>
      </c>
      <c r="R57" s="417">
        <f t="shared" si="18"/>
        <v>0</v>
      </c>
      <c r="S57" s="417">
        <f t="shared" si="18"/>
        <v>0</v>
      </c>
      <c r="T57" s="417">
        <f t="shared" si="18"/>
        <v>0</v>
      </c>
      <c r="U57" s="417">
        <f t="shared" si="18"/>
        <v>0</v>
      </c>
      <c r="V57" s="417">
        <f t="shared" si="18"/>
        <v>0</v>
      </c>
    </row>
    <row r="58" spans="1:22" x14ac:dyDescent="0.2">
      <c r="A58" s="421" t="s">
        <v>962</v>
      </c>
      <c r="B58" s="421">
        <v>1</v>
      </c>
      <c r="C58" s="421">
        <f>Var_Neo_InfB_Toevoeging_5+1</f>
        <v>2</v>
      </c>
      <c r="J58" s="421">
        <v>1</v>
      </c>
      <c r="K58" s="516">
        <f>INDEX(tbl_Neo_NutrToevWaard,NeoBer1700!J58)</f>
        <v>0</v>
      </c>
      <c r="L58" s="417">
        <f>IF($B58&gt;1,($K58)*$K$49*HLOOKUP(NeoBer1700!L$1,tbl_Neo_OpzoektabelKV,$C58,FALSE),0)</f>
        <v>0</v>
      </c>
      <c r="M58" s="417">
        <f>IF($B58&gt;1,($K58)*$K$49*HLOOKUP(NeoBer1700!M$1,tbl_Neo_OpzoektabelKV,$C58,FALSE),0)</f>
        <v>0</v>
      </c>
      <c r="N58" s="417">
        <f>IF($B58&gt;1,($K58)*$K$49*HLOOKUP(NeoBer1700!N$1,tbl_Neo_OpzoektabelKV,$C58,FALSE),0)</f>
        <v>0</v>
      </c>
      <c r="O58" s="417">
        <f>IF($B58&gt;1,($K58)*$K$49*HLOOKUP(NeoBer1700!O$1,tbl_Neo_OpzoektabelKV,$C58,FALSE),0)</f>
        <v>0</v>
      </c>
      <c r="P58" s="417">
        <f>IF($B58&gt;1,($K58)*$K$49*HLOOKUP(NeoBer1700!P$1,tbl_Neo_OpzoektabelKV,$C58,FALSE),0)</f>
        <v>0</v>
      </c>
      <c r="Q58" s="417">
        <f>IF($B58&gt;1,($K58)*$K$49*HLOOKUP(NeoBer1700!Q$1,tbl_Neo_OpzoektabelKV,$C58,FALSE),0)</f>
        <v>0</v>
      </c>
      <c r="R58" s="417">
        <f>IF($B58&gt;1,($K58)*$K$49*HLOOKUP(NeoBer1700!R$1,tbl_Neo_OpzoektabelKV,$C58,FALSE),0)</f>
        <v>0</v>
      </c>
      <c r="S58" s="417">
        <f>IF($B58&gt;1,($K58)*$K$49*HLOOKUP(NeoBer1700!S$1,tbl_Neo_OpzoektabelKV,$C58,FALSE),0)</f>
        <v>0</v>
      </c>
      <c r="T58" s="417">
        <f>IF($B58&gt;1,($K58)*$K$49*HLOOKUP(NeoBer1700!T$1,tbl_Neo_OpzoektabelKV,$C58,FALSE),0)</f>
        <v>0</v>
      </c>
      <c r="U58" s="417">
        <f>IF($B58&gt;1,($K58)*$K$49*HLOOKUP(NeoBer1700!U$1,tbl_Neo_OpzoektabelKV,$C58,FALSE),0)</f>
        <v>0</v>
      </c>
      <c r="V58" s="417">
        <f>IF($B58&gt;1,($K58)*$K$49*HLOOKUP(NeoBer1700!V$1,tbl_Neo_OpzoektabelKV,$C58,FALSE),0)</f>
        <v>0</v>
      </c>
    </row>
    <row r="59" spans="1:22" x14ac:dyDescent="0.2">
      <c r="A59" s="421" t="s">
        <v>963</v>
      </c>
      <c r="B59" s="421">
        <v>1</v>
      </c>
      <c r="C59" s="421">
        <f>Var_Neo_InfB_Toevoeging_6+1</f>
        <v>2</v>
      </c>
      <c r="J59" s="421">
        <v>1</v>
      </c>
      <c r="K59" s="516">
        <f>INDEX(tbl_Neo_NutrToevWaard,NeoBer1700!J59)</f>
        <v>0</v>
      </c>
      <c r="L59" s="417">
        <f>IF($B59&gt;1,($K59)*$K$49*HLOOKUP(NeoBer1700!L$1,tbl_Neo_OpzoektabelKV,$C59,FALSE),0)</f>
        <v>0</v>
      </c>
      <c r="M59" s="417">
        <f>IF($B59&gt;1,($K59)*$K$49*HLOOKUP(NeoBer1700!M$1,tbl_Neo_OpzoektabelKV,$C59,FALSE),0)</f>
        <v>0</v>
      </c>
      <c r="N59" s="417">
        <f>IF($B59&gt;1,($K59)*$K$49*HLOOKUP(NeoBer1700!N$1,tbl_Neo_OpzoektabelKV,$C59,FALSE),0)</f>
        <v>0</v>
      </c>
      <c r="O59" s="417">
        <f>IF($B59&gt;1,($K59)*$K$49*HLOOKUP(NeoBer1700!O$1,tbl_Neo_OpzoektabelKV,$C59,FALSE),0)</f>
        <v>0</v>
      </c>
      <c r="P59" s="417">
        <f>IF($B59&gt;1,($K59)*$K$49*HLOOKUP(NeoBer1700!P$1,tbl_Neo_OpzoektabelKV,$C59,FALSE),0)</f>
        <v>0</v>
      </c>
      <c r="Q59" s="417">
        <f>IF($B59&gt;1,($K59)*$K$49*HLOOKUP(NeoBer1700!Q$1,tbl_Neo_OpzoektabelKV,$C59,FALSE),0)</f>
        <v>0</v>
      </c>
      <c r="R59" s="417">
        <f>IF($B59&gt;1,($K59)*$K$49*HLOOKUP(NeoBer1700!R$1,tbl_Neo_OpzoektabelKV,$C59,FALSE),0)</f>
        <v>0</v>
      </c>
      <c r="S59" s="417">
        <f>IF($B59&gt;1,($K59)*$K$49*HLOOKUP(NeoBer1700!S$1,tbl_Neo_OpzoektabelKV,$C59,FALSE),0)</f>
        <v>0</v>
      </c>
      <c r="T59" s="417">
        <f>IF($B59&gt;1,($K59)*$K$49*HLOOKUP(NeoBer1700!T$1,tbl_Neo_OpzoektabelKV,$C59,FALSE),0)</f>
        <v>0</v>
      </c>
      <c r="U59" s="417">
        <f>IF($B59&gt;1,($K59)*$K$49*HLOOKUP(NeoBer1700!U$1,tbl_Neo_OpzoektabelKV,$C59,FALSE),0)</f>
        <v>0</v>
      </c>
      <c r="V59" s="417">
        <f>IF($B59&gt;1,($K59)*$K$49*HLOOKUP(NeoBer1700!V$1,tbl_Neo_OpzoektabelKV,$C59,FALSE),0)</f>
        <v>0</v>
      </c>
    </row>
    <row r="60" spans="1:22" x14ac:dyDescent="0.2">
      <c r="A60" s="421" t="s">
        <v>964</v>
      </c>
      <c r="B60" s="421">
        <v>1</v>
      </c>
      <c r="C60" s="421">
        <f>Var_Neo_InfB_Toevoeging_7+1</f>
        <v>2</v>
      </c>
      <c r="J60" s="421">
        <v>1</v>
      </c>
      <c r="K60" s="516">
        <f>INDEX(tbl_Neo_NutrToevWaard,NeoBer1700!J60)</f>
        <v>0</v>
      </c>
      <c r="L60" s="417">
        <f>IF($B60&gt;1,($K60)*$K$49*HLOOKUP(NeoBer1700!L$1,tbl_Neo_OpzoektabelKV,$C60,FALSE),0)</f>
        <v>0</v>
      </c>
      <c r="M60" s="417">
        <f>IF($B60&gt;1,($K60)*$K$49*HLOOKUP(NeoBer1700!M$1,tbl_Neo_OpzoektabelKV,$C60,FALSE),0)</f>
        <v>0</v>
      </c>
      <c r="N60" s="417">
        <f>IF($B60&gt;1,($K60)*$K$49*HLOOKUP(NeoBer1700!N$1,tbl_Neo_OpzoektabelKV,$C60,FALSE),0)</f>
        <v>0</v>
      </c>
      <c r="O60" s="417">
        <f>IF($B60&gt;1,($K60)*$K$49*HLOOKUP(NeoBer1700!O$1,tbl_Neo_OpzoektabelKV,$C60,FALSE),0)</f>
        <v>0</v>
      </c>
      <c r="P60" s="417">
        <f>IF($B60&gt;1,($K60)*$K$49*HLOOKUP(NeoBer1700!P$1,tbl_Neo_OpzoektabelKV,$C60,FALSE),0)</f>
        <v>0</v>
      </c>
      <c r="Q60" s="417">
        <f>IF($B60&gt;1,($K60)*$K$49*HLOOKUP(NeoBer1700!Q$1,tbl_Neo_OpzoektabelKV,$C60,FALSE),0)</f>
        <v>0</v>
      </c>
      <c r="R60" s="417">
        <f>IF($B60&gt;1,($K60)*$K$49*HLOOKUP(NeoBer1700!R$1,tbl_Neo_OpzoektabelKV,$C60,FALSE),0)</f>
        <v>0</v>
      </c>
      <c r="S60" s="417">
        <f>IF($B60&gt;1,($K60)*$K$49*HLOOKUP(NeoBer1700!S$1,tbl_Neo_OpzoektabelKV,$C60,FALSE),0)</f>
        <v>0</v>
      </c>
      <c r="T60" s="417">
        <f>IF($B60&gt;1,($K60)*$K$49*HLOOKUP(NeoBer1700!T$1,tbl_Neo_OpzoektabelKV,$C60,FALSE),0)</f>
        <v>0</v>
      </c>
      <c r="U60" s="417">
        <f>IF($B60&gt;1,($K60)*$K$49*HLOOKUP(NeoBer1700!U$1,tbl_Neo_OpzoektabelKV,$C60,FALSE),0)</f>
        <v>0</v>
      </c>
      <c r="V60" s="417">
        <f>IF($B60&gt;1,($K60)*$K$49*HLOOKUP(NeoBer1700!V$1,tbl_Neo_OpzoektabelKV,$C60,FALSE),0)</f>
        <v>0</v>
      </c>
    </row>
    <row r="61" spans="1:22" x14ac:dyDescent="0.2">
      <c r="A61" s="421" t="s">
        <v>965</v>
      </c>
      <c r="B61" s="421">
        <v>1</v>
      </c>
      <c r="C61" s="421">
        <f>Var_Neo_InfB_Toevoeging_8+1</f>
        <v>2</v>
      </c>
      <c r="J61" s="421">
        <v>1</v>
      </c>
      <c r="K61" s="516">
        <f>INDEX(tbl_Neo_NutrToevWaard,NeoBer1700!J61)</f>
        <v>0</v>
      </c>
      <c r="L61" s="417">
        <f>IF($B61&gt;1,($K61)*$K$49*HLOOKUP(NeoBer1700!L$1,tbl_Neo_OpzoektabelKV,$C61,FALSE),0)</f>
        <v>0</v>
      </c>
      <c r="M61" s="417">
        <f>IF($B61&gt;1,($K61)*$K$49*HLOOKUP(NeoBer1700!M$1,tbl_Neo_OpzoektabelKV,$C61,FALSE),0)</f>
        <v>0</v>
      </c>
      <c r="N61" s="417">
        <f>IF($B61&gt;1,($K61)*$K$49*HLOOKUP(NeoBer1700!N$1,tbl_Neo_OpzoektabelKV,$C61,FALSE),0)</f>
        <v>0</v>
      </c>
      <c r="O61" s="417">
        <f>IF($B61&gt;1,($K61)*$K$49*HLOOKUP(NeoBer1700!O$1,tbl_Neo_OpzoektabelKV,$C61,FALSE),0)</f>
        <v>0</v>
      </c>
      <c r="P61" s="417">
        <f>IF($B61&gt;1,($K61)*$K$49*HLOOKUP(NeoBer1700!P$1,tbl_Neo_OpzoektabelKV,$C61,FALSE),0)</f>
        <v>0</v>
      </c>
      <c r="Q61" s="417">
        <f>IF($B61&gt;1,($K61)*$K$49*HLOOKUP(NeoBer1700!Q$1,tbl_Neo_OpzoektabelKV,$C61,FALSE),0)</f>
        <v>0</v>
      </c>
      <c r="R61" s="417">
        <f>IF($B61&gt;1,($K61)*$K$49*HLOOKUP(NeoBer1700!R$1,tbl_Neo_OpzoektabelKV,$C61,FALSE),0)</f>
        <v>0</v>
      </c>
      <c r="S61" s="417">
        <f>IF($B61&gt;1,($K61)*$K$49*HLOOKUP(NeoBer1700!S$1,tbl_Neo_OpzoektabelKV,$C61,FALSE),0)</f>
        <v>0</v>
      </c>
      <c r="T61" s="417">
        <f>IF($B61&gt;1,($K61)*$K$49*HLOOKUP(NeoBer1700!T$1,tbl_Neo_OpzoektabelKV,$C61,FALSE),0)</f>
        <v>0</v>
      </c>
      <c r="U61" s="417">
        <f>IF($B61&gt;1,($K61)*$K$49*HLOOKUP(NeoBer1700!U$1,tbl_Neo_OpzoektabelKV,$C61,FALSE),0)</f>
        <v>0</v>
      </c>
      <c r="V61" s="417">
        <f>IF($B61&gt;1,($K61)*$K$49*HLOOKUP(NeoBer1700!V$1,tbl_Neo_OpzoektabelKV,$C61,FALSE),0)</f>
        <v>0</v>
      </c>
    </row>
    <row r="62" spans="1:22" x14ac:dyDescent="0.2">
      <c r="A62" s="421" t="s">
        <v>1057</v>
      </c>
      <c r="L62" s="417">
        <f>SUM(L58:L61)</f>
        <v>0</v>
      </c>
      <c r="M62" s="417">
        <f t="shared" ref="M62:V62" si="19">SUM(M58:M61)</f>
        <v>0</v>
      </c>
      <c r="N62" s="417">
        <f t="shared" si="19"/>
        <v>0</v>
      </c>
      <c r="O62" s="417">
        <f t="shared" si="19"/>
        <v>0</v>
      </c>
      <c r="P62" s="417">
        <f t="shared" si="19"/>
        <v>0</v>
      </c>
      <c r="Q62" s="417">
        <f t="shared" si="19"/>
        <v>0</v>
      </c>
      <c r="R62" s="417">
        <f t="shared" si="19"/>
        <v>0</v>
      </c>
      <c r="S62" s="417">
        <f t="shared" si="19"/>
        <v>0</v>
      </c>
      <c r="T62" s="417">
        <f t="shared" si="19"/>
        <v>0</v>
      </c>
      <c r="U62" s="417">
        <f t="shared" si="19"/>
        <v>0</v>
      </c>
      <c r="V62" s="417">
        <f t="shared" si="19"/>
        <v>0</v>
      </c>
    </row>
    <row r="65" spans="1:12" x14ac:dyDescent="0.2">
      <c r="A65" s="421" t="s">
        <v>601</v>
      </c>
    </row>
    <row r="70" spans="1:12" x14ac:dyDescent="0.2">
      <c r="B70" s="172"/>
      <c r="C70" s="166"/>
      <c r="D70" s="166"/>
      <c r="E70" s="166"/>
      <c r="F70" s="173"/>
      <c r="G70" s="166"/>
      <c r="H70" s="166"/>
    </row>
    <row r="71" spans="1:12" x14ac:dyDescent="0.2">
      <c r="L71" s="405"/>
    </row>
    <row r="73" spans="1:12" x14ac:dyDescent="0.2">
      <c r="A73" s="421" t="s">
        <v>933</v>
      </c>
      <c r="B73" s="515" t="e">
        <f ca="1">IF(NeoGui1700!E18=0,"",CONCATENATE(NeoGui1700!B18,": ",NeoGui1700!E18," ",NeoGui1700!F18," = "&amp;NeoBer1700!K47&amp;" ml"))</f>
        <v>#DIV/0!</v>
      </c>
    </row>
    <row r="74" spans="1:12" x14ac:dyDescent="0.2">
      <c r="A74" s="421" t="s">
        <v>934</v>
      </c>
      <c r="B74" s="515" t="str">
        <f>IF(INDEX(tbl_Neo_Pos,NeoBer1700!D14,1)=0,"",CONCATENATE(NeoGui1700!H21," ",INDEX(tbl_Neo_Pos,NeoBer1700!D14,1)))</f>
        <v/>
      </c>
    </row>
    <row r="75" spans="1:12" x14ac:dyDescent="0.2">
      <c r="A75" s="421" t="s">
        <v>935</v>
      </c>
      <c r="B75" s="515" t="str">
        <f>IF(INDEX(tbl_Neo_Pos,NeoBer1700!D14,1)=0,"",CONCATENATE("Hoeveelheid 1:  ",NeoGui1700!E21," ",NeoGui1700!F21," ",NeoGui1700!G21))</f>
        <v/>
      </c>
    </row>
    <row r="76" spans="1:12" x14ac:dyDescent="0.2">
      <c r="A76" s="421" t="s">
        <v>936</v>
      </c>
      <c r="B76" s="515" t="str">
        <f>IF(INDEX(tbl_Neo_Pos,NeoBer1700!D14,1)=0,"",CONCATENATE("Hoeveelheid 2:  ",NeoGui1700!E22," ",NeoGui1700!F22," ",NeoGui1700!G22))</f>
        <v/>
      </c>
    </row>
    <row r="77" spans="1:12" x14ac:dyDescent="0.2">
      <c r="A77" s="421" t="s">
        <v>937</v>
      </c>
      <c r="B77" s="515" t="e">
        <f>IF(AND(INDEX(tbl_Neo_LijstVoeding,_Neo_1700_Voeding,14)="MM",Var_Neo_Percentage1700_0 &gt; 0), CONCATENATE("Toev MM: BMF ",Var_Neo_Percentage1700_0," %"),"")</f>
        <v>#VALUE!</v>
      </c>
    </row>
    <row r="78" spans="1:12" x14ac:dyDescent="0.2">
      <c r="A78" s="421" t="s">
        <v>938</v>
      </c>
      <c r="B78" s="515" t="e">
        <f>IF(AND(INDEX(tbl_Neo_LijstVoeding,_Neo_1700_Voeding,14)="MM",_Neo_1700_Toevoeging_1 &gt; 1,Var_Neo_Percentage1700_1 &gt; 0), CONCATENATE("Toev MM: ",INDEX(tbl_Neo_NutrMMToev,_Neo_1700_Toevoeging_1,1)," ",Var_Neo_Percentage1700_1," %"),"")</f>
        <v>#VALUE!</v>
      </c>
    </row>
    <row r="79" spans="1:12" x14ac:dyDescent="0.2">
      <c r="A79" s="421" t="s">
        <v>939</v>
      </c>
      <c r="B79" s="515" t="e">
        <f>IF(AND(INDEX(tbl_Neo_LijstVoeding,_Neo_1700_Voeding,14)="MM",_Neo_1700_Toevoeging_2 &gt; 1,Var_Neo_Percentage1700_2 &gt; 0), CONCATENATE("Toev MM: ",INDEX(tbl_Neo_NutrMMToev,_Neo_1700_Toevoeging_2,1)," ",Var_Neo_Percentage1700_2," %"),"")</f>
        <v>#VALUE!</v>
      </c>
    </row>
    <row r="80" spans="1:12" x14ac:dyDescent="0.2">
      <c r="A80" s="421" t="s">
        <v>940</v>
      </c>
      <c r="B80" s="515" t="e">
        <f>IF(AND(INDEX(tbl_Neo_LijstVoeding,_Neo_1700_Voeding,14)="MM",_Neo_1700_Toevoeging_3 &gt; 1,Var_Neo_Percentage1700_3 &gt; 0), CONCATENATE("Toev MM: ",INDEX(tbl_Neo_NutrMMToev,_Neo_1700_Toevoeging_3,1)," ",Var_Neo_Percentage1700_3," %"),"")</f>
        <v>#VALUE!</v>
      </c>
    </row>
    <row r="81" spans="1:2" x14ac:dyDescent="0.2">
      <c r="A81" s="421" t="s">
        <v>941</v>
      </c>
      <c r="B81" s="515" t="e">
        <f>IF(AND(INDEX(tbl_Neo_LijstVoeding,_Neo_1700_Voeding,14)="MM",_Neo_1700_Toevoeging_4 &gt; 1,Var_Neo_Percentage1700_4 &gt; 0), CONCATENATE("Toev MM: ",INDEX(tbl_Neo_NutrMMToev,_Neo_1700_Toevoeging_4,1)," ",Var_Neo_Percentage1700_4," %"),"")</f>
        <v>#VALUE!</v>
      </c>
    </row>
    <row r="82" spans="1:2" x14ac:dyDescent="0.2">
      <c r="A82" s="421" t="s">
        <v>942</v>
      </c>
      <c r="B82" s="515" t="e">
        <f>IF(AND(INDEX(tbl_Neo_LijstVoeding,_Neo_1700_Voeding,14)="KV",_Neo_1700_Toevoeging_5 &gt; 1,Var_Neo_Percentage1700_5 &gt; 0), CONCATENATE("Toev KV: ",INDEX(tbl_Neo_NutrKunstToev,_Neo_1700_Toevoeging_5,1)," ",Var_Neo_Percentage1700_5," %"),"")</f>
        <v>#VALUE!</v>
      </c>
    </row>
    <row r="83" spans="1:2" x14ac:dyDescent="0.2">
      <c r="A83" s="421" t="s">
        <v>1108</v>
      </c>
      <c r="B83" s="515" t="e">
        <f>IF(AND(INDEX(tbl_Neo_LijstVoeding,_Neo_1700_Voeding,14)="KV",_Neo_1700_Toevoeging_6 &gt; 1,Var_Neo_Percentage1700_6 &gt; 0), CONCATENATE("Toev KV: ",INDEX(tbl_Neo_NutrKunstToev,_Neo_1700_Toevoeging_6,1)," ",Var_Neo_Percentage1700_6," %"),"")</f>
        <v>#VALUE!</v>
      </c>
    </row>
    <row r="84" spans="1:2" x14ac:dyDescent="0.2">
      <c r="A84" s="421" t="s">
        <v>1109</v>
      </c>
      <c r="B84" s="515" t="e">
        <f>IF(AND(INDEX(tbl_Neo_LijstVoeding,_Neo_1700_Voeding,14)="KV",_Neo_1700_Toevoeging_7 &gt; 1,Var_Neo_Percentage1700_7 &gt; 0), CONCATENATE("Toev KV: ",INDEX(tbl_Neo_NutrKunstToev,_Neo_1700_Toevoeging_7,1)," ",Var_Neo_Percentage1700_7," %"),"")</f>
        <v>#VALUE!</v>
      </c>
    </row>
    <row r="85" spans="1:2" x14ac:dyDescent="0.2">
      <c r="A85" s="421" t="s">
        <v>1110</v>
      </c>
      <c r="B85" s="515" t="e">
        <f>IF(AND(INDEX(tbl_Neo_LijstVoeding,_Neo_1700_Voeding,14)="KV",_Neo_1700_Toevoeging_8 &gt; 1,Var_Neo_Percentage1700_8 &gt; 0), CONCATENATE("Toev KV: ",INDEX(tbl_Neo_NutrKunstToev,_Neo_1700_Toevoeging_8,1)," ",Var_Neo_Percentage1700_8," %"),"")</f>
        <v>#VALUE!</v>
      </c>
    </row>
    <row r="86" spans="1:2" x14ac:dyDescent="0.2">
      <c r="A86" s="421" t="s">
        <v>1111</v>
      </c>
      <c r="B86" s="515" t="str">
        <f ca="1">IF(NeoGui1700!E28&gt;0,CONCATENATE(NeoGui1700!B28," ",NeoGui1700!E28," ",NeoGui1700!F28),"")</f>
        <v/>
      </c>
    </row>
    <row r="87" spans="1:2" x14ac:dyDescent="0.2">
      <c r="A87" s="421" t="s">
        <v>1112</v>
      </c>
      <c r="B87" s="515" t="str">
        <f>CONCATENATE(NeoGui1700!B19,": ",IF(NeoBer1700!B15=1,"Ja","Nee"))</f>
        <v>Fototherapie: Nee</v>
      </c>
    </row>
    <row r="90" spans="1:2" x14ac:dyDescent="0.2">
      <c r="A90" s="321" t="s">
        <v>1148</v>
      </c>
      <c r="B90" s="516" t="str">
        <f>IF(NeoBer1700!B20&gt;1,INDEX(tbl_Neo_MedIV,NeoBer1700!B20, 1)&amp;" "&amp;NeoGui1700!C32&amp;" "&amp;NeoGui1700!D32&amp;" "&amp; INDEX(tbl_Neo_Opl,NeoBer1700!E20,1)&amp;" " &amp; NeoGui1700!G32&amp;" (="&amp;NeoGui1700!H32&amp;" "&amp;NeoGui1700!I32&amp;"), inlooptijd: "&amp;NeoGui1700!N32,"")</f>
        <v/>
      </c>
    </row>
    <row r="91" spans="1:2" x14ac:dyDescent="0.2">
      <c r="A91" s="321" t="s">
        <v>1148</v>
      </c>
      <c r="B91" s="516" t="str">
        <f>IF(NeoBer1700!B21&gt;1,INDEX(tbl_Neo_MedIV,NeoBer1700!B21, 1)&amp;" "&amp;NeoGui1700!C33&amp;" "&amp;NeoGui1700!D33&amp;" "&amp; INDEX(tbl_Neo_Opl,NeoBer1700!E21,1)&amp;" " &amp; NeoGui1700!G33&amp;" (="&amp;NeoGui1700!H33&amp;" "&amp;NeoGui1700!I33&amp;"), inlooptijd: "&amp;NeoGui1700!N33,"")</f>
        <v/>
      </c>
    </row>
    <row r="92" spans="1:2" x14ac:dyDescent="0.2">
      <c r="A92" s="321" t="s">
        <v>1148</v>
      </c>
      <c r="B92" s="516" t="str">
        <f>IF(NeoBer1700!B22&gt;1,INDEX(tbl_Neo_MedIV,NeoBer1700!B22, 1)&amp;" "&amp;NeoGui1700!C34&amp;" "&amp;NeoGui1700!D34&amp;" "&amp; INDEX(tbl_Neo_Opl,NeoBer1700!E22,1)&amp;" " &amp; NeoGui1700!G34&amp;" (="&amp;NeoGui1700!H34&amp;" "&amp;NeoGui1700!I34&amp;"), inlooptijd: "&amp;NeoGui1700!N34,"")</f>
        <v/>
      </c>
    </row>
    <row r="93" spans="1:2" x14ac:dyDescent="0.2">
      <c r="A93" s="321" t="s">
        <v>1148</v>
      </c>
      <c r="B93" s="516" t="str">
        <f>IF(NeoBer1700!B23&gt;1,INDEX(tbl_Neo_MedIV,NeoBer1700!B23, 1)&amp;" "&amp;NeoGui1700!C35&amp;" "&amp;NeoGui1700!D35&amp;" "&amp; INDEX(tbl_Neo_Opl,NeoBer1700!E23,1)&amp;" " &amp; NeoGui1700!G35&amp;" (="&amp;NeoGui1700!H35&amp;" "&amp;NeoGui1700!I35&amp;"), inlooptijd: "&amp;NeoGui1700!N35,"")</f>
        <v/>
      </c>
    </row>
    <row r="94" spans="1:2" x14ac:dyDescent="0.2">
      <c r="A94" s="321" t="s">
        <v>1148</v>
      </c>
      <c r="B94" s="516" t="str">
        <f>IF(NeoBer1700!B24&gt;1,INDEX(tbl_Neo_MedIV,NeoBer1700!B24, 1)&amp;" "&amp;NeoGui1700!C36&amp;" "&amp;NeoGui1700!D36&amp;" "&amp; INDEX(tbl_Neo_Opl,NeoBer1700!E24,1)&amp;" " &amp; NeoGui1700!G36&amp;" (="&amp;NeoGui1700!H36&amp;" "&amp;NeoGui1700!I36&amp;"), inlooptijd: "&amp;NeoGui1700!N36,"")</f>
        <v/>
      </c>
    </row>
    <row r="95" spans="1:2" x14ac:dyDescent="0.2">
      <c r="A95" s="321" t="s">
        <v>1148</v>
      </c>
      <c r="B95" s="516" t="str">
        <f>IF(NeoBer1700!B25&gt;1,INDEX(tbl_Neo_MedIV,NeoBer1700!B25, 1)&amp;" "&amp;NeoGui1700!C37&amp;" "&amp;NeoGui1700!D37&amp;" "&amp; INDEX(tbl_Neo_Opl,NeoBer1700!E25,1)&amp;" " &amp; NeoGui1700!G37&amp;" (="&amp;NeoGui1700!H37&amp;" "&amp;NeoGui1700!I37&amp;"), inlooptijd: "&amp;NeoGui1700!N37,"")</f>
        <v/>
      </c>
    </row>
    <row r="96" spans="1:2" x14ac:dyDescent="0.2">
      <c r="A96" s="321" t="s">
        <v>1148</v>
      </c>
      <c r="B96" s="516" t="str">
        <f>IF(NeoBer1700!B26&gt;1,INDEX(tbl_Neo_MedIV,NeoBer1700!B26, 1)&amp;" "&amp;NeoGui1700!C38&amp;" "&amp;NeoGui1700!D38&amp;" "&amp; INDEX(tbl_Neo_Opl,NeoBer1700!E26,1)&amp;" " &amp; NeoGui1700!G38&amp;" (="&amp;NeoGui1700!H38&amp;" "&amp;NeoGui1700!I38&amp;"), inlooptijd: "&amp;NeoGui1700!N38,"")</f>
        <v/>
      </c>
    </row>
    <row r="97" spans="1:2" x14ac:dyDescent="0.2">
      <c r="A97" s="321" t="s">
        <v>1148</v>
      </c>
      <c r="B97" s="516" t="str">
        <f>IF(NeoBer1700!B27&gt;1,INDEX(tbl_Neo_MedIV,NeoBer1700!B27, 1)&amp;" "&amp;NeoGui1700!C39&amp;" "&amp;NeoGui1700!D39&amp;" "&amp; INDEX(tbl_Neo_Opl,NeoBer1700!E27,1)&amp;" " &amp; NeoGui1700!G39&amp;" (="&amp;NeoGui1700!H39&amp;" "&amp;NeoGui1700!I39&amp;"), inlooptijd: "&amp;NeoGui1700!N39,"")</f>
        <v/>
      </c>
    </row>
    <row r="98" spans="1:2" x14ac:dyDescent="0.2">
      <c r="A98" s="321" t="s">
        <v>1148</v>
      </c>
      <c r="B98" s="516" t="str">
        <f>IF(NeoBer1700!B28&gt;1,INDEX(tbl_Neo_MedIV,NeoBer1700!B28, 1)&amp;" "&amp;NeoGui1700!C40&amp;" "&amp;NeoGui1700!D40&amp;" "&amp; INDEX(tbl_Neo_Opl,NeoBer1700!E28,1)&amp;" " &amp; NeoGui1700!G40&amp;" (="&amp;NeoGui1700!H40&amp;" "&amp;NeoGui1700!I40&amp;"), inlooptijd: "&amp;NeoGui1700!N40,"")</f>
        <v/>
      </c>
    </row>
    <row r="99" spans="1:2" x14ac:dyDescent="0.2">
      <c r="A99" s="321" t="s">
        <v>1148</v>
      </c>
      <c r="B99" s="516" t="str">
        <f>IF(NeoBer1700!E29&gt;1, NeoGui1700!B42&amp;": "&amp; INDEX(tbl_Neo_Opl,NeoBer1700!$E29,1)&amp;" " &amp; NeoGui1700!G42,"")</f>
        <v/>
      </c>
    </row>
    <row r="100" spans="1:2" x14ac:dyDescent="0.2">
      <c r="A100" s="321" t="s">
        <v>1148</v>
      </c>
      <c r="B100" s="516" t="str">
        <f>IF(NeoBer1700!E30&gt;1, NeoGui1700!B43&amp;": "&amp; INDEX(tbl_Neo_Opl,NeoBer1700!$E30,1)&amp;" " &amp; NeoGui1700!G43,"")</f>
        <v/>
      </c>
    </row>
    <row r="101" spans="1:2" x14ac:dyDescent="0.2">
      <c r="A101" s="321" t="s">
        <v>1148</v>
      </c>
      <c r="B101" s="516" t="str">
        <f>IF(NeoBer1700!E31&gt;1, NeoGui1700!B44&amp;": "&amp; INDEX(tbl_Neo_Opl,NeoBer1700!$E31,1)&amp;" " &amp; NeoGui1700!G44,"")</f>
        <v/>
      </c>
    </row>
    <row r="102" spans="1:2" x14ac:dyDescent="0.2">
      <c r="A102" s="321" t="s">
        <v>1148</v>
      </c>
      <c r="B102" s="516" t="str">
        <f>IF(NeoBer1700!B32="","",NeoBer1700!B32)</f>
        <v/>
      </c>
    </row>
    <row r="103" spans="1:2" x14ac:dyDescent="0.2">
      <c r="A103" s="321" t="s">
        <v>1148</v>
      </c>
      <c r="B103" s="516" t="str">
        <f>IF(NeoBer1700!B33="","",NeoBer1700!B33)</f>
        <v/>
      </c>
    </row>
    <row r="104" spans="1:2" x14ac:dyDescent="0.2">
      <c r="A104" s="321" t="s">
        <v>1148</v>
      </c>
      <c r="B104" s="516" t="str">
        <f ca="1">IF(NeoBer1700!C35&lt;&gt;0,CONCATENATE("Intralipid 20% (incl.vitintra) ",ROUNDUP(NeoBer1700!C35/24,1)," ml/uur"),"")</f>
        <v/>
      </c>
    </row>
    <row r="105" spans="1:2" x14ac:dyDescent="0.2">
      <c r="A105" s="321" t="s">
        <v>1148</v>
      </c>
      <c r="B105" s="516" t="str">
        <f ca="1">IF(Var_Neo_WerkbriefTPNStand&lt;&gt;"",CONCATENATE("TPN: ",Var_Neo_WerkbriefTPNStand, " ml/uur"),"")</f>
        <v/>
      </c>
    </row>
    <row r="106" spans="1:2" x14ac:dyDescent="0.2">
      <c r="A106" s="321" t="s">
        <v>1148</v>
      </c>
      <c r="B106" s="516" t="str">
        <f ca="1">IF(Var_Neo_WerkbriefTPNStand&lt;&gt;"",CONCATENATE("TPN Totaal: ",Var_Neo_WerkbriefTPNTotaalGeheel,",", ROUND(Var_Neo_WerkbriefTPNTotaalBreuk,0), " ml"),"")</f>
        <v/>
      </c>
    </row>
    <row r="107" spans="1:2" x14ac:dyDescent="0.2">
      <c r="A107" s="321" t="s">
        <v>1148</v>
      </c>
      <c r="B107" s="516" t="str">
        <f ca="1">IF(OR(Var_Neo_WerkbriefTPNNaClGeheel&lt;&gt;"",Var_Neo_WerkbriefTPNNaClBreuk&lt;&gt;""),CONCATENATE(Var_Neo_WerkbriefTPNNaCLTekst," ",Var_Neo_WerkbriefTPNNaClGeheel,",", Var_Neo_WerkbriefTPNNaClBreuk, " ml"),"")</f>
        <v/>
      </c>
    </row>
    <row r="108" spans="1:2" x14ac:dyDescent="0.2">
      <c r="A108" s="321" t="s">
        <v>1148</v>
      </c>
      <c r="B108" s="516" t="str">
        <f ca="1">IF(OR(Var_Neo_WerkbriefTPNKacetaatGeheel&lt;&gt;"",Var_Neo_WerkbriefTPNKacetaatBreuk&lt;&gt;""),CONCATENATE(Var_Neo_WerkbriefTPNKacetaatTekst," ",Var_Neo_WerkbriefTPNKacetaatGeheel,",", Var_Neo_WerkbriefTPNKacetaatBreuk, " ml"),"")</f>
        <v/>
      </c>
    </row>
    <row r="109" spans="1:2" x14ac:dyDescent="0.2">
      <c r="A109" s="321" t="s">
        <v>1148</v>
      </c>
      <c r="B109" s="516" t="str">
        <f ca="1">IF(OR(Var_Neo_WerkbriefTPNCaClGeheel&lt;&gt;"",Var_Neo_WerkbriefTPNCaClBreuk&lt;&gt;""),CONCATENATE(Var_Neo_WerkbriefTPNCaClTekst," ",Var_Neo_WerkbriefTPNCaClGeheel,",", Var_Neo_WerkbriefTPNCaClBreuk, " ml"),"")</f>
        <v/>
      </c>
    </row>
    <row r="110" spans="1:2" x14ac:dyDescent="0.2">
      <c r="A110" s="321" t="s">
        <v>1148</v>
      </c>
      <c r="B110" s="516" t="str">
        <f ca="1">IF(OR(Var_Neo_WerkbriefTPNMgClGeheel&lt;&gt;"",Var_Neo_WerkbriefTPNMgClBreuk&lt;&gt;""),CONCATENATE(Var_Neo_WerkbriefTPNMgClTekst," ",Var_Neo_WerkbriefTPNMgClGeheel,",", Var_Neo_WerkbriefTPNMgClBreuk, " ml"),"")</f>
        <v/>
      </c>
    </row>
    <row r="111" spans="1:2" x14ac:dyDescent="0.2">
      <c r="A111" s="321" t="s">
        <v>1148</v>
      </c>
      <c r="B111" s="516" t="str">
        <f ca="1">IF(OR(Var_Neo_WerkbriefTPNSoluvitGeheel&lt;&gt;"",Var_Neo_WerkbriefTPNSoluvitBreuk&lt;&gt;""),CONCATENATE(Var_Neo_WerkbriefTPNSoluvitTekst," ",Var_Neo_WerkbriefTPNSoluvitGeheel,",", Var_Neo_WerkbriefTPNSoluvitBreuk, " ml"),"")</f>
        <v/>
      </c>
    </row>
    <row r="112" spans="1:2" x14ac:dyDescent="0.2">
      <c r="A112" s="321" t="s">
        <v>1148</v>
      </c>
      <c r="B112" s="516" t="str">
        <f ca="1">IF(OR(Var_Neo_WerkbriefTPNPrimeneGeheel&lt;&gt;"",Var_Neo_WerkbriefTPNPrimeneBreuk&lt;&gt;""),CONCATENATE(Var_Neo_WerkbriefTPNPrimeneTekst," ",Var_Neo_WerkbriefTPNPrimeneGeheel,",", Var_Neo_WerkbriefTPNPrimeneBreuk, " ml"),"")</f>
        <v/>
      </c>
    </row>
    <row r="113" spans="1:2" x14ac:dyDescent="0.2">
      <c r="A113" s="321" t="s">
        <v>1148</v>
      </c>
      <c r="B113" s="516" t="str">
        <f>IF(OR(Var_Neo_WerkbriefTPNNICUmixGeheel&lt;&gt;"",Var_Neo_WerkbriefTPNNICUmixBreuk&lt;&gt;""),CONCATENATE(Var_Neo_WerkbriefTPNNICUmixTekst," ",Var_Neo_WerkbriefTPNNICUmixGeheel,",", Var_Neo_WerkbriefTPNNICUmixBreuk, " ml"),"")</f>
        <v/>
      </c>
    </row>
    <row r="114" spans="1:2" x14ac:dyDescent="0.2">
      <c r="A114" s="321" t="s">
        <v>1148</v>
      </c>
      <c r="B114" s="516" t="str">
        <f>IF(OR(Var_Neo_WerkbriefTPNSamBGeheel&lt;&gt;"",Var_Neo_WerkbriefTPNSamBBreuk&lt;&gt;""),CONCATENATE(Var_Neo_WerkbriefTPNSamBTekst," ",Var_Neo_WerkbriefTPNSamBGeheel,",", Var_Neo_WerkbriefTPNSamBBreuk, " ml"),"")</f>
        <v/>
      </c>
    </row>
    <row r="115" spans="1:2" x14ac:dyDescent="0.2">
      <c r="A115" s="321" t="s">
        <v>1148</v>
      </c>
      <c r="B115" s="516" t="str">
        <f>IF(OR(Var_Neo_WerkbriefTPNGlucGeheel&lt;&gt;"",Var_Neo_WerkbriefTPNGlucBreuk&lt;&gt;""),CONCATENATE(Var_Neo_WerkbriefTPNGlucTekst," ",Var_Neo_WerkbriefTPNGlucGeheel,",", ROUND(Var_Neo_WerkbriefTPNGlucBreuk,2), " ml"),"")</f>
        <v/>
      </c>
    </row>
    <row r="116" spans="1:2" x14ac:dyDescent="0.2">
      <c r="A116" s="321" t="s">
        <v>1148</v>
      </c>
      <c r="B116" s="516" t="str">
        <f>IF(Var_Neo_WerkbriefIntravasaleToegangStand&lt;&gt;"",CONCATENATE(Var_Neo_WerkbriefIntravasaleToegangTekst," ",Var_Neo_WerkbriefIntravasaleToegangStand, " ml/uur"),"")</f>
        <v/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autoPageBreaks="0"/>
  </sheetPr>
  <dimension ref="A1:P60"/>
  <sheetViews>
    <sheetView zoomScaleNormal="100" workbookViewId="0">
      <selection activeCell="N15" sqref="N15"/>
    </sheetView>
  </sheetViews>
  <sheetFormatPr defaultColWidth="5.7109375" defaultRowHeight="12.75" x14ac:dyDescent="0.2"/>
  <cols>
    <col min="1" max="12" width="5.7109375" style="208"/>
    <col min="13" max="14" width="7.85546875" style="208" customWidth="1"/>
    <col min="15" max="16384" width="5.7109375" style="208"/>
  </cols>
  <sheetData>
    <row r="1" spans="1:16" x14ac:dyDescent="0.2">
      <c r="A1" s="375" t="s">
        <v>551</v>
      </c>
      <c r="L1" s="208" t="s">
        <v>536</v>
      </c>
      <c r="M1" s="209">
        <f>__1_Bed</f>
        <v>0</v>
      </c>
    </row>
    <row r="2" spans="1:16" x14ac:dyDescent="0.2">
      <c r="A2" s="208" t="s">
        <v>552</v>
      </c>
      <c r="C2" s="210" t="str">
        <f>__3_VoorNaam&amp;" "&amp;__2_AchterNaam</f>
        <v xml:space="preserve"> </v>
      </c>
      <c r="G2" s="208" t="s">
        <v>553</v>
      </c>
      <c r="I2" s="1052">
        <f ca="1">TODAY()</f>
        <v>42748</v>
      </c>
      <c r="J2" s="1052"/>
      <c r="K2" s="1052"/>
      <c r="L2" s="208" t="s">
        <v>554</v>
      </c>
      <c r="M2" s="1053">
        <f ca="1">NOW()</f>
        <v>42748.478776620374</v>
      </c>
      <c r="N2" s="1053"/>
    </row>
    <row r="3" spans="1:16" x14ac:dyDescent="0.2">
      <c r="A3" s="208" t="s">
        <v>555</v>
      </c>
      <c r="C3" s="210">
        <f>(_Pat_Gewicht/10)*1000</f>
        <v>0</v>
      </c>
      <c r="D3" s="208" t="s">
        <v>31</v>
      </c>
      <c r="I3" s="211"/>
      <c r="J3" s="211"/>
      <c r="K3" s="211"/>
      <c r="M3" s="212"/>
      <c r="N3" s="212"/>
    </row>
    <row r="4" spans="1:16" x14ac:dyDescent="0.2">
      <c r="G4" s="208" t="s">
        <v>556</v>
      </c>
      <c r="I4" s="210" t="str">
        <f>IF(Var_Neo_InfB_Arts&gt;0,Var_Neo_InfB_Arts,"")</f>
        <v/>
      </c>
      <c r="L4" s="208" t="s">
        <v>557</v>
      </c>
      <c r="M4" s="213"/>
      <c r="N4" s="213"/>
      <c r="O4" s="213"/>
      <c r="P4" s="213"/>
    </row>
    <row r="5" spans="1:16" ht="24" customHeight="1" x14ac:dyDescent="0.2">
      <c r="A5" s="214" t="s">
        <v>185</v>
      </c>
      <c r="B5" s="215"/>
      <c r="C5" s="216" t="s">
        <v>558</v>
      </c>
      <c r="D5" s="216"/>
      <c r="E5" s="216"/>
      <c r="F5" s="216"/>
      <c r="G5" s="216"/>
      <c r="H5" s="217">
        <f ca="1">NeoGui1700!E28</f>
        <v>0</v>
      </c>
      <c r="I5" s="216" t="s">
        <v>171</v>
      </c>
      <c r="J5" s="216"/>
      <c r="K5" s="216"/>
      <c r="L5" s="216"/>
      <c r="M5" s="1054" t="s">
        <v>559</v>
      </c>
      <c r="N5" s="1055"/>
      <c r="O5" s="218" t="s">
        <v>560</v>
      </c>
      <c r="P5" s="219"/>
    </row>
    <row r="6" spans="1:16" ht="15" x14ac:dyDescent="0.2">
      <c r="A6" s="380" t="str">
        <f>IF(M6&lt;&gt;"",M6/24,"")</f>
        <v/>
      </c>
      <c r="B6" s="215"/>
      <c r="C6" s="214" t="str">
        <f>NeoGui1700!B30</f>
        <v>Arterielijn: 12 ml NaCl 0,45% + hep. (5EH/ml)</v>
      </c>
      <c r="D6" s="221"/>
      <c r="E6" s="221"/>
      <c r="F6" s="221"/>
      <c r="G6" s="221"/>
      <c r="H6" s="221"/>
      <c r="I6" s="221"/>
      <c r="J6" s="221"/>
      <c r="K6" s="221"/>
      <c r="L6" s="215"/>
      <c r="M6" s="222" t="str">
        <f>IF(24*NeoBer1700!B18&gt;0,TRUNC(24*NeoBer1700!B18/10),"")</f>
        <v/>
      </c>
      <c r="N6" s="222" t="str">
        <f>IF(NeoBer1700!B18&gt;0,(24*NeoBer1700!B18/10-M6)*10,"")</f>
        <v/>
      </c>
      <c r="O6" s="218" t="str">
        <f>IF(NeoBer1700!J18,"extra","")</f>
        <v/>
      </c>
      <c r="P6" s="219"/>
    </row>
    <row r="7" spans="1:16" ht="15" x14ac:dyDescent="0.2">
      <c r="A7" s="220"/>
      <c r="B7" s="221"/>
      <c r="C7" s="221"/>
      <c r="D7" s="221"/>
      <c r="E7" s="221"/>
      <c r="F7" s="221"/>
      <c r="G7" s="221"/>
      <c r="H7" s="221"/>
      <c r="I7" s="221"/>
      <c r="J7" s="221"/>
      <c r="K7" s="221"/>
      <c r="L7" s="221"/>
      <c r="M7" s="223"/>
      <c r="N7" s="223"/>
      <c r="O7" s="218"/>
      <c r="P7" s="219"/>
    </row>
    <row r="8" spans="1:16" ht="14.25" customHeight="1" x14ac:dyDescent="0.2">
      <c r="A8" s="224" t="str">
        <f ca="1">IF(M17&lt;&gt;"",IF(ROUND((M17+N17/100)/24,1)&gt;0,ROUND((M17+N17/100)/24,1),""),"")</f>
        <v/>
      </c>
      <c r="B8" s="218"/>
      <c r="C8" s="225"/>
      <c r="D8" s="226"/>
      <c r="E8" s="226"/>
      <c r="F8" s="226"/>
      <c r="G8" s="226"/>
      <c r="H8" s="226" t="s">
        <v>34</v>
      </c>
      <c r="I8" s="226"/>
      <c r="J8" s="226"/>
      <c r="K8" s="226"/>
      <c r="L8" s="227"/>
      <c r="M8" s="228" t="str">
        <f ca="1">IF(NeoBer1700!$K$37&gt;0,IF(Var_Neo_InfB_DagKeuze&lt;&gt;2,TRUNC(NeoBer1700!$C$37),0),"")</f>
        <v/>
      </c>
      <c r="N8" s="229" t="str">
        <f ca="1">IF(NeoBer1700!$K$37&gt;0,IF(_Neo_1700_DagKeuze&lt;&gt;2,(NeoBer1700!$C$37-M8)*100,0),"")</f>
        <v/>
      </c>
      <c r="O8" s="218"/>
      <c r="P8" s="219"/>
    </row>
    <row r="9" spans="1:16" ht="14.25" customHeight="1" x14ac:dyDescent="0.2">
      <c r="A9" s="230"/>
      <c r="B9" s="218"/>
      <c r="C9" s="214"/>
      <c r="D9" s="221"/>
      <c r="E9" s="221"/>
      <c r="F9" s="221"/>
      <c r="G9" s="221"/>
      <c r="H9" s="221" t="s">
        <v>561</v>
      </c>
      <c r="I9" s="221"/>
      <c r="J9" s="221"/>
      <c r="K9" s="221"/>
      <c r="L9" s="215"/>
      <c r="M9" s="231" t="str">
        <f ca="1">IF(NeoBer1700!$K$38&gt;0,IF(_Neo_1700_DagKeuze&lt;&gt;2,TRUNC(NeoBer1700!$C$38),0),"")</f>
        <v/>
      </c>
      <c r="N9" s="222" t="str">
        <f ca="1">IF(NeoBer1700!$K$38&gt;0,IF(_Neo_1700_DagKeuze&lt;&gt;2,(NeoBer1700!$C$38-M9)*100,0),"")</f>
        <v/>
      </c>
      <c r="O9" s="218"/>
      <c r="P9" s="219"/>
    </row>
    <row r="10" spans="1:16" ht="14.25" customHeight="1" x14ac:dyDescent="0.2">
      <c r="A10" s="230"/>
      <c r="B10" s="218"/>
      <c r="C10" s="225"/>
      <c r="D10" s="226"/>
      <c r="E10" s="226"/>
      <c r="F10" s="226"/>
      <c r="G10" s="226"/>
      <c r="H10" s="226" t="s">
        <v>439</v>
      </c>
      <c r="I10" s="226"/>
      <c r="J10" s="226"/>
      <c r="K10" s="226"/>
      <c r="L10" s="227"/>
      <c r="M10" s="228" t="str">
        <f ca="1">IF(NeoBer1700!$K$39&gt;0,TRUNC(NeoBer1700!$C$39),"")</f>
        <v/>
      </c>
      <c r="N10" s="229" t="str">
        <f ca="1">IF(NeoBer1700!$K$39&gt;0,IF(_Neo_1700_DagKeuze=1,NeoBer1700!$C$39-M10,0),"")</f>
        <v/>
      </c>
      <c r="O10" s="218"/>
      <c r="P10" s="219"/>
    </row>
    <row r="11" spans="1:16" ht="14.25" customHeight="1" x14ac:dyDescent="0.2">
      <c r="A11" s="230"/>
      <c r="B11" s="218"/>
      <c r="C11" s="214"/>
      <c r="D11" s="221"/>
      <c r="E11" s="221"/>
      <c r="F11" s="221"/>
      <c r="G11" s="221"/>
      <c r="H11" s="221" t="s">
        <v>440</v>
      </c>
      <c r="I11" s="221"/>
      <c r="J11" s="221"/>
      <c r="K11" s="221"/>
      <c r="L11" s="215"/>
      <c r="M11" s="231" t="str">
        <f ca="1">IF(NeoBer1700!$K$40&gt;0,TRUNC(NeoBer1700!$C$40),"")</f>
        <v/>
      </c>
      <c r="N11" s="222" t="str">
        <f ca="1">IF(NeoBer1700!$K$40&gt;0,IF(_Neo_1700_DagKeuze=1,(NeoBer1700!$C$40-M11)*100,0),"")</f>
        <v/>
      </c>
      <c r="O11" s="218"/>
      <c r="P11" s="219"/>
    </row>
    <row r="12" spans="1:16" ht="14.25" customHeight="1" x14ac:dyDescent="0.2">
      <c r="A12" s="230"/>
      <c r="B12" s="218"/>
      <c r="C12" s="225"/>
      <c r="D12" s="226"/>
      <c r="E12" s="226"/>
      <c r="F12" s="226"/>
      <c r="G12" s="226"/>
      <c r="H12" s="226" t="s">
        <v>210</v>
      </c>
      <c r="I12" s="226"/>
      <c r="J12" s="226"/>
      <c r="K12" s="226"/>
      <c r="L12" s="227"/>
      <c r="M12" s="228" t="str">
        <f ca="1">IF(NeoBer1700!$K$41&gt;0,TRUNC(NeoBer1700!$C$41),"")</f>
        <v/>
      </c>
      <c r="N12" s="229" t="str">
        <f ca="1">IF(NeoBer1700!$K$41&gt;0,IF(_Neo_1700_DagKeuze=1,(NeoBer1700!$C$41-M12)*100,0),"")</f>
        <v/>
      </c>
      <c r="O12" s="218"/>
      <c r="P12" s="219"/>
    </row>
    <row r="13" spans="1:16" ht="14.25" customHeight="1" x14ac:dyDescent="0.2">
      <c r="A13" s="230"/>
      <c r="B13" s="218"/>
      <c r="C13" s="214"/>
      <c r="D13" s="221"/>
      <c r="E13" s="221"/>
      <c r="F13" s="221"/>
      <c r="G13" s="221"/>
      <c r="H13" s="221" t="s">
        <v>562</v>
      </c>
      <c r="I13" s="221"/>
      <c r="J13" s="221"/>
      <c r="K13" s="221"/>
      <c r="L13" s="215"/>
      <c r="M13" s="231" t="str">
        <f ca="1">IF(NeoBer1700!$K$42&gt;0,TRUNC(NeoBer1700!$C$42),"")</f>
        <v/>
      </c>
      <c r="N13" s="222" t="str">
        <f ca="1">IF(NeoBer1700!$K$42&gt;0,IF(_Neo_1700_DagKeuze&lt;&gt;1,(NeoBer1700!$C$42-M13)*100,0),"")</f>
        <v/>
      </c>
      <c r="O13" s="218"/>
      <c r="P13" s="219"/>
    </row>
    <row r="14" spans="1:16" ht="14.25" customHeight="1" x14ac:dyDescent="0.2">
      <c r="A14" s="230"/>
      <c r="B14" s="218"/>
      <c r="C14" s="225"/>
      <c r="D14" s="226"/>
      <c r="E14" s="226"/>
      <c r="F14" s="226"/>
      <c r="G14" s="226"/>
      <c r="H14" s="226" t="s">
        <v>563</v>
      </c>
      <c r="I14" s="226"/>
      <c r="J14" s="226"/>
      <c r="K14" s="226"/>
      <c r="L14" s="227"/>
      <c r="M14" s="228" t="str">
        <f>IF(Var_Neo_InfB_DagKeuze=2,TRUNC(NeoBer1700!$C$43),"")</f>
        <v/>
      </c>
      <c r="N14" s="229" t="str">
        <f>IF(Var_Neo_InfB_DagKeuze=2,(NeoBer1700!$C$43-M14)*100,"")</f>
        <v/>
      </c>
      <c r="O14" s="218"/>
      <c r="P14" s="219"/>
    </row>
    <row r="15" spans="1:16" ht="14.25" customHeight="1" x14ac:dyDescent="0.2">
      <c r="A15" s="230"/>
      <c r="B15" s="218"/>
      <c r="C15" s="214"/>
      <c r="D15" s="221"/>
      <c r="E15" s="221"/>
      <c r="F15" s="221"/>
      <c r="G15" s="221"/>
      <c r="H15" s="221" t="s">
        <v>345</v>
      </c>
      <c r="I15" s="221"/>
      <c r="J15" s="221"/>
      <c r="K15" s="221"/>
      <c r="L15" s="215"/>
      <c r="M15" s="231" t="str">
        <f>IF(Var_Neo_InfB_DagKeuze=3,TRUNC(NeoBer1700!$C$44),"")</f>
        <v/>
      </c>
      <c r="N15" s="222" t="str">
        <f>IF(Var_Neo_InfB_DagKeuze=3,(NeoBer1700!$C$44-M15)*100,"")</f>
        <v/>
      </c>
      <c r="O15" s="218"/>
      <c r="P15" s="219"/>
    </row>
    <row r="16" spans="1:16" ht="14.25" customHeight="1" x14ac:dyDescent="0.2">
      <c r="A16" s="225"/>
      <c r="B16" s="227"/>
      <c r="C16" s="225"/>
      <c r="D16" s="226"/>
      <c r="E16" s="226"/>
      <c r="F16" s="226"/>
      <c r="G16" s="226"/>
      <c r="H16" s="226">
        <f>INDEX(tbl_Neo_Opl,NeoBer1700!D45+1,1)</f>
        <v>0</v>
      </c>
      <c r="I16" s="226"/>
      <c r="J16" s="226"/>
      <c r="K16" s="226"/>
      <c r="L16" s="227"/>
      <c r="M16" s="228" t="str">
        <f>IF(NeoBer1700!$K$45&gt;0,TRUNC(NeoBer1700!$K$45),"")</f>
        <v/>
      </c>
      <c r="N16" s="229" t="str">
        <f>IF(NeoBer1700!$K$45&gt;0,(NeoBer1700!$K$45-M16)*100,"")</f>
        <v/>
      </c>
      <c r="O16" s="218"/>
      <c r="P16" s="219"/>
    </row>
    <row r="17" spans="1:16" ht="14.25" customHeight="1" x14ac:dyDescent="0.2">
      <c r="A17" s="216"/>
      <c r="B17" s="216"/>
      <c r="C17" s="218"/>
      <c r="D17" s="218"/>
      <c r="E17" s="218"/>
      <c r="F17" s="218"/>
      <c r="G17" s="218"/>
      <c r="H17" s="232" t="s">
        <v>118</v>
      </c>
      <c r="I17" s="232"/>
      <c r="J17" s="232"/>
      <c r="K17" s="221"/>
      <c r="L17" s="221"/>
      <c r="M17" s="231" t="str">
        <f ca="1">IF(SUM(M8:N16)&gt;0,TRUNC(SUM(M8:M16)+SUM(N8:N16)/100),"")</f>
        <v/>
      </c>
      <c r="N17" s="222" t="str">
        <f ca="1">IF(SUM(M8:N16)&gt;0,(SUM(M8:M16)+SUM(N8:N16)/100-M17)*100,"")</f>
        <v/>
      </c>
      <c r="O17" s="218"/>
      <c r="P17" s="219"/>
    </row>
    <row r="18" spans="1:16" ht="14.25" customHeight="1" x14ac:dyDescent="0.2">
      <c r="A18" s="226"/>
      <c r="B18" s="226"/>
      <c r="C18" s="218"/>
      <c r="D18" s="218"/>
      <c r="E18" s="218"/>
      <c r="F18" s="218"/>
      <c r="G18" s="218"/>
      <c r="H18" s="218"/>
      <c r="I18" s="218"/>
      <c r="J18" s="233"/>
      <c r="K18" s="218"/>
      <c r="L18" s="218"/>
      <c r="M18" s="234"/>
      <c r="N18" s="235"/>
      <c r="O18" s="218"/>
      <c r="P18" s="219"/>
    </row>
    <row r="19" spans="1:16" ht="14.25" customHeight="1" x14ac:dyDescent="0.2">
      <c r="A19" s="214" t="s">
        <v>185</v>
      </c>
      <c r="B19" s="221"/>
      <c r="C19" s="215"/>
      <c r="D19" s="218"/>
      <c r="E19" s="218"/>
      <c r="F19" s="218"/>
      <c r="G19" s="218"/>
      <c r="H19" s="218"/>
      <c r="I19" s="218"/>
      <c r="J19" s="218"/>
      <c r="K19" s="218"/>
      <c r="L19" s="218"/>
      <c r="M19" s="236"/>
      <c r="N19" s="237"/>
      <c r="O19" s="218"/>
      <c r="P19" s="219"/>
    </row>
    <row r="20" spans="1:16" ht="14.25" customHeight="1" x14ac:dyDescent="0.2">
      <c r="A20" s="238" t="str">
        <f>IF(F20&lt;&gt;"",Var_Neo_InfB_Stand_10/10,"")</f>
        <v/>
      </c>
      <c r="B20" s="239"/>
      <c r="C20" s="240"/>
      <c r="D20" s="214" t="str">
        <f>IF(F20&lt;&gt;"","Zijlijn 1","")</f>
        <v/>
      </c>
      <c r="E20" s="221"/>
      <c r="F20" s="221" t="str">
        <f>IF(NeoBer1700!E29&gt;1,INDEX(tbl_Neo_Opl,NeoBer1700!E29,1),"")</f>
        <v/>
      </c>
      <c r="G20" s="221"/>
      <c r="H20" s="221"/>
      <c r="I20" s="221"/>
      <c r="J20" s="221"/>
      <c r="K20" s="221"/>
      <c r="L20" s="215"/>
      <c r="M20" s="231" t="str">
        <f>IF(F20&lt;&gt;"",TRUNC(A20*24),"")</f>
        <v/>
      </c>
      <c r="N20" s="222" t="str">
        <f>IF(F20&lt;&gt;"",((A20*24)-M20)*100,"")</f>
        <v/>
      </c>
      <c r="O20" s="218" t="str">
        <f>IF(Var_Neo_InfB_VochtExtra_12,"extra","")</f>
        <v/>
      </c>
      <c r="P20" s="219"/>
    </row>
    <row r="21" spans="1:16" ht="14.25" customHeight="1" x14ac:dyDescent="0.2">
      <c r="A21" s="238" t="str">
        <f>IF(F21&lt;&gt;"",Var_Neo_InfB_Stand_11/10,"")</f>
        <v/>
      </c>
      <c r="B21" s="239"/>
      <c r="C21" s="240"/>
      <c r="D21" s="214" t="str">
        <f>IF(F21&lt;&gt;"","Zijlijn 2","")</f>
        <v/>
      </c>
      <c r="E21" s="221"/>
      <c r="F21" s="221" t="str">
        <f>IF(NeoBer1700!E30&gt;1,INDEX(tbl_Neo_Opl,NeoBer1700!E30,1),"")</f>
        <v/>
      </c>
      <c r="G21" s="221"/>
      <c r="H21" s="221"/>
      <c r="I21" s="221"/>
      <c r="J21" s="221"/>
      <c r="K21" s="221"/>
      <c r="L21" s="215"/>
      <c r="M21" s="231" t="str">
        <f>IF(F21&lt;&gt;"",TRUNC(A21*24),"")</f>
        <v/>
      </c>
      <c r="N21" s="222" t="str">
        <f>IF(F21&lt;&gt;"",((A21*24)-M21)*100,"")</f>
        <v/>
      </c>
      <c r="O21" s="218" t="str">
        <f>IF(Var_Neo_InfB_VochtExtra_13,"extra","")</f>
        <v/>
      </c>
      <c r="P21" s="219"/>
    </row>
    <row r="22" spans="1:16" ht="14.25" customHeight="1" x14ac:dyDescent="0.2">
      <c r="A22" s="238" t="str">
        <f>IF(F22&lt;&gt;"",Var_Neo_InfB_Stand_12/10,"")</f>
        <v/>
      </c>
      <c r="B22" s="239"/>
      <c r="C22" s="240"/>
      <c r="D22" s="214" t="str">
        <f>IF(F22&lt;&gt;"","Zijlijn 3","")</f>
        <v/>
      </c>
      <c r="E22" s="221"/>
      <c r="F22" s="221" t="str">
        <f>IF(NeoBer1700!E31&gt;1,INDEX(tbl_Neo_Opl,NeoBer1700!E31,1),"")</f>
        <v/>
      </c>
      <c r="G22" s="221"/>
      <c r="H22" s="221"/>
      <c r="I22" s="221"/>
      <c r="J22" s="221"/>
      <c r="K22" s="221"/>
      <c r="L22" s="215"/>
      <c r="M22" s="231" t="str">
        <f>IF(F22&lt;&gt;"",TRUNC(A22*24),"")</f>
        <v/>
      </c>
      <c r="N22" s="222" t="str">
        <f>IF(F22&lt;&gt;"",((A22*24)-M22)*100,"")</f>
        <v/>
      </c>
      <c r="O22" s="218" t="str">
        <f>IF(Var_Neo_InfB_VochtExtra_14,"extra","")</f>
        <v/>
      </c>
      <c r="P22" s="219"/>
    </row>
    <row r="23" spans="1:16" ht="14.25" customHeight="1" x14ac:dyDescent="0.2">
      <c r="A23" s="238" t="str">
        <f ca="1">IF(D23&lt;&gt;"",ROUNDUP(NeoBer1700!C35/24,1),"")</f>
        <v/>
      </c>
      <c r="B23" s="239"/>
      <c r="C23" s="240"/>
      <c r="D23" s="214" t="str">
        <f ca="1">IF(NeoBer1700!C35&lt;&gt;0,INDEX(tbl_Neo_IntralipidSmof,_Neo_1700_IntralipidSmof),"")</f>
        <v/>
      </c>
      <c r="E23" s="221"/>
      <c r="F23" s="221"/>
      <c r="G23" s="221"/>
      <c r="H23" s="221"/>
      <c r="I23" s="221"/>
      <c r="J23" s="221"/>
      <c r="K23" s="221"/>
      <c r="L23" s="215"/>
      <c r="M23" s="231" t="str">
        <f ca="1">IF(D23&lt;&gt;"",TRUNC(NeoBer1700!C35),"")</f>
        <v/>
      </c>
      <c r="N23" s="222" t="str">
        <f ca="1">IF(D23&lt;&gt;"",(NeoBer1700!C35-M23)*100,"")</f>
        <v/>
      </c>
      <c r="O23" s="218"/>
      <c r="P23" s="219"/>
    </row>
    <row r="24" spans="1:16" ht="14.25" customHeight="1" x14ac:dyDescent="0.2">
      <c r="A24" s="221"/>
      <c r="B24" s="218"/>
      <c r="C24" s="218"/>
      <c r="D24" s="218"/>
      <c r="E24" s="218"/>
      <c r="F24" s="218"/>
      <c r="G24" s="218"/>
      <c r="H24" s="218"/>
      <c r="I24" s="218"/>
      <c r="J24" s="218"/>
      <c r="K24" s="218"/>
      <c r="L24" s="218"/>
      <c r="M24" s="241"/>
      <c r="N24" s="242"/>
      <c r="O24" s="218"/>
      <c r="P24" s="219"/>
    </row>
    <row r="25" spans="1:16" ht="14.25" customHeight="1" x14ac:dyDescent="0.2">
      <c r="A25" s="214" t="s">
        <v>185</v>
      </c>
      <c r="B25" s="215"/>
      <c r="C25" s="218"/>
      <c r="D25" s="218"/>
      <c r="E25" s="218"/>
      <c r="F25" s="218"/>
      <c r="G25" s="218"/>
      <c r="H25" s="218"/>
      <c r="I25" s="218"/>
      <c r="J25" s="218"/>
      <c r="K25" s="218"/>
      <c r="L25" s="218"/>
      <c r="M25" s="236"/>
      <c r="N25" s="237"/>
      <c r="O25" s="218"/>
      <c r="P25" s="219"/>
    </row>
    <row r="26" spans="1:16" ht="14.25" customHeight="1" x14ac:dyDescent="0.2">
      <c r="A26" s="238" t="str">
        <f>IF(NeoBer1700!B20&gt;1,NeoBer1700!F20/10,"")</f>
        <v/>
      </c>
      <c r="B26" s="238"/>
      <c r="C26" s="243" t="str">
        <f>IF(A26&lt;&gt;"",IF(NeoBer1700!B20&gt;1,INDEX(tbl_Neo_MedIV,NeoBer1700!B20,1),""),"")</f>
        <v/>
      </c>
      <c r="D26" s="216"/>
      <c r="E26" s="217" t="str">
        <f>IF(A26&lt;&gt;"",IF(NeoBer1700!B20&gt;1,NeoBer1700!C20/10,""),"")</f>
        <v/>
      </c>
      <c r="F26" s="216" t="str">
        <f>IF(Var_Neo_InfB_Medicament_1&lt;&gt;5,"mg","ml")</f>
        <v>mg</v>
      </c>
      <c r="G26" s="244" t="s">
        <v>564</v>
      </c>
      <c r="H26" s="216" t="str">
        <f>IF(A26&lt;&gt;"",IF(NeoBer1700!B20&gt;1,INDEX(tbl_Neo_MedIV,NeoBer1700!B20,3),""),"")</f>
        <v/>
      </c>
      <c r="I26" s="216" t="s">
        <v>565</v>
      </c>
      <c r="J26" s="216" t="str">
        <f>IF(A26&lt;&gt;"",IF(NeoBer1700!B20&gt;1,INDEX(tbl_Neo_MedIV,NeoBer1700!B20,4),""),"")</f>
        <v/>
      </c>
      <c r="K26" s="216" t="s">
        <v>566</v>
      </c>
      <c r="L26" s="216"/>
      <c r="M26" s="245" t="str">
        <f>IF(A26&lt;&gt;"",TRUNC((J26/H26)*E26),"")</f>
        <v/>
      </c>
      <c r="N26" s="246" t="str">
        <f>IF(A26&lt;&gt;"",(ROUND((J26/H26)*E26,2)-M26)*100,"")</f>
        <v/>
      </c>
      <c r="O26" s="218" t="str">
        <f>IF(C26&lt;&gt;"",IF(Var_Neo_InfB_VochtExtra_02,"extra",""),"")</f>
        <v/>
      </c>
      <c r="P26" s="219"/>
    </row>
    <row r="27" spans="1:16" ht="14.25" customHeight="1" x14ac:dyDescent="0.2">
      <c r="A27" s="238"/>
      <c r="B27" s="238"/>
      <c r="C27" s="230"/>
      <c r="D27" s="218"/>
      <c r="E27" s="218"/>
      <c r="F27" s="218"/>
      <c r="G27" s="247"/>
      <c r="H27" s="218"/>
      <c r="I27" s="218" t="s">
        <v>567</v>
      </c>
      <c r="J27" s="218" t="str">
        <f>IF(A26&lt;&gt;"",IF(A26&gt;0,NeoPrtAfspr!I33,""),"")</f>
        <v/>
      </c>
      <c r="K27" s="218"/>
      <c r="L27" s="218"/>
      <c r="M27" s="248" t="str">
        <f>IF(A26&lt;&gt;"",TRUNC(M28+N28/100-M26-N26/100),"")</f>
        <v/>
      </c>
      <c r="N27" s="249" t="str">
        <f>IF(A26&lt;&gt;"",(M28+N28/100-M26-N26/100-M27)*100,"")</f>
        <v/>
      </c>
      <c r="O27" s="218"/>
      <c r="P27" s="219"/>
    </row>
    <row r="28" spans="1:16" ht="14.25" customHeight="1" x14ac:dyDescent="0.2">
      <c r="A28" s="238"/>
      <c r="B28" s="238"/>
      <c r="C28" s="225" t="str">
        <f>IF(A26&lt;&gt;"",NeoPrtAfspr!K33,"")</f>
        <v/>
      </c>
      <c r="D28" s="226"/>
      <c r="E28" s="226" t="str">
        <f>IF(A26&lt;&gt;"",NeoPrtAfspr!M33&amp;" "&amp;NeoPrtAfspr!N33,"")</f>
        <v/>
      </c>
      <c r="F28" s="226"/>
      <c r="G28" s="250"/>
      <c r="H28" s="226"/>
      <c r="I28" s="226"/>
      <c r="J28" s="251" t="s">
        <v>118</v>
      </c>
      <c r="K28" s="226"/>
      <c r="L28" s="226"/>
      <c r="M28" s="231" t="str">
        <f>IF(A26&lt;&gt;"",TRUNC(Var_Neo_InfB_OplHoev_1),"")</f>
        <v/>
      </c>
      <c r="N28" s="222" t="str">
        <f>IF(A26&lt;&gt;"",(Var_Neo_InfB_OplHoev_1-M28)*100,"")</f>
        <v/>
      </c>
      <c r="O28" s="218"/>
      <c r="P28" s="219"/>
    </row>
    <row r="29" spans="1:16" ht="14.25" customHeight="1" x14ac:dyDescent="0.2">
      <c r="A29" s="238" t="str">
        <f>IF(NeoBer1700!B21&gt;1,NeoBer1700!F21/10,"")</f>
        <v/>
      </c>
      <c r="B29" s="238"/>
      <c r="C29" s="243" t="str">
        <f>IF(A29&lt;&gt;"",IF(NeoBer1700!B21&gt;1,INDEX(tbl_Neo_MedIV,NeoBer1700!B21,1),""),"")</f>
        <v/>
      </c>
      <c r="D29" s="216"/>
      <c r="E29" s="217" t="str">
        <f>IF(A29&lt;&gt;"",IF(NeoBer1700!B21&gt;1,NeoBer1700!C21/10,""),"")</f>
        <v/>
      </c>
      <c r="F29" s="216" t="str">
        <f>IF(Var_Neo_InfB_Medicament_2&lt;&gt;5,"mg","ml")</f>
        <v>mg</v>
      </c>
      <c r="G29" s="244" t="s">
        <v>564</v>
      </c>
      <c r="H29" s="216" t="str">
        <f>IF(A29&lt;&gt;"",IF(NeoBer1700!B21&gt;1,INDEX(tbl_Neo_MedIV,NeoBer1700!B21,3),""),"")</f>
        <v/>
      </c>
      <c r="I29" s="216" t="s">
        <v>565</v>
      </c>
      <c r="J29" s="216" t="str">
        <f>IF(A29&lt;&gt;"",IF(NeoBer1700!B21&gt;1,INDEX(tbl_Neo_MedIV,NeoBer1700!B21,4),""),"")</f>
        <v/>
      </c>
      <c r="K29" s="216" t="s">
        <v>566</v>
      </c>
      <c r="L29" s="216"/>
      <c r="M29" s="248" t="str">
        <f>IF(A29&lt;&gt;"",TRUNC((J29/H29)*E29),"")</f>
        <v/>
      </c>
      <c r="N29" s="249" t="str">
        <f>IF(A29&lt;&gt;"",(IF(A29&gt;0,ROUND((J29/H29)*E29,2),0)-M29)*100,"")</f>
        <v/>
      </c>
      <c r="O29" s="218" t="str">
        <f>IF(C29&lt;&gt;"",IF(Var_Neo_InfB_VochtExtra_03,"extra",""),"")</f>
        <v/>
      </c>
      <c r="P29" s="219"/>
    </row>
    <row r="30" spans="1:16" ht="14.25" customHeight="1" x14ac:dyDescent="0.2">
      <c r="A30" s="238"/>
      <c r="B30" s="238"/>
      <c r="C30" s="230"/>
      <c r="D30" s="218"/>
      <c r="E30" s="218"/>
      <c r="F30" s="218"/>
      <c r="G30" s="247"/>
      <c r="H30" s="218"/>
      <c r="I30" s="218" t="s">
        <v>567</v>
      </c>
      <c r="J30" s="218" t="str">
        <f>IF(A29&lt;&gt;"",IF(A29&gt;0,NeoPrtAfspr!I34,""),"")</f>
        <v/>
      </c>
      <c r="K30" s="218"/>
      <c r="L30" s="218"/>
      <c r="M30" s="248" t="str">
        <f>IF(A29&lt;&gt;"",TRUNC(IF(A29&gt;0,M31+N31/100-M29-N29/100,0)),"")</f>
        <v/>
      </c>
      <c r="N30" s="249" t="str">
        <f>IF(A29&lt;&gt;"",(IF(A29&gt;0,M31+N31/100-M29-N29/100,0)-M30)*100,"")</f>
        <v/>
      </c>
      <c r="O30" s="218"/>
      <c r="P30" s="219"/>
    </row>
    <row r="31" spans="1:16" ht="14.25" customHeight="1" x14ac:dyDescent="0.2">
      <c r="A31" s="238"/>
      <c r="B31" s="238"/>
      <c r="C31" s="225" t="str">
        <f>IF(A29&lt;&gt;"",NeoPrtAfspr!K34,"")</f>
        <v/>
      </c>
      <c r="D31" s="226"/>
      <c r="E31" s="226" t="str">
        <f>IF(A29&lt;&gt;"",NeoPrtAfspr!M34&amp;" "&amp;NeoPrtAfspr!N34,"")</f>
        <v/>
      </c>
      <c r="F31" s="226"/>
      <c r="G31" s="250"/>
      <c r="H31" s="226"/>
      <c r="I31" s="226"/>
      <c r="J31" s="251" t="s">
        <v>118</v>
      </c>
      <c r="K31" s="226"/>
      <c r="L31" s="226"/>
      <c r="M31" s="231" t="str">
        <f>IF(A29&lt;&gt;"",TRUNC(Var_Neo_InfB_OplHoev_2),"")</f>
        <v/>
      </c>
      <c r="N31" s="222" t="str">
        <f>IF(A29&lt;&gt;"",(Var_Neo_InfB_OplHoev_2-M31)*100,"")</f>
        <v/>
      </c>
      <c r="O31" s="218"/>
      <c r="P31" s="219"/>
    </row>
    <row r="32" spans="1:16" ht="14.25" customHeight="1" x14ac:dyDescent="0.2">
      <c r="A32" s="238" t="str">
        <f>IF(NeoBer1700!B22&gt;1,NeoBer1700!F22/10,"")</f>
        <v/>
      </c>
      <c r="B32" s="238"/>
      <c r="C32" s="243" t="str">
        <f>IF(A32&lt;&gt;"",IF(NeoBer1700!B22&gt;1,INDEX(tbl_Neo_MedIV,NeoBer1700!B22,1),""),"")</f>
        <v/>
      </c>
      <c r="D32" s="216"/>
      <c r="E32" s="217" t="str">
        <f>IF(A32&lt;&gt;"",IF(NeoBer1700!B22&gt;1,NeoBer1700!C22/10,""),"")</f>
        <v/>
      </c>
      <c r="F32" s="216" t="str">
        <f>IF(Var_Neo_InfB_Medicament_3&lt;&gt;5,"mg","ml")</f>
        <v>mg</v>
      </c>
      <c r="G32" s="244" t="s">
        <v>564</v>
      </c>
      <c r="H32" s="216" t="str">
        <f>IF(A32&lt;&gt;"",IF(NeoBer1700!B22&gt;1,INDEX(tbl_Neo_MedIV,NeoBer1700!B22,3),""),"")</f>
        <v/>
      </c>
      <c r="I32" s="216" t="s">
        <v>565</v>
      </c>
      <c r="J32" s="216" t="str">
        <f>IF(A32&lt;&gt;"",IF(NeoBer1700!B22&gt;1,INDEX(tbl_Neo_MedIV,NeoBer1700!B22,4),""),"")</f>
        <v/>
      </c>
      <c r="K32" s="216" t="s">
        <v>566</v>
      </c>
      <c r="L32" s="216"/>
      <c r="M32" s="245" t="str">
        <f>IF(A32&lt;&gt;"",TRUNC((J32/H32)*E32),"")</f>
        <v/>
      </c>
      <c r="N32" s="246" t="str">
        <f>IF(A32&lt;&gt;"",(IF(A32&gt;0,ROUND((J32/H32)*E32,2),0)-M32)*100,"")</f>
        <v/>
      </c>
      <c r="O32" s="218" t="str">
        <f>IF(C32&lt;&gt;"",IF(Var_Neo_InfB_VochtExtra_04,"extra",""),"")</f>
        <v/>
      </c>
      <c r="P32" s="219"/>
    </row>
    <row r="33" spans="1:16" ht="14.25" customHeight="1" x14ac:dyDescent="0.2">
      <c r="A33" s="238"/>
      <c r="B33" s="238"/>
      <c r="C33" s="230"/>
      <c r="D33" s="218"/>
      <c r="E33" s="218"/>
      <c r="F33" s="218"/>
      <c r="G33" s="247"/>
      <c r="H33" s="218"/>
      <c r="I33" s="218" t="s">
        <v>567</v>
      </c>
      <c r="J33" s="218" t="str">
        <f>IF(A32&lt;&gt;"",IF(A32&gt;0,NeoPrtAfspr!I35,""),"")</f>
        <v/>
      </c>
      <c r="K33" s="218"/>
      <c r="L33" s="218"/>
      <c r="M33" s="248" t="str">
        <f>IF(A32&lt;&gt;"",TRUNC(IF(A32&gt;0,M34+N34/100-M32-N32/100,0)),"")</f>
        <v/>
      </c>
      <c r="N33" s="249" t="str">
        <f>IF(A32&lt;&gt;"",(IF(A32&gt;0,M34+N34/100-M32-N32/100,0)-M33)*100,"")</f>
        <v/>
      </c>
      <c r="O33" s="218"/>
      <c r="P33" s="219"/>
    </row>
    <row r="34" spans="1:16" ht="14.25" customHeight="1" x14ac:dyDescent="0.2">
      <c r="A34" s="238"/>
      <c r="B34" s="238"/>
      <c r="C34" s="225" t="str">
        <f>IF(A32&lt;&gt;"",NeoPrtAfspr!K35,"")</f>
        <v/>
      </c>
      <c r="D34" s="226"/>
      <c r="E34" s="226" t="str">
        <f>IF(A32&lt;&gt;"",NeoPrtAfspr!M35&amp;" "&amp;NeoPrtAfspr!N35,"")</f>
        <v/>
      </c>
      <c r="F34" s="226"/>
      <c r="G34" s="250"/>
      <c r="H34" s="226"/>
      <c r="I34" s="226"/>
      <c r="J34" s="251" t="s">
        <v>118</v>
      </c>
      <c r="K34" s="226"/>
      <c r="L34" s="226"/>
      <c r="M34" s="231" t="str">
        <f>IF(A32&lt;&gt;"",TRUNC(Var_Neo_InfB_OplHoev_3),"")</f>
        <v/>
      </c>
      <c r="N34" s="222" t="str">
        <f>IF(A32&lt;&gt;"",(Var_Neo_InfB_OplHoev_3-M34)*100,"")</f>
        <v/>
      </c>
      <c r="O34" s="218"/>
      <c r="P34" s="219"/>
    </row>
    <row r="35" spans="1:16" ht="14.25" customHeight="1" x14ac:dyDescent="0.2">
      <c r="A35" s="238" t="str">
        <f>IF(NeoBer1700!B23&gt;1,NeoBer1700!F23/10,"")</f>
        <v/>
      </c>
      <c r="B35" s="238"/>
      <c r="C35" s="243" t="str">
        <f>IF(A35&lt;&gt;"",IF(NeoBer1700!B23&gt;1,INDEX(tbl_Neo_MedIV,NeoBer1700!B23,1),""),"")</f>
        <v/>
      </c>
      <c r="D35" s="216"/>
      <c r="E35" s="217" t="str">
        <f>IF(A35&lt;&gt;"",IF(NeoBer1700!B23&gt;1,NeoBer1700!C23/10,""),"")</f>
        <v/>
      </c>
      <c r="F35" s="216" t="str">
        <f>IF(Var_Neo_InfB_Medicament_4&lt;&gt;5,"mg","ml")</f>
        <v>mg</v>
      </c>
      <c r="G35" s="244" t="s">
        <v>564</v>
      </c>
      <c r="H35" s="216" t="str">
        <f>IF(A35&lt;&gt;"",IF(NeoBer1700!B23&gt;1,INDEX(tbl_Neo_MedIV,NeoBer1700!B23,3),""),"")</f>
        <v/>
      </c>
      <c r="I35" s="216" t="s">
        <v>565</v>
      </c>
      <c r="J35" s="216" t="str">
        <f>IF(A35&lt;&gt;"",IF(NeoBer1700!B23&gt;1,INDEX(tbl_Neo_MedIV,NeoBer1700!B23,4),""),"")</f>
        <v/>
      </c>
      <c r="K35" s="216" t="s">
        <v>566</v>
      </c>
      <c r="L35" s="216"/>
      <c r="M35" s="248" t="str">
        <f>IF(A35&lt;&gt;"",TRUNC((J35/H35)*E35),"")</f>
        <v/>
      </c>
      <c r="N35" s="249" t="str">
        <f>IF(A35&lt;&gt;"",(IF(A35&gt;0,ROUND((J35/H35)*E35,2),0)-M35)*100,"")</f>
        <v/>
      </c>
      <c r="O35" s="218" t="str">
        <f>IF(C35&lt;&gt;"",IF(Var_Neo_InfB_VochtExtra_05,"extra",""),"")</f>
        <v/>
      </c>
      <c r="P35" s="219"/>
    </row>
    <row r="36" spans="1:16" ht="14.25" customHeight="1" x14ac:dyDescent="0.2">
      <c r="A36" s="238"/>
      <c r="B36" s="238"/>
      <c r="C36" s="230"/>
      <c r="D36" s="218"/>
      <c r="E36" s="218"/>
      <c r="F36" s="218"/>
      <c r="G36" s="247"/>
      <c r="H36" s="218"/>
      <c r="I36" s="218" t="s">
        <v>567</v>
      </c>
      <c r="J36" s="218" t="str">
        <f>IF(A35&lt;&gt;"",IF(A35&gt;0,NeoPrtAfspr!I36,""),"")</f>
        <v/>
      </c>
      <c r="K36" s="218"/>
      <c r="L36" s="218"/>
      <c r="M36" s="248" t="str">
        <f>IF(A35&lt;&gt;"",TRUNC(IF(A35&gt;0,M37+N37/100-M35-N35/100,0)),"")</f>
        <v/>
      </c>
      <c r="N36" s="249" t="str">
        <f>IF(A35&lt;&gt;"",(IF(A35&gt;0,M37+N37/100-M35-N35/100,0)-M36)*100,"")</f>
        <v/>
      </c>
      <c r="O36" s="218"/>
      <c r="P36" s="219"/>
    </row>
    <row r="37" spans="1:16" ht="14.25" customHeight="1" x14ac:dyDescent="0.2">
      <c r="A37" s="238"/>
      <c r="B37" s="238"/>
      <c r="C37" s="225" t="str">
        <f>IF(A35&lt;&gt;"",NeoPrtAfspr!K36,"")</f>
        <v/>
      </c>
      <c r="D37" s="226"/>
      <c r="E37" s="226" t="str">
        <f>IF(A35&lt;&gt;"",NeoPrtAfspr!M36&amp;" "&amp;NeoPrtAfspr!N36,"")</f>
        <v/>
      </c>
      <c r="F37" s="226"/>
      <c r="G37" s="250"/>
      <c r="H37" s="226"/>
      <c r="I37" s="226"/>
      <c r="J37" s="251" t="s">
        <v>118</v>
      </c>
      <c r="K37" s="226"/>
      <c r="L37" s="226"/>
      <c r="M37" s="231" t="str">
        <f>IF(A35&lt;&gt;"",TRUNC(Var_Neo_InfB_OplHoev_4),"")</f>
        <v/>
      </c>
      <c r="N37" s="222" t="str">
        <f>IF(A35&lt;&gt;"",(Var_Neo_InfB_OplHoev_4-M37)*100,"")</f>
        <v/>
      </c>
      <c r="O37" s="218"/>
      <c r="P37" s="219"/>
    </row>
    <row r="38" spans="1:16" ht="14.25" customHeight="1" x14ac:dyDescent="0.2">
      <c r="A38" s="238" t="str">
        <f>IF(NeoBer1700!B24&gt;1,NeoBer1700!F24/10,"")</f>
        <v/>
      </c>
      <c r="B38" s="238"/>
      <c r="C38" s="243" t="str">
        <f>IF(A38&lt;&gt;"",IF(NeoBer1700!B24&gt;1,INDEX(tbl_Neo_MedIV,NeoBer1700!B24,1),""),"")</f>
        <v/>
      </c>
      <c r="D38" s="216"/>
      <c r="E38" s="217" t="str">
        <f>IF(A38&lt;&gt;"",IF(NeoBer1700!B24&gt;1,NeoBer1700!C24/10,""),"")</f>
        <v/>
      </c>
      <c r="F38" s="216" t="str">
        <f>IF(Var_Neo_InfB_Medicament_5&lt;&gt;5,"mg","ml")</f>
        <v>mg</v>
      </c>
      <c r="G38" s="244" t="s">
        <v>564</v>
      </c>
      <c r="H38" s="216" t="str">
        <f>IF(A38&lt;&gt;"",IF(NeoBer1700!B24&gt;1,INDEX(tbl_Neo_MedIV,NeoBer1700!B24,3),""),"")</f>
        <v/>
      </c>
      <c r="I38" s="216" t="s">
        <v>565</v>
      </c>
      <c r="J38" s="216" t="str">
        <f>IF(A38&lt;&gt;"",IF(NeoBer1700!B24&gt;1,INDEX(tbl_Neo_MedIV,NeoBer1700!B24,4),""),"")</f>
        <v/>
      </c>
      <c r="K38" s="216" t="s">
        <v>566</v>
      </c>
      <c r="L38" s="216"/>
      <c r="M38" s="245" t="str">
        <f>IF(A38&lt;&gt;"",TRUNC((J38/H38)*E38),"")</f>
        <v/>
      </c>
      <c r="N38" s="246" t="str">
        <f>IF(A38&lt;&gt;"",(IF(A38&gt;0,ROUND((J38/H38)*E38,2),0)-M38)*100,"")</f>
        <v/>
      </c>
      <c r="O38" s="218" t="str">
        <f>IF(C38&lt;&gt;"",IF(Var_Neo_InfB_VochtExtra_06,"extra",""),"")</f>
        <v/>
      </c>
      <c r="P38" s="219"/>
    </row>
    <row r="39" spans="1:16" ht="14.25" customHeight="1" x14ac:dyDescent="0.2">
      <c r="A39" s="238"/>
      <c r="B39" s="238"/>
      <c r="C39" s="230"/>
      <c r="D39" s="218"/>
      <c r="E39" s="218"/>
      <c r="F39" s="218"/>
      <c r="G39" s="247"/>
      <c r="H39" s="218"/>
      <c r="I39" s="218" t="s">
        <v>567</v>
      </c>
      <c r="J39" s="218" t="str">
        <f>IF(A38&lt;&gt;"",IF(A38&gt;0,NeoPrtAfspr!I37,""),"")</f>
        <v/>
      </c>
      <c r="K39" s="218"/>
      <c r="L39" s="218"/>
      <c r="M39" s="248" t="str">
        <f>IF(A38&lt;&gt;"",TRUNC(IF(A38&gt;0,M40+N40/100-M38-N38/100,0)),"")</f>
        <v/>
      </c>
      <c r="N39" s="249" t="str">
        <f>IF(A38&lt;&gt;"",(IF(A38&gt;0,M40+N40/100-M38-N38/100,0)-M39)*100,"")</f>
        <v/>
      </c>
      <c r="O39" s="218"/>
      <c r="P39" s="219"/>
    </row>
    <row r="40" spans="1:16" ht="14.25" customHeight="1" x14ac:dyDescent="0.2">
      <c r="A40" s="238"/>
      <c r="B40" s="238"/>
      <c r="C40" s="225" t="str">
        <f>IF(A38&lt;&gt;"",NeoPrtAfspr!K37,"")</f>
        <v/>
      </c>
      <c r="D40" s="226"/>
      <c r="E40" s="226" t="str">
        <f>IF(A38&lt;&gt;"",NeoPrtAfspr!M37&amp;" "&amp;NeoPrtAfspr!N37,"")</f>
        <v/>
      </c>
      <c r="F40" s="226"/>
      <c r="G40" s="250"/>
      <c r="H40" s="226"/>
      <c r="I40" s="226"/>
      <c r="J40" s="251" t="s">
        <v>118</v>
      </c>
      <c r="K40" s="226"/>
      <c r="L40" s="226"/>
      <c r="M40" s="231" t="str">
        <f>IF(A38&lt;&gt;"",TRUNC(Var_Neo_InfB_OplHoev_5),"")</f>
        <v/>
      </c>
      <c r="N40" s="222" t="str">
        <f>IF(A38&lt;&gt;"",(Var_Neo_InfB_OplHoev_5-M40)*100,"")</f>
        <v/>
      </c>
      <c r="O40" s="218"/>
      <c r="P40" s="219"/>
    </row>
    <row r="41" spans="1:16" ht="14.25" customHeight="1" x14ac:dyDescent="0.2">
      <c r="A41" s="238" t="str">
        <f>IF(NeoBer1700!B25&gt;1,NeoBer1700!F25/10,"")</f>
        <v/>
      </c>
      <c r="B41" s="238"/>
      <c r="C41" s="243" t="str">
        <f>IF(A41&lt;&gt;"",IF(NeoBer1700!B25&gt;1,INDEX(tbl_Neo_MedIV,NeoBer1700!B25,1),""),"")</f>
        <v/>
      </c>
      <c r="D41" s="216"/>
      <c r="E41" s="217" t="str">
        <f>IF(A41&lt;&gt;"",IF(NeoBer1700!B25&gt;1,NeoBer1700!C25/10,""),"")</f>
        <v/>
      </c>
      <c r="F41" s="216" t="str">
        <f>IF(Var_Neo_InfB_Medicament_6&lt;&gt;5,"mg","ml")</f>
        <v>mg</v>
      </c>
      <c r="G41" s="244" t="s">
        <v>564</v>
      </c>
      <c r="H41" s="216" t="str">
        <f>IF(A41&lt;&gt;"",IF(NeoBer1700!B25&gt;1,INDEX(tbl_Neo_MedIV,NeoBer1700!B25,3),""),"")</f>
        <v/>
      </c>
      <c r="I41" s="216" t="s">
        <v>565</v>
      </c>
      <c r="J41" s="216" t="str">
        <f>IF(A41&lt;&gt;"",IF(NeoBer1700!B25&gt;1,INDEX(tbl_Neo_MedIV,NeoBer1700!B25,4),""),"")</f>
        <v/>
      </c>
      <c r="K41" s="216" t="s">
        <v>566</v>
      </c>
      <c r="L41" s="216"/>
      <c r="M41" s="248" t="str">
        <f>IF(A41&lt;&gt;"",TRUNC((J41/H41)*E41),"")</f>
        <v/>
      </c>
      <c r="N41" s="249" t="str">
        <f>IF(A41&lt;&gt;"",(IF(A41&gt;0,ROUND((J41/H41)*E41,2),0)-M41)*100,"")</f>
        <v/>
      </c>
      <c r="O41" s="218" t="str">
        <f>IF(C41&lt;&gt;"",IF(Var_Neo_InfB_VochtExtra_07,"extra",""),"")</f>
        <v/>
      </c>
      <c r="P41" s="219"/>
    </row>
    <row r="42" spans="1:16" ht="14.25" customHeight="1" x14ac:dyDescent="0.2">
      <c r="A42" s="238"/>
      <c r="B42" s="238"/>
      <c r="C42" s="230"/>
      <c r="D42" s="218"/>
      <c r="E42" s="218"/>
      <c r="F42" s="218"/>
      <c r="G42" s="247"/>
      <c r="H42" s="218"/>
      <c r="I42" s="218" t="s">
        <v>567</v>
      </c>
      <c r="J42" s="218" t="str">
        <f>IF(A41&lt;&gt;"",IF(A41&gt;0,NeoPrtAfspr!I38,""),"")</f>
        <v/>
      </c>
      <c r="K42" s="218"/>
      <c r="L42" s="218"/>
      <c r="M42" s="248" t="str">
        <f>IF(A41&lt;&gt;"",TRUNC(IF(A41&gt;0,M43+N43/100-M41-N41/100,0)),"")</f>
        <v/>
      </c>
      <c r="N42" s="249" t="str">
        <f>IF(A41&lt;&gt;"",(IF(A41&gt;0,M43+N43/100-M41-N41/100,0)-M42)*100,"")</f>
        <v/>
      </c>
      <c r="O42" s="218"/>
      <c r="P42" s="219"/>
    </row>
    <row r="43" spans="1:16" ht="14.25" customHeight="1" x14ac:dyDescent="0.2">
      <c r="A43" s="238"/>
      <c r="B43" s="238"/>
      <c r="C43" s="225" t="str">
        <f>IF(A41&lt;&gt;"",NeoPrtAfspr!K38,"")</f>
        <v/>
      </c>
      <c r="D43" s="226"/>
      <c r="E43" s="226" t="str">
        <f>IF(A41&lt;&gt;"",NeoPrtAfspr!M38&amp;" "&amp;NeoPrtAfspr!N38,"")</f>
        <v/>
      </c>
      <c r="F43" s="226"/>
      <c r="G43" s="250"/>
      <c r="H43" s="226"/>
      <c r="I43" s="226"/>
      <c r="J43" s="251" t="s">
        <v>118</v>
      </c>
      <c r="K43" s="226"/>
      <c r="L43" s="226"/>
      <c r="M43" s="231" t="str">
        <f>IF(A41&lt;&gt;"",TRUNC(Var_Neo_InfB_OplHoev_6),"")</f>
        <v/>
      </c>
      <c r="N43" s="222" t="str">
        <f>IF(A41&lt;&gt;"",(Var_Neo_InfB_OplHoev_6-M43)*100,"")</f>
        <v/>
      </c>
      <c r="O43" s="218"/>
      <c r="P43" s="219"/>
    </row>
    <row r="44" spans="1:16" ht="14.25" customHeight="1" x14ac:dyDescent="0.2">
      <c r="A44" s="238" t="str">
        <f>IF(NeoBer1700!B26&gt;1,NeoBer1700!F26/10,"")</f>
        <v/>
      </c>
      <c r="B44" s="238"/>
      <c r="C44" s="243" t="str">
        <f>IF(A44&lt;&gt;"",IF(NeoBer1700!B26&gt;1,INDEX(tbl_Neo_MedIV,NeoBer1700!B26,1),""),"")</f>
        <v/>
      </c>
      <c r="D44" s="216"/>
      <c r="E44" s="217" t="str">
        <f>IF(A44&lt;&gt;"",IF(NeoBer1700!B26&gt;1,NeoBer1700!C26/10,""),"")</f>
        <v/>
      </c>
      <c r="F44" s="216" t="str">
        <f>IF(Var_Neo_InfB_Medicament_7&lt;&gt;5,"mg","ml")</f>
        <v>mg</v>
      </c>
      <c r="G44" s="244" t="s">
        <v>564</v>
      </c>
      <c r="H44" s="216" t="str">
        <f>IF(A44&lt;&gt;"",IF(NeoBer1700!B26&gt;1,INDEX(tbl_Neo_MedIV,NeoBer1700!B26,3),""),"")</f>
        <v/>
      </c>
      <c r="I44" s="216" t="s">
        <v>565</v>
      </c>
      <c r="J44" s="216" t="str">
        <f>IF(A44&lt;&gt;"",IF(NeoBer1700!B26&gt;1,INDEX(tbl_Neo_MedIV,NeoBer1700!B26,4),""),"")</f>
        <v/>
      </c>
      <c r="K44" s="216" t="s">
        <v>566</v>
      </c>
      <c r="L44" s="216"/>
      <c r="M44" s="245" t="str">
        <f>IF(A44&lt;&gt;"",TRUNC((J44/H44)*E44),"")</f>
        <v/>
      </c>
      <c r="N44" s="246" t="str">
        <f>IF(A44&lt;&gt;"",(IF(A44&gt;0,ROUND((J44/H44)*E44,2),0)-M44)*100,"")</f>
        <v/>
      </c>
      <c r="O44" s="218" t="str">
        <f>IF(C44&lt;&gt;"",IF(Var_Neo_InfB_VochtExtra_08,"extra",""),"")</f>
        <v/>
      </c>
      <c r="P44" s="219"/>
    </row>
    <row r="45" spans="1:16" ht="14.25" customHeight="1" x14ac:dyDescent="0.2">
      <c r="A45" s="238"/>
      <c r="B45" s="238"/>
      <c r="C45" s="230"/>
      <c r="D45" s="218"/>
      <c r="E45" s="218"/>
      <c r="F45" s="218"/>
      <c r="G45" s="247"/>
      <c r="H45" s="218"/>
      <c r="I45" s="218" t="s">
        <v>567</v>
      </c>
      <c r="J45" s="218" t="str">
        <f>IF(A44&lt;&gt;"",IF(A44&gt;0,NeoPrtAfspr!I39,""),"")</f>
        <v/>
      </c>
      <c r="K45" s="218"/>
      <c r="L45" s="218"/>
      <c r="M45" s="248" t="str">
        <f>IF(A44&lt;&gt;"",TRUNC(IF(A44&gt;0,M46+N46/100-M44-N44/100,0)),"")</f>
        <v/>
      </c>
      <c r="N45" s="249" t="str">
        <f>IF(A44&lt;&gt;"",(IF(A44&gt;0,M46+N46/100-M44-N44/100,0)-M45)*100,"")</f>
        <v/>
      </c>
      <c r="O45" s="218"/>
      <c r="P45" s="219"/>
    </row>
    <row r="46" spans="1:16" ht="14.25" customHeight="1" x14ac:dyDescent="0.2">
      <c r="A46" s="238"/>
      <c r="B46" s="238"/>
      <c r="C46" s="225" t="str">
        <f>IF(A44&lt;&gt;"",NeoPrtAfspr!K39,"")</f>
        <v/>
      </c>
      <c r="D46" s="226"/>
      <c r="E46" s="226" t="str">
        <f>IF(A44&lt;&gt;"",NeoPrtAfspr!M39&amp;" "&amp;NeoPrtAfspr!N39,"")</f>
        <v/>
      </c>
      <c r="F46" s="226"/>
      <c r="G46" s="250"/>
      <c r="H46" s="226"/>
      <c r="I46" s="226"/>
      <c r="J46" s="251" t="s">
        <v>118</v>
      </c>
      <c r="K46" s="226"/>
      <c r="L46" s="226"/>
      <c r="M46" s="231" t="str">
        <f>IF(A44&lt;&gt;"",TRUNC(Var_Neo_InfB_OplHoev_7),"")</f>
        <v/>
      </c>
      <c r="N46" s="222" t="str">
        <f>IF(A44&lt;&gt;"",(Var_Neo_InfB_OplHoev_7-M46)*100,"")</f>
        <v/>
      </c>
      <c r="O46" s="218"/>
      <c r="P46" s="219"/>
    </row>
    <row r="47" spans="1:16" ht="14.25" customHeight="1" x14ac:dyDescent="0.2">
      <c r="A47" s="238" t="str">
        <f>IF(NeoBer1700!B27&gt;1,NeoBer1700!F27/10,"")</f>
        <v/>
      </c>
      <c r="B47" s="238"/>
      <c r="C47" s="243" t="str">
        <f>IF(A47&lt;&gt;"",IF(NeoBer1700!B27&gt;1,INDEX(tbl_Neo_MedIV,NeoBer1700!B27,1),""),"")</f>
        <v/>
      </c>
      <c r="D47" s="216"/>
      <c r="E47" s="217" t="str">
        <f>IF(A47&lt;&gt;"",IF(NeoBer1700!B27&gt;1,NeoBer1700!C27/10,""),"")</f>
        <v/>
      </c>
      <c r="F47" s="216" t="str">
        <f>IF(Var_Neo_InfB_Medicament_8&lt;&gt;5,"mg","ml")</f>
        <v>mg</v>
      </c>
      <c r="G47" s="244" t="s">
        <v>564</v>
      </c>
      <c r="H47" s="216" t="str">
        <f>IF(A47&lt;&gt;"",IF(NeoBer1700!B27&gt;1,INDEX(tbl_Neo_MedIV,NeoBer1700!B27,3),""),"")</f>
        <v/>
      </c>
      <c r="I47" s="216" t="s">
        <v>565</v>
      </c>
      <c r="J47" s="216" t="str">
        <f>IF(A47&lt;&gt;"",IF(NeoBer1700!B27&gt;1,INDEX(tbl_Neo_MedIV,NeoBer1700!B27,4),""),"")</f>
        <v/>
      </c>
      <c r="K47" s="216" t="s">
        <v>566</v>
      </c>
      <c r="L47" s="216"/>
      <c r="M47" s="248" t="str">
        <f>IF(A47&lt;&gt;"",TRUNC((J47/H47)*E47),"")</f>
        <v/>
      </c>
      <c r="N47" s="249" t="str">
        <f>IF(A47&lt;&gt;"",(IF(A47&gt;0,ROUND((J47/H47)*E47,2),0)-M47)*100,"")</f>
        <v/>
      </c>
      <c r="O47" s="218" t="str">
        <f>IF(C47&lt;&gt;"",IF(Var_Neo_InfB_VochtExtra_02=8,"extra",""),"")</f>
        <v/>
      </c>
      <c r="P47" s="219"/>
    </row>
    <row r="48" spans="1:16" ht="14.25" customHeight="1" x14ac:dyDescent="0.2">
      <c r="A48" s="238"/>
      <c r="B48" s="238"/>
      <c r="C48" s="230"/>
      <c r="D48" s="218"/>
      <c r="E48" s="218"/>
      <c r="F48" s="218"/>
      <c r="G48" s="247"/>
      <c r="H48" s="218"/>
      <c r="I48" s="218" t="s">
        <v>567</v>
      </c>
      <c r="J48" s="218" t="str">
        <f>IF(A47&lt;&gt;"",IF(A47&gt;0,NeoPrtAfspr!I40,""),"")</f>
        <v/>
      </c>
      <c r="K48" s="218"/>
      <c r="L48" s="218"/>
      <c r="M48" s="248" t="str">
        <f>IF(A47&lt;&gt;"",TRUNC(IF(A47&gt;0,M49+N49/100-M47-N47/100,0)),"")</f>
        <v/>
      </c>
      <c r="N48" s="249" t="str">
        <f>IF(A47&lt;&gt;"",(IF(A47&gt;0,M49+N49/100-M47-N47/100,0)-M48)*100,"")</f>
        <v/>
      </c>
      <c r="O48" s="218"/>
      <c r="P48" s="219"/>
    </row>
    <row r="49" spans="1:16" ht="14.25" customHeight="1" x14ac:dyDescent="0.2">
      <c r="A49" s="238"/>
      <c r="B49" s="238"/>
      <c r="C49" s="225" t="str">
        <f>IF(A47&lt;&gt;"",NeoPrtAfspr!K40,"")</f>
        <v/>
      </c>
      <c r="D49" s="226"/>
      <c r="E49" s="226" t="str">
        <f>IF(A47&lt;&gt;"",NeoPrtAfspr!M40&amp;" "&amp;NeoPrtAfspr!N40,"")</f>
        <v/>
      </c>
      <c r="F49" s="226"/>
      <c r="G49" s="250"/>
      <c r="H49" s="226"/>
      <c r="I49" s="226"/>
      <c r="J49" s="251" t="s">
        <v>118</v>
      </c>
      <c r="K49" s="226"/>
      <c r="L49" s="226"/>
      <c r="M49" s="231" t="str">
        <f>IF(A47&lt;&gt;"",TRUNC(Var_Neo_InfB_OplHoev_8),"")</f>
        <v/>
      </c>
      <c r="N49" s="222" t="str">
        <f>IF(A47&lt;&gt;"",(Var_Neo_InfB_OplHoev_8-M49)*100,"")</f>
        <v/>
      </c>
      <c r="O49" s="218"/>
      <c r="P49" s="219"/>
    </row>
    <row r="50" spans="1:16" ht="14.25" customHeight="1" x14ac:dyDescent="0.2">
      <c r="A50" s="238" t="str">
        <f>IF(NeoBer1700!B28&gt;1,NeoBer1700!F28/10,"")</f>
        <v/>
      </c>
      <c r="B50" s="238"/>
      <c r="C50" s="243" t="str">
        <f>IF(A50&lt;&gt;"",IF(NeoBer1700!B28&gt;1,INDEX(tbl_Neo_MedIV,NeoBer1700!B28,1),""),"")</f>
        <v/>
      </c>
      <c r="D50" s="216"/>
      <c r="E50" s="217" t="str">
        <f>IF(A50&lt;&gt;"",IF(NeoBer1700!B28&gt;1,NeoBer1700!C28/10,""),"")</f>
        <v/>
      </c>
      <c r="F50" s="216" t="str">
        <f>IF(Var_Neo_InfB_Medicament_9&lt;&gt;5,"mg","ml")</f>
        <v>mg</v>
      </c>
      <c r="G50" s="244" t="s">
        <v>564</v>
      </c>
      <c r="H50" s="216" t="str">
        <f>IF(A50&lt;&gt;"",IF(NeoBer1700!B28&gt;1,INDEX(tbl_Neo_MedIV,NeoBer1700!B28,3),""),"")</f>
        <v/>
      </c>
      <c r="I50" s="216" t="s">
        <v>565</v>
      </c>
      <c r="J50" s="216" t="str">
        <f>IF(A50&lt;&gt;"",IF(NeoBer1700!B28&gt;1,INDEX(tbl_Neo_MedIV,NeoBer1700!B28,4),""),"")</f>
        <v/>
      </c>
      <c r="K50" s="216" t="s">
        <v>566</v>
      </c>
      <c r="L50" s="216"/>
      <c r="M50" s="245" t="str">
        <f>IF(A50&lt;&gt;"",TRUNC((J50/H50)*E50),"")</f>
        <v/>
      </c>
      <c r="N50" s="246" t="str">
        <f>IF(A50&lt;&gt;"",(IF(A50&gt;0,ROUND((J50/H50)*E50,2),0)-M50)*100,"")</f>
        <v/>
      </c>
      <c r="O50" s="218" t="str">
        <f>IF(C50&lt;&gt;"",IF(Var_Neo_InfB_VochtExtra_10,"extra",""),"")</f>
        <v/>
      </c>
      <c r="P50" s="219"/>
    </row>
    <row r="51" spans="1:16" ht="14.25" customHeight="1" x14ac:dyDescent="0.2">
      <c r="A51" s="238"/>
      <c r="B51" s="238"/>
      <c r="C51" s="230"/>
      <c r="D51" s="218"/>
      <c r="E51" s="218"/>
      <c r="F51" s="218"/>
      <c r="G51" s="247"/>
      <c r="H51" s="218"/>
      <c r="I51" s="218" t="s">
        <v>567</v>
      </c>
      <c r="J51" s="218" t="str">
        <f>IF(A50&lt;&gt;"",IF(A50&gt;0,NeoPrtAfspr!I41,""),"")</f>
        <v/>
      </c>
      <c r="K51" s="218"/>
      <c r="L51" s="218"/>
      <c r="M51" s="248" t="str">
        <f>IF(A50&lt;&gt;"",TRUNC(IF(A50&gt;0,M52+N52/100-M50-N50/100,0)),"")</f>
        <v/>
      </c>
      <c r="N51" s="249" t="str">
        <f>IF(A50&lt;&gt;"",(IF(A50&gt;0,M52+N52/100-M50-N50/100,0)-M51)*100,"")</f>
        <v/>
      </c>
      <c r="O51" s="218"/>
      <c r="P51" s="219"/>
    </row>
    <row r="52" spans="1:16" ht="14.25" customHeight="1" x14ac:dyDescent="0.2">
      <c r="A52" s="238"/>
      <c r="B52" s="238"/>
      <c r="C52" s="225" t="str">
        <f>IF(A50&lt;&gt;"",NeoPrtAfspr!K41,"")</f>
        <v/>
      </c>
      <c r="D52" s="226"/>
      <c r="E52" s="226" t="str">
        <f>IF(A50&lt;&gt;"",NeoPrtAfspr!M41&amp;" "&amp;NeoPrtAfspr!N41,"")</f>
        <v/>
      </c>
      <c r="F52" s="226"/>
      <c r="G52" s="250"/>
      <c r="H52" s="226"/>
      <c r="I52" s="226"/>
      <c r="J52" s="251" t="s">
        <v>118</v>
      </c>
      <c r="K52" s="226"/>
      <c r="L52" s="226"/>
      <c r="M52" s="231" t="str">
        <f>IF(A50&lt;&gt;"",TRUNC(Var_Neo_InfB_OplHoev_9),"")</f>
        <v/>
      </c>
      <c r="N52" s="222" t="str">
        <f>IF(A50&lt;&gt;"",(Var_Neo_InfB_OplHoev_9-M52)*100,"")</f>
        <v/>
      </c>
      <c r="O52" s="218"/>
      <c r="P52" s="219"/>
    </row>
    <row r="53" spans="1:16" ht="14.25" customHeight="1" x14ac:dyDescent="0.2">
      <c r="C53" s="218"/>
      <c r="D53" s="218"/>
      <c r="E53" s="218"/>
      <c r="F53" s="218"/>
      <c r="G53" s="218"/>
      <c r="H53" s="218"/>
      <c r="I53" s="218"/>
      <c r="J53" s="218"/>
      <c r="K53" s="218"/>
      <c r="L53" s="218"/>
      <c r="M53" s="252"/>
      <c r="N53" s="253"/>
      <c r="O53" s="218"/>
      <c r="P53" s="219"/>
    </row>
    <row r="54" spans="1:16" ht="14.25" customHeight="1" x14ac:dyDescent="0.2">
      <c r="A54" s="214"/>
      <c r="B54" s="215"/>
      <c r="C54" s="254" t="str">
        <f>IF(NeoPrtAfspr!B45&lt;&gt;0,NeoPrtAfspr!B45,"")</f>
        <v/>
      </c>
      <c r="D54" s="221"/>
      <c r="E54" s="221"/>
      <c r="F54" s="221"/>
      <c r="G54" s="255"/>
      <c r="H54" s="221"/>
      <c r="I54" s="221"/>
      <c r="J54" s="221"/>
      <c r="K54" s="221"/>
      <c r="L54" s="215"/>
      <c r="M54" s="256"/>
      <c r="N54" s="256"/>
      <c r="O54" s="218"/>
      <c r="P54" s="219"/>
    </row>
    <row r="55" spans="1:16" ht="14.25" customHeight="1" x14ac:dyDescent="0.2">
      <c r="A55" s="214"/>
      <c r="B55" s="215"/>
      <c r="C55" s="254" t="str">
        <f>IF(NeoPrtAfspr!B46&lt;&gt;0,NeoPrtAfspr!B46,"")</f>
        <v/>
      </c>
      <c r="D55" s="221"/>
      <c r="E55" s="221"/>
      <c r="F55" s="221"/>
      <c r="G55" s="255"/>
      <c r="H55" s="221"/>
      <c r="I55" s="221"/>
      <c r="J55" s="221"/>
      <c r="K55" s="221"/>
      <c r="L55" s="215"/>
      <c r="M55" s="256"/>
      <c r="N55" s="256"/>
      <c r="O55" s="218"/>
      <c r="P55" s="219"/>
    </row>
    <row r="56" spans="1:16" ht="14.25" customHeight="1" x14ac:dyDescent="0.2">
      <c r="A56" s="214"/>
      <c r="B56" s="215"/>
      <c r="C56" s="254"/>
      <c r="D56" s="221"/>
      <c r="E56" s="221"/>
      <c r="F56" s="221"/>
      <c r="G56" s="255"/>
      <c r="H56" s="221"/>
      <c r="I56" s="221"/>
      <c r="J56" s="221"/>
      <c r="K56" s="221"/>
      <c r="L56" s="215"/>
      <c r="M56" s="256"/>
      <c r="N56" s="256"/>
      <c r="O56" s="218"/>
      <c r="P56" s="219"/>
    </row>
    <row r="57" spans="1:16" ht="14.25" customHeight="1" x14ac:dyDescent="0.2">
      <c r="D57" s="257"/>
    </row>
    <row r="58" spans="1:16" ht="9.75" customHeight="1" x14ac:dyDescent="0.2"/>
    <row r="59" spans="1:16" ht="14.25" customHeight="1" x14ac:dyDescent="0.2"/>
    <row r="60" spans="1:16" ht="14.25" customHeight="1" x14ac:dyDescent="0.2"/>
  </sheetData>
  <mergeCells count="3">
    <mergeCell ref="I2:K2"/>
    <mergeCell ref="M2:N2"/>
    <mergeCell ref="M5:N5"/>
  </mergeCells>
  <pageMargins left="0.73" right="0.28000000000000003" top="0.37" bottom="0.51" header="0.16" footer="0.14000000000000001"/>
  <pageSetup paperSize="9" orientation="portrait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K28"/>
  <sheetViews>
    <sheetView workbookViewId="0">
      <selection activeCell="A2" sqref="A2"/>
    </sheetView>
  </sheetViews>
  <sheetFormatPr defaultRowHeight="12.75" x14ac:dyDescent="0.2"/>
  <cols>
    <col min="2" max="2" width="30.7109375" bestFit="1" customWidth="1"/>
    <col min="3" max="3" width="26.140625" customWidth="1"/>
    <col min="6" max="6" width="12.28515625" bestFit="1" customWidth="1"/>
    <col min="7" max="7" width="12.7109375" bestFit="1" customWidth="1"/>
    <col min="8" max="10" width="17.85546875" customWidth="1"/>
    <col min="11" max="11" width="9.85546875" bestFit="1" customWidth="1"/>
  </cols>
  <sheetData>
    <row r="1" spans="1:11" x14ac:dyDescent="0.2">
      <c r="A1" s="373"/>
      <c r="B1" s="407" t="s">
        <v>619</v>
      </c>
      <c r="C1" s="407" t="s">
        <v>620</v>
      </c>
      <c r="D1" s="407" t="s">
        <v>170</v>
      </c>
      <c r="E1" s="407" t="s">
        <v>171</v>
      </c>
      <c r="F1" s="407" t="s">
        <v>1161</v>
      </c>
      <c r="G1" s="407"/>
      <c r="H1" s="407" t="s">
        <v>1125</v>
      </c>
      <c r="I1" s="407" t="s">
        <v>1126</v>
      </c>
      <c r="J1" s="408" t="s">
        <v>1124</v>
      </c>
      <c r="K1" s="408" t="s">
        <v>1135</v>
      </c>
    </row>
    <row r="2" spans="1:11" x14ac:dyDescent="0.2">
      <c r="A2" s="407">
        <v>1</v>
      </c>
      <c r="B2" s="407"/>
      <c r="C2" s="407"/>
      <c r="D2" s="407"/>
      <c r="E2" s="407"/>
      <c r="F2" s="407"/>
      <c r="G2" s="407"/>
      <c r="H2" s="407"/>
      <c r="I2" s="407"/>
      <c r="K2">
        <v>1</v>
      </c>
    </row>
    <row r="3" spans="1:11" x14ac:dyDescent="0.2">
      <c r="A3" s="407">
        <v>2</v>
      </c>
      <c r="B3" s="407" t="s">
        <v>126</v>
      </c>
      <c r="C3" s="407" t="s">
        <v>781</v>
      </c>
      <c r="D3" s="407">
        <v>0.1</v>
      </c>
      <c r="E3" s="407">
        <v>1</v>
      </c>
      <c r="F3" s="407">
        <v>2</v>
      </c>
      <c r="G3" s="407" t="s">
        <v>626</v>
      </c>
      <c r="H3" s="407">
        <v>0.05</v>
      </c>
      <c r="I3" s="407">
        <v>0.1</v>
      </c>
      <c r="J3">
        <v>0.5</v>
      </c>
      <c r="K3">
        <v>3</v>
      </c>
    </row>
    <row r="4" spans="1:11" x14ac:dyDescent="0.2">
      <c r="A4" s="407">
        <v>3</v>
      </c>
      <c r="B4" s="407" t="s">
        <v>783</v>
      </c>
      <c r="C4" s="407" t="s">
        <v>763</v>
      </c>
      <c r="D4" s="407">
        <v>0.5</v>
      </c>
      <c r="E4" s="407">
        <v>1</v>
      </c>
      <c r="F4" s="407">
        <v>6</v>
      </c>
      <c r="G4" s="407" t="s">
        <v>434</v>
      </c>
      <c r="H4" s="407">
        <v>10</v>
      </c>
      <c r="I4" s="407">
        <v>100</v>
      </c>
      <c r="J4" s="320">
        <v>100</v>
      </c>
      <c r="K4">
        <v>3</v>
      </c>
    </row>
    <row r="5" spans="1:11" x14ac:dyDescent="0.2">
      <c r="A5" s="407">
        <v>4</v>
      </c>
      <c r="B5" s="407" t="s">
        <v>784</v>
      </c>
      <c r="C5" s="407" t="s">
        <v>785</v>
      </c>
      <c r="D5" s="407">
        <v>50</v>
      </c>
      <c r="E5" s="407">
        <v>1</v>
      </c>
      <c r="F5" s="407">
        <v>2</v>
      </c>
      <c r="G5" s="407" t="s">
        <v>626</v>
      </c>
      <c r="H5" s="407">
        <v>5</v>
      </c>
      <c r="I5" s="407">
        <v>15</v>
      </c>
      <c r="J5" s="320">
        <v>15</v>
      </c>
      <c r="K5">
        <v>3</v>
      </c>
    </row>
    <row r="6" spans="1:11" x14ac:dyDescent="0.2">
      <c r="A6" s="407">
        <v>5</v>
      </c>
      <c r="B6" s="407" t="s">
        <v>806</v>
      </c>
      <c r="C6" s="407" t="s">
        <v>624</v>
      </c>
      <c r="D6" s="407">
        <v>1</v>
      </c>
      <c r="E6" s="407">
        <v>2</v>
      </c>
      <c r="F6" s="407">
        <v>3</v>
      </c>
      <c r="G6" s="407" t="s">
        <v>374</v>
      </c>
      <c r="H6" s="407">
        <v>0.1</v>
      </c>
      <c r="I6" s="407">
        <v>0.5</v>
      </c>
      <c r="J6" s="320">
        <v>0.5</v>
      </c>
      <c r="K6">
        <v>3</v>
      </c>
    </row>
    <row r="7" spans="1:11" x14ac:dyDescent="0.2">
      <c r="A7" s="407">
        <v>6</v>
      </c>
      <c r="B7" s="407" t="s">
        <v>786</v>
      </c>
      <c r="C7" s="407" t="s">
        <v>811</v>
      </c>
      <c r="D7" s="407">
        <v>0.15</v>
      </c>
      <c r="E7" s="407">
        <v>1</v>
      </c>
      <c r="F7" s="407">
        <v>7</v>
      </c>
      <c r="G7" s="407" t="s">
        <v>787</v>
      </c>
      <c r="H7" s="407">
        <v>0.25</v>
      </c>
      <c r="I7" s="407">
        <v>2</v>
      </c>
      <c r="J7" s="320">
        <v>2</v>
      </c>
      <c r="K7">
        <v>12</v>
      </c>
    </row>
    <row r="8" spans="1:11" x14ac:dyDescent="0.2">
      <c r="A8" s="407">
        <v>7</v>
      </c>
      <c r="B8" s="407" t="s">
        <v>788</v>
      </c>
      <c r="C8" s="407" t="s">
        <v>629</v>
      </c>
      <c r="D8" s="407">
        <v>12.5</v>
      </c>
      <c r="E8" s="407">
        <v>1</v>
      </c>
      <c r="F8" s="407">
        <v>2</v>
      </c>
      <c r="G8" s="407" t="s">
        <v>626</v>
      </c>
      <c r="H8" s="407">
        <v>2.5</v>
      </c>
      <c r="I8" s="407">
        <v>20</v>
      </c>
      <c r="J8" s="320">
        <v>20</v>
      </c>
      <c r="K8">
        <v>3</v>
      </c>
    </row>
    <row r="9" spans="1:11" x14ac:dyDescent="0.2">
      <c r="A9" s="407">
        <v>8</v>
      </c>
      <c r="B9" s="407" t="s">
        <v>789</v>
      </c>
      <c r="C9" s="407" t="s">
        <v>632</v>
      </c>
      <c r="D9" s="407">
        <v>40</v>
      </c>
      <c r="E9" s="407">
        <v>1</v>
      </c>
      <c r="F9" s="407">
        <v>2</v>
      </c>
      <c r="G9" s="407" t="s">
        <v>626</v>
      </c>
      <c r="H9" s="407">
        <v>1</v>
      </c>
      <c r="I9" s="407">
        <v>20</v>
      </c>
      <c r="J9" s="320">
        <v>20</v>
      </c>
      <c r="K9">
        <v>3</v>
      </c>
    </row>
    <row r="10" spans="1:11" s="344" customFormat="1" ht="15" x14ac:dyDescent="0.25">
      <c r="A10" s="407">
        <v>9</v>
      </c>
      <c r="B10" s="519" t="s">
        <v>1154</v>
      </c>
      <c r="C10" s="520" t="s">
        <v>1155</v>
      </c>
      <c r="D10" s="519">
        <v>2</v>
      </c>
      <c r="E10" s="519">
        <v>1</v>
      </c>
      <c r="F10" s="518">
        <v>5</v>
      </c>
      <c r="G10" s="520" t="s">
        <v>373</v>
      </c>
      <c r="H10" s="408">
        <v>0.5</v>
      </c>
      <c r="I10" s="408">
        <v>2</v>
      </c>
      <c r="J10" s="344">
        <v>2</v>
      </c>
      <c r="K10" s="344">
        <v>3</v>
      </c>
    </row>
    <row r="11" spans="1:11" x14ac:dyDescent="0.2">
      <c r="A11" s="407">
        <v>10</v>
      </c>
      <c r="B11" s="407" t="s">
        <v>793</v>
      </c>
      <c r="C11" s="407" t="s">
        <v>510</v>
      </c>
      <c r="D11" s="407">
        <v>2.5</v>
      </c>
      <c r="E11" s="407">
        <v>1</v>
      </c>
      <c r="F11" s="407"/>
      <c r="G11" s="407" t="s">
        <v>185</v>
      </c>
      <c r="H11" s="407">
        <v>1</v>
      </c>
      <c r="I11" s="407">
        <v>1000</v>
      </c>
      <c r="J11" s="320">
        <v>1000</v>
      </c>
      <c r="K11">
        <v>1</v>
      </c>
    </row>
    <row r="12" spans="1:11" x14ac:dyDescent="0.2">
      <c r="A12" s="407">
        <v>11</v>
      </c>
      <c r="B12" s="407" t="s">
        <v>790</v>
      </c>
      <c r="C12" s="407" t="s">
        <v>510</v>
      </c>
      <c r="D12" s="407">
        <v>2.5</v>
      </c>
      <c r="E12" s="407">
        <v>1</v>
      </c>
      <c r="F12" s="407"/>
      <c r="G12" s="407" t="s">
        <v>185</v>
      </c>
      <c r="H12" s="407">
        <v>1</v>
      </c>
      <c r="I12" s="407">
        <v>1000</v>
      </c>
      <c r="J12" s="320">
        <v>1000</v>
      </c>
      <c r="K12">
        <v>1</v>
      </c>
    </row>
    <row r="13" spans="1:11" x14ac:dyDescent="0.2">
      <c r="A13" s="407">
        <v>12</v>
      </c>
      <c r="B13" s="408" t="s">
        <v>791</v>
      </c>
      <c r="C13" s="408" t="s">
        <v>59</v>
      </c>
      <c r="D13" s="408">
        <v>0.01</v>
      </c>
      <c r="E13" s="408">
        <v>1</v>
      </c>
      <c r="F13" s="408">
        <v>6</v>
      </c>
      <c r="G13" s="408" t="s">
        <v>434</v>
      </c>
      <c r="H13" s="408">
        <v>5</v>
      </c>
      <c r="I13" s="408">
        <v>30</v>
      </c>
      <c r="J13" s="320">
        <v>30</v>
      </c>
      <c r="K13">
        <v>14</v>
      </c>
    </row>
    <row r="14" spans="1:11" x14ac:dyDescent="0.2">
      <c r="A14" s="407">
        <v>13</v>
      </c>
      <c r="B14" s="407" t="s">
        <v>792</v>
      </c>
      <c r="C14" s="407" t="s">
        <v>497</v>
      </c>
      <c r="D14" s="407">
        <v>10</v>
      </c>
      <c r="E14" s="407">
        <v>11</v>
      </c>
      <c r="F14" s="407">
        <v>4</v>
      </c>
      <c r="G14" s="407" t="s">
        <v>498</v>
      </c>
      <c r="H14" s="407">
        <v>0.1</v>
      </c>
      <c r="I14" s="407">
        <v>1</v>
      </c>
      <c r="J14" s="320">
        <v>1</v>
      </c>
      <c r="K14">
        <v>3</v>
      </c>
    </row>
    <row r="15" spans="1:11" x14ac:dyDescent="0.2">
      <c r="A15" s="407">
        <v>14</v>
      </c>
      <c r="B15" s="321" t="s">
        <v>794</v>
      </c>
      <c r="C15" s="152" t="s">
        <v>156</v>
      </c>
      <c r="D15" s="407">
        <v>10</v>
      </c>
      <c r="E15" s="407">
        <v>1</v>
      </c>
      <c r="F15" s="407">
        <v>3</v>
      </c>
      <c r="G15" s="152" t="s">
        <v>374</v>
      </c>
      <c r="H15" s="407">
        <v>1</v>
      </c>
      <c r="I15" s="407">
        <v>4</v>
      </c>
      <c r="J15" s="320">
        <v>4</v>
      </c>
      <c r="K15">
        <v>3</v>
      </c>
    </row>
    <row r="16" spans="1:11" x14ac:dyDescent="0.2">
      <c r="A16" s="407">
        <v>15</v>
      </c>
      <c r="B16" s="321" t="s">
        <v>795</v>
      </c>
      <c r="C16" s="152" t="s">
        <v>1159</v>
      </c>
      <c r="D16" s="407">
        <v>100</v>
      </c>
      <c r="E16" s="407">
        <v>1</v>
      </c>
      <c r="F16" s="407">
        <v>9</v>
      </c>
      <c r="G16" s="152" t="s">
        <v>68</v>
      </c>
      <c r="H16" s="407">
        <v>0.01</v>
      </c>
      <c r="I16" s="407">
        <v>0.1</v>
      </c>
      <c r="J16" s="320">
        <v>0.1</v>
      </c>
      <c r="K16">
        <v>3</v>
      </c>
    </row>
    <row r="17" spans="1:11" x14ac:dyDescent="0.2">
      <c r="A17" s="407">
        <v>16</v>
      </c>
      <c r="B17" s="321" t="s">
        <v>796</v>
      </c>
      <c r="C17" s="152" t="s">
        <v>640</v>
      </c>
      <c r="D17" s="407">
        <v>1</v>
      </c>
      <c r="E17" s="407">
        <v>1</v>
      </c>
      <c r="F17" s="407">
        <v>2</v>
      </c>
      <c r="G17" s="152" t="s">
        <v>626</v>
      </c>
      <c r="H17" s="407">
        <v>0.01</v>
      </c>
      <c r="I17" s="407">
        <v>1.5</v>
      </c>
      <c r="J17" s="320">
        <v>0.5</v>
      </c>
      <c r="K17">
        <v>14</v>
      </c>
    </row>
    <row r="18" spans="1:11" x14ac:dyDescent="0.2">
      <c r="A18" s="407">
        <v>17</v>
      </c>
      <c r="B18" s="321" t="s">
        <v>797</v>
      </c>
      <c r="C18" s="152" t="s">
        <v>798</v>
      </c>
      <c r="D18" s="407">
        <v>5</v>
      </c>
      <c r="E18" s="408">
        <v>1</v>
      </c>
      <c r="F18" s="407">
        <v>5</v>
      </c>
      <c r="G18" s="152" t="s">
        <v>373</v>
      </c>
      <c r="H18" s="407">
        <v>0.25</v>
      </c>
      <c r="I18" s="407">
        <v>3</v>
      </c>
      <c r="J18" s="320">
        <v>3</v>
      </c>
      <c r="K18">
        <v>3</v>
      </c>
    </row>
    <row r="19" spans="1:11" x14ac:dyDescent="0.2">
      <c r="A19" s="407">
        <v>18</v>
      </c>
      <c r="B19" s="407" t="s">
        <v>807</v>
      </c>
      <c r="C19" s="407" t="s">
        <v>808</v>
      </c>
      <c r="D19" s="407">
        <v>20</v>
      </c>
      <c r="E19" s="407">
        <v>1</v>
      </c>
      <c r="F19" s="407">
        <v>5</v>
      </c>
      <c r="G19" s="407" t="s">
        <v>373</v>
      </c>
      <c r="H19" s="407">
        <v>4</v>
      </c>
      <c r="I19" s="407">
        <v>7</v>
      </c>
      <c r="J19" s="320">
        <v>7</v>
      </c>
      <c r="K19">
        <v>3</v>
      </c>
    </row>
    <row r="20" spans="1:11" x14ac:dyDescent="0.2">
      <c r="A20" s="407">
        <v>19</v>
      </c>
      <c r="B20" s="321" t="s">
        <v>283</v>
      </c>
      <c r="C20" s="152" t="s">
        <v>123</v>
      </c>
      <c r="D20" s="407">
        <v>5</v>
      </c>
      <c r="E20" s="407">
        <v>1</v>
      </c>
      <c r="F20" s="407">
        <v>5</v>
      </c>
      <c r="G20" s="152" t="s">
        <v>373</v>
      </c>
      <c r="H20" s="407">
        <v>0.05</v>
      </c>
      <c r="I20" s="407">
        <v>5</v>
      </c>
      <c r="J20" s="320">
        <v>5</v>
      </c>
      <c r="K20">
        <v>3</v>
      </c>
    </row>
    <row r="21" spans="1:11" x14ac:dyDescent="0.2">
      <c r="A21" s="407">
        <v>20</v>
      </c>
      <c r="B21" s="321" t="s">
        <v>799</v>
      </c>
      <c r="C21" s="152" t="s">
        <v>802</v>
      </c>
      <c r="D21" s="407">
        <v>1</v>
      </c>
      <c r="E21" s="407">
        <v>1</v>
      </c>
      <c r="F21" s="407">
        <v>2</v>
      </c>
      <c r="G21" s="152" t="s">
        <v>626</v>
      </c>
      <c r="H21" s="407">
        <v>0.25</v>
      </c>
      <c r="I21" s="407">
        <v>0.75</v>
      </c>
      <c r="J21" s="320">
        <v>0.75</v>
      </c>
      <c r="K21">
        <v>3</v>
      </c>
    </row>
    <row r="22" spans="1:11" x14ac:dyDescent="0.2">
      <c r="A22" s="407">
        <v>21</v>
      </c>
      <c r="B22" s="321" t="s">
        <v>131</v>
      </c>
      <c r="C22" s="152" t="s">
        <v>645</v>
      </c>
      <c r="D22" s="407">
        <v>10</v>
      </c>
      <c r="E22" s="407">
        <v>1</v>
      </c>
      <c r="F22" s="407">
        <v>3</v>
      </c>
      <c r="G22" s="152" t="s">
        <v>374</v>
      </c>
      <c r="H22" s="407">
        <v>0.125</v>
      </c>
      <c r="I22" s="407">
        <v>0.5</v>
      </c>
      <c r="J22" s="320">
        <v>0.5</v>
      </c>
      <c r="K22">
        <v>3</v>
      </c>
    </row>
    <row r="23" spans="1:11" x14ac:dyDescent="0.2">
      <c r="A23" s="407">
        <v>22</v>
      </c>
      <c r="B23" s="407" t="s">
        <v>809</v>
      </c>
      <c r="C23" s="407" t="s">
        <v>810</v>
      </c>
      <c r="D23" s="407">
        <v>1</v>
      </c>
      <c r="E23" s="407">
        <v>1</v>
      </c>
      <c r="F23" s="407">
        <v>2</v>
      </c>
      <c r="G23" s="407" t="s">
        <v>626</v>
      </c>
      <c r="H23" s="407">
        <v>0.5</v>
      </c>
      <c r="I23" s="407">
        <v>2</v>
      </c>
      <c r="J23" s="320">
        <v>2</v>
      </c>
      <c r="K23">
        <v>3</v>
      </c>
    </row>
    <row r="24" spans="1:11" x14ac:dyDescent="0.2">
      <c r="A24" s="407">
        <v>23</v>
      </c>
      <c r="B24" s="321" t="s">
        <v>800</v>
      </c>
      <c r="C24" s="152" t="s">
        <v>803</v>
      </c>
      <c r="D24" s="407">
        <v>25</v>
      </c>
      <c r="E24" s="407">
        <v>1</v>
      </c>
      <c r="F24" s="407">
        <v>2</v>
      </c>
      <c r="G24" s="152" t="s">
        <v>626</v>
      </c>
      <c r="H24" s="407">
        <v>0.5</v>
      </c>
      <c r="I24" s="407">
        <v>8</v>
      </c>
      <c r="J24" s="320">
        <v>8</v>
      </c>
      <c r="K24">
        <v>3</v>
      </c>
    </row>
    <row r="25" spans="1:11" x14ac:dyDescent="0.2">
      <c r="A25" s="407">
        <v>24</v>
      </c>
      <c r="B25" s="321" t="s">
        <v>801</v>
      </c>
      <c r="C25" s="152" t="s">
        <v>646</v>
      </c>
      <c r="D25" s="407">
        <v>1</v>
      </c>
      <c r="E25" s="407">
        <v>1</v>
      </c>
      <c r="F25" s="407">
        <v>2</v>
      </c>
      <c r="G25" s="152" t="s">
        <v>626</v>
      </c>
      <c r="H25" s="407">
        <v>0.05</v>
      </c>
      <c r="I25" s="407">
        <v>2</v>
      </c>
      <c r="J25" s="320">
        <v>2</v>
      </c>
      <c r="K25">
        <v>3</v>
      </c>
    </row>
    <row r="26" spans="1:11" x14ac:dyDescent="0.2">
      <c r="A26" s="407">
        <v>25</v>
      </c>
      <c r="B26" s="321" t="s">
        <v>804</v>
      </c>
      <c r="C26" s="152" t="s">
        <v>805</v>
      </c>
      <c r="D26" s="407">
        <v>10</v>
      </c>
      <c r="E26" s="407">
        <v>1</v>
      </c>
      <c r="F26" s="407">
        <v>5</v>
      </c>
      <c r="G26" s="152" t="s">
        <v>373</v>
      </c>
      <c r="H26" s="407">
        <v>0.3</v>
      </c>
      <c r="I26" s="407">
        <v>1.2</v>
      </c>
      <c r="J26" s="320">
        <v>1.2</v>
      </c>
      <c r="K26">
        <v>3</v>
      </c>
    </row>
    <row r="27" spans="1:11" x14ac:dyDescent="0.2">
      <c r="A27" s="407"/>
    </row>
    <row r="28" spans="1:11" x14ac:dyDescent="0.2">
      <c r="D28" s="320"/>
      <c r="E28" s="320"/>
      <c r="F28" s="320"/>
      <c r="G28" s="320"/>
      <c r="H28" s="320"/>
      <c r="I28" s="320"/>
      <c r="J28" s="320"/>
      <c r="K28" s="320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FFC000"/>
  </sheetPr>
  <dimension ref="A1:H32"/>
  <sheetViews>
    <sheetView workbookViewId="0">
      <selection activeCell="B6" sqref="B6"/>
    </sheetView>
  </sheetViews>
  <sheetFormatPr defaultColWidth="9.140625" defaultRowHeight="12.75" x14ac:dyDescent="0.2"/>
  <cols>
    <col min="1" max="1" width="31.140625" style="158" customWidth="1"/>
    <col min="2" max="16384" width="9.140625" style="158"/>
  </cols>
  <sheetData>
    <row r="1" spans="1:7" x14ac:dyDescent="0.2">
      <c r="A1" s="376"/>
      <c r="B1" s="309">
        <v>1</v>
      </c>
      <c r="C1" s="309">
        <v>2</v>
      </c>
      <c r="D1" s="309">
        <v>3</v>
      </c>
      <c r="E1" s="309">
        <v>4</v>
      </c>
      <c r="F1" s="309">
        <v>5</v>
      </c>
      <c r="G1" s="309">
        <v>6</v>
      </c>
    </row>
    <row r="2" spans="1:7" x14ac:dyDescent="0.2">
      <c r="A2" s="1057"/>
      <c r="B2" s="1057"/>
      <c r="C2" s="1057"/>
      <c r="D2" s="1057"/>
      <c r="E2" s="1057"/>
      <c r="F2" s="1057"/>
      <c r="G2" s="1057"/>
    </row>
    <row r="3" spans="1:7" x14ac:dyDescent="0.2">
      <c r="A3" s="1058" t="s">
        <v>608</v>
      </c>
      <c r="B3" s="1058"/>
      <c r="C3" s="1058"/>
      <c r="D3" s="1058"/>
      <c r="E3" s="1058"/>
      <c r="F3" s="1058"/>
      <c r="G3" s="1058"/>
    </row>
    <row r="4" spans="1:7" x14ac:dyDescent="0.2">
      <c r="A4" s="310" t="s">
        <v>609</v>
      </c>
      <c r="B4" s="311">
        <v>50</v>
      </c>
      <c r="C4" s="311">
        <v>80</v>
      </c>
      <c r="D4" s="311">
        <v>110</v>
      </c>
      <c r="E4" s="311">
        <v>150</v>
      </c>
      <c r="F4" s="311">
        <v>150</v>
      </c>
      <c r="G4" s="311">
        <v>150</v>
      </c>
    </row>
    <row r="5" spans="1:7" x14ac:dyDescent="0.2">
      <c r="A5" s="310" t="s">
        <v>676</v>
      </c>
      <c r="B5" s="312">
        <f>80-(((_Pat_Gewicht/10)*1000)-500)/500*30</f>
        <v>110</v>
      </c>
      <c r="C5" s="312">
        <f>110-(((_Pat_Gewicht/10)*1000)-500)/500*30</f>
        <v>140</v>
      </c>
      <c r="D5" s="312">
        <f>150-(((_Pat_Gewicht/10)*1000)-500)/500*40</f>
        <v>190</v>
      </c>
      <c r="E5" s="312">
        <f>160-(((_Pat_Gewicht/10)*1000)-500)/500*10</f>
        <v>170</v>
      </c>
      <c r="F5" s="312">
        <v>160</v>
      </c>
      <c r="G5" s="312">
        <v>160</v>
      </c>
    </row>
    <row r="6" spans="1:7" x14ac:dyDescent="0.2">
      <c r="A6" s="382" t="s">
        <v>610</v>
      </c>
      <c r="B6" s="311">
        <v>30</v>
      </c>
      <c r="C6" s="311">
        <v>50</v>
      </c>
      <c r="D6" s="311">
        <v>70</v>
      </c>
      <c r="E6" s="311">
        <v>90</v>
      </c>
      <c r="F6" s="311">
        <v>110</v>
      </c>
      <c r="G6" s="311">
        <v>150</v>
      </c>
    </row>
    <row r="7" spans="1:7" x14ac:dyDescent="0.2">
      <c r="A7" s="310"/>
      <c r="B7" s="311"/>
      <c r="C7" s="311"/>
      <c r="D7" s="311"/>
      <c r="E7" s="311"/>
      <c r="F7" s="311"/>
      <c r="G7" s="311"/>
    </row>
    <row r="8" spans="1:7" x14ac:dyDescent="0.2">
      <c r="A8" s="313" t="s">
        <v>611</v>
      </c>
      <c r="B8" s="314"/>
      <c r="C8" s="314"/>
      <c r="D8" s="314"/>
      <c r="E8" s="314"/>
      <c r="F8" s="314"/>
      <c r="G8" s="314"/>
    </row>
    <row r="9" spans="1:7" x14ac:dyDescent="0.2">
      <c r="A9" s="310" t="s">
        <v>612</v>
      </c>
      <c r="B9" s="311"/>
      <c r="C9" s="311"/>
      <c r="D9" s="311"/>
      <c r="E9" s="311">
        <v>35</v>
      </c>
      <c r="F9" s="311">
        <v>35</v>
      </c>
      <c r="G9" s="311">
        <v>35</v>
      </c>
    </row>
    <row r="10" spans="1:7" x14ac:dyDescent="0.2">
      <c r="A10" s="310" t="s">
        <v>34</v>
      </c>
      <c r="B10" s="311"/>
      <c r="C10" s="311" t="s">
        <v>613</v>
      </c>
      <c r="D10" s="311" t="s">
        <v>613</v>
      </c>
      <c r="E10" s="311"/>
      <c r="F10" s="311"/>
      <c r="G10" s="311"/>
    </row>
    <row r="11" spans="1:7" x14ac:dyDescent="0.2">
      <c r="A11" s="310" t="s">
        <v>561</v>
      </c>
      <c r="B11" s="311"/>
      <c r="C11" s="311" t="s">
        <v>614</v>
      </c>
      <c r="D11" s="311" t="s">
        <v>614</v>
      </c>
      <c r="E11" s="311"/>
      <c r="F11" s="311"/>
      <c r="G11" s="311"/>
    </row>
    <row r="12" spans="1:7" ht="15.75" x14ac:dyDescent="0.3">
      <c r="A12" s="310" t="s">
        <v>615</v>
      </c>
      <c r="B12" s="311" t="s">
        <v>613</v>
      </c>
      <c r="C12" s="311" t="s">
        <v>613</v>
      </c>
      <c r="D12" s="311" t="s">
        <v>613</v>
      </c>
      <c r="E12" s="311"/>
      <c r="F12" s="311"/>
      <c r="G12" s="311"/>
    </row>
    <row r="13" spans="1:7" ht="15.75" x14ac:dyDescent="0.3">
      <c r="A13" s="310" t="s">
        <v>616</v>
      </c>
      <c r="B13" s="311">
        <v>0.3</v>
      </c>
      <c r="C13" s="311">
        <v>0.3</v>
      </c>
      <c r="D13" s="311">
        <v>0.3</v>
      </c>
      <c r="E13" s="311"/>
      <c r="F13" s="311"/>
      <c r="G13" s="311"/>
    </row>
    <row r="14" spans="1:7" x14ac:dyDescent="0.2">
      <c r="A14" s="310" t="s">
        <v>225</v>
      </c>
      <c r="B14" s="311"/>
      <c r="C14" s="311">
        <v>1</v>
      </c>
      <c r="D14" s="311">
        <v>1</v>
      </c>
      <c r="E14" s="311"/>
      <c r="F14" s="311"/>
      <c r="G14" s="311"/>
    </row>
    <row r="15" spans="1:7" x14ac:dyDescent="0.2">
      <c r="A15" s="310" t="s">
        <v>617</v>
      </c>
      <c r="B15" s="311"/>
      <c r="C15" s="311">
        <v>7.5</v>
      </c>
      <c r="D15" s="311">
        <v>15</v>
      </c>
      <c r="E15" s="311"/>
      <c r="F15" s="311"/>
      <c r="G15" s="311"/>
    </row>
    <row r="16" spans="1:7" ht="25.5" x14ac:dyDescent="0.2">
      <c r="A16" s="310" t="s">
        <v>618</v>
      </c>
      <c r="B16" s="311"/>
      <c r="C16" s="311">
        <v>2.5</v>
      </c>
      <c r="D16" s="311">
        <v>5</v>
      </c>
      <c r="E16" s="311">
        <v>7.5</v>
      </c>
      <c r="F16" s="311">
        <v>10</v>
      </c>
      <c r="G16" s="311">
        <v>12</v>
      </c>
    </row>
    <row r="17" spans="1:8" x14ac:dyDescent="0.2">
      <c r="A17" s="310"/>
      <c r="B17" s="310"/>
      <c r="C17" s="310"/>
      <c r="D17" s="159"/>
      <c r="E17" s="159"/>
      <c r="F17" s="159"/>
      <c r="G17" s="159"/>
    </row>
    <row r="19" spans="1:8" x14ac:dyDescent="0.2">
      <c r="B19" s="315"/>
      <c r="C19" s="315"/>
      <c r="D19" s="315"/>
      <c r="E19" s="315"/>
      <c r="F19" s="315"/>
      <c r="G19" s="315"/>
    </row>
    <row r="21" spans="1:8" x14ac:dyDescent="0.2">
      <c r="A21" s="166"/>
      <c r="B21" s="166"/>
      <c r="C21" s="166"/>
      <c r="D21" s="166"/>
      <c r="E21" s="166"/>
      <c r="F21" s="166"/>
      <c r="G21" s="166"/>
      <c r="H21" s="166"/>
    </row>
    <row r="22" spans="1:8" x14ac:dyDescent="0.2">
      <c r="A22" s="166"/>
      <c r="B22" s="166"/>
      <c r="C22" s="166"/>
      <c r="D22" s="166"/>
      <c r="E22" s="166"/>
      <c r="F22" s="166"/>
      <c r="G22" s="166"/>
      <c r="H22" s="166"/>
    </row>
    <row r="23" spans="1:8" x14ac:dyDescent="0.2">
      <c r="A23" s="166"/>
      <c r="B23" s="166"/>
      <c r="C23" s="166"/>
      <c r="D23" s="166"/>
      <c r="E23" s="166"/>
      <c r="F23" s="166"/>
      <c r="G23" s="166"/>
      <c r="H23" s="166"/>
    </row>
    <row r="27" spans="1:8" ht="12.75" customHeight="1" x14ac:dyDescent="0.2"/>
    <row r="32" spans="1:8" ht="12.75" customHeight="1" x14ac:dyDescent="0.2"/>
  </sheetData>
  <mergeCells count="2">
    <mergeCell ref="A2:G2"/>
    <mergeCell ref="A3:G3"/>
  </mergeCells>
  <pageMargins left="0.75" right="0.75" top="1" bottom="1" header="0.5" footer="0.5"/>
  <headerFooter alignWithMargins="0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AE292"/>
  <sheetViews>
    <sheetView workbookViewId="0">
      <selection activeCell="AE5" sqref="AE5"/>
    </sheetView>
  </sheetViews>
  <sheetFormatPr defaultColWidth="9.140625" defaultRowHeight="12.75" x14ac:dyDescent="0.2"/>
  <cols>
    <col min="1" max="1" width="14.28515625" style="407" customWidth="1"/>
    <col min="2" max="2" width="8.5703125" style="407" customWidth="1"/>
    <col min="3" max="3" width="6" style="407" bestFit="1" customWidth="1"/>
    <col min="4" max="4" width="2.28515625" style="407" bestFit="1" customWidth="1"/>
    <col min="5" max="5" width="5" style="407" bestFit="1" customWidth="1"/>
    <col min="6" max="6" width="3.28515625" style="407" bestFit="1" customWidth="1"/>
    <col min="7" max="7" width="3.5703125" style="407" bestFit="1" customWidth="1"/>
    <col min="8" max="8" width="4.7109375" style="407" bestFit="1" customWidth="1"/>
    <col min="9" max="9" width="2" style="407" bestFit="1" customWidth="1"/>
    <col min="10" max="10" width="12.7109375" style="407" customWidth="1"/>
    <col min="11" max="11" width="19.28515625" style="407" customWidth="1"/>
    <col min="12" max="12" width="24" style="407" bestFit="1" customWidth="1"/>
    <col min="13" max="13" width="27.42578125" style="407" bestFit="1" customWidth="1"/>
    <col min="14" max="25" width="11.28515625" style="407" customWidth="1"/>
    <col min="26" max="27" width="9.140625" style="407"/>
    <col min="28" max="28" width="14.5703125" style="407" customWidth="1"/>
    <col min="29" max="29" width="23" style="407" bestFit="1" customWidth="1"/>
    <col min="30" max="30" width="9.140625" style="407"/>
    <col min="31" max="31" width="23" style="407" bestFit="1" customWidth="1"/>
    <col min="32" max="16384" width="9.140625" style="407"/>
  </cols>
  <sheetData>
    <row r="1" spans="1:31" x14ac:dyDescent="0.2">
      <c r="A1" s="1060" t="s">
        <v>1127</v>
      </c>
      <c r="B1" s="1060"/>
      <c r="C1" s="1060"/>
      <c r="D1" s="1060"/>
      <c r="E1" s="1060"/>
      <c r="F1" s="1060"/>
      <c r="G1" s="1060"/>
      <c r="H1" s="1060"/>
      <c r="I1" s="1061" t="s">
        <v>1128</v>
      </c>
      <c r="J1" s="1061"/>
      <c r="K1" s="1061"/>
      <c r="L1" s="1059" t="s">
        <v>1129</v>
      </c>
      <c r="M1" s="1059"/>
      <c r="N1" s="1059"/>
      <c r="O1" s="1059"/>
      <c r="P1" s="1059"/>
      <c r="Q1" s="1059"/>
      <c r="R1" s="1059"/>
      <c r="S1" s="1059"/>
      <c r="T1" s="1059"/>
      <c r="U1" s="1059"/>
      <c r="V1" s="1059"/>
      <c r="W1" s="1059"/>
      <c r="X1" s="1059"/>
      <c r="Y1" s="1059"/>
      <c r="Z1" s="1059"/>
      <c r="AB1" s="1059" t="s">
        <v>1134</v>
      </c>
      <c r="AC1" s="1059"/>
      <c r="AE1" s="523" t="s">
        <v>1134</v>
      </c>
    </row>
    <row r="2" spans="1:31" x14ac:dyDescent="0.2">
      <c r="A2" s="407" t="s">
        <v>159</v>
      </c>
      <c r="B2" s="407" t="s">
        <v>569</v>
      </c>
      <c r="C2" s="407" t="s">
        <v>239</v>
      </c>
      <c r="D2" s="407" t="s">
        <v>240</v>
      </c>
      <c r="E2" s="407" t="s">
        <v>232</v>
      </c>
      <c r="F2" s="407" t="s">
        <v>241</v>
      </c>
      <c r="G2" s="407" t="s">
        <v>242</v>
      </c>
      <c r="H2" s="407" t="s">
        <v>568</v>
      </c>
      <c r="J2" s="407" t="s">
        <v>344</v>
      </c>
      <c r="K2" s="407" t="s">
        <v>621</v>
      </c>
      <c r="L2" s="418" t="s">
        <v>1104</v>
      </c>
      <c r="M2" s="418" t="s">
        <v>296</v>
      </c>
      <c r="N2" s="418" t="s">
        <v>239</v>
      </c>
      <c r="O2" s="418" t="s">
        <v>240</v>
      </c>
      <c r="P2" s="418" t="s">
        <v>241</v>
      </c>
      <c r="Q2" s="418" t="s">
        <v>242</v>
      </c>
      <c r="R2" s="418" t="s">
        <v>568</v>
      </c>
      <c r="S2" s="418" t="s">
        <v>237</v>
      </c>
      <c r="T2" s="418" t="s">
        <v>569</v>
      </c>
      <c r="U2" s="418" t="s">
        <v>570</v>
      </c>
      <c r="V2" s="418" t="s">
        <v>571</v>
      </c>
      <c r="W2" s="418" t="s">
        <v>622</v>
      </c>
      <c r="X2" s="418" t="s">
        <v>580</v>
      </c>
      <c r="Y2" s="418" t="s">
        <v>968</v>
      </c>
      <c r="Z2" s="418" t="s">
        <v>1058</v>
      </c>
      <c r="AB2" s="514" t="s">
        <v>950</v>
      </c>
      <c r="AC2" s="514" t="s">
        <v>951</v>
      </c>
      <c r="AE2" s="524"/>
    </row>
    <row r="3" spans="1:31" x14ac:dyDescent="0.2">
      <c r="I3" s="407">
        <v>1</v>
      </c>
      <c r="AE3" s="524" t="s">
        <v>603</v>
      </c>
    </row>
    <row r="4" spans="1:31" x14ac:dyDescent="0.2">
      <c r="A4" s="407" t="s">
        <v>625</v>
      </c>
      <c r="B4" s="407">
        <v>0.05</v>
      </c>
      <c r="I4" s="407">
        <v>2</v>
      </c>
      <c r="J4" s="407" t="s">
        <v>626</v>
      </c>
      <c r="K4" s="407">
        <v>1.44</v>
      </c>
      <c r="L4" s="407" t="s">
        <v>173</v>
      </c>
      <c r="M4" s="407" t="s">
        <v>173</v>
      </c>
      <c r="N4" s="444">
        <f t="shared" ref="N4:N19" si="0">VLOOKUP(M4,tblVoedingBasislijst,6,FALSE)*tblOmrekenNA/100</f>
        <v>8.6956000000000012E-3</v>
      </c>
      <c r="O4" s="444">
        <f t="shared" ref="O4:O19" si="1">VLOOKUP(M4,tblVoedingBasislijst,7,FALSE)*tblOmrekenK/100</f>
        <v>1.2820500000000002E-2</v>
      </c>
      <c r="P4" s="444">
        <f t="shared" ref="P4:P19" si="2">VLOOKUP(M4,tblVoedingBasislijst,8,FALSE)*tblOmrekenCa/100</f>
        <v>7.4700000000000001E-3</v>
      </c>
      <c r="Q4" s="444">
        <f t="shared" ref="Q4:Q19" si="3">VLOOKUP(M4,tblVoedingBasislijst,10,FALSE)*tblOmrekenMg/100</f>
        <v>1.23423E-3</v>
      </c>
      <c r="R4" s="444">
        <f t="shared" ref="R4:R19" si="4">VLOOKUP(M4,tblVoedingBasislijst,9,FALSE)*tblOmrekenP/100</f>
        <v>4.8433499999999997E-3</v>
      </c>
      <c r="S4" s="444">
        <f t="shared" ref="S4:S19" si="5">VLOOKUP(M4,tblVoedingBasislijst,3,FALSE)/100</f>
        <v>0.01</v>
      </c>
      <c r="T4" s="444">
        <f t="shared" ref="T4:T19" si="6">VLOOKUP(M4,tblVoedingBasislijst,4,FALSE)/100</f>
        <v>7.0000000000000007E-2</v>
      </c>
      <c r="U4" s="444">
        <f t="shared" ref="U4:U19" si="7">VLOOKUP(M4,tblVoedingBasislijst,5,FALSE)/100</f>
        <v>0.04</v>
      </c>
      <c r="V4" s="444">
        <f t="shared" ref="V4:V19" si="8">VLOOKUP(M4,tblVoedingBasislijst,2,FALSE)/100</f>
        <v>0.68</v>
      </c>
      <c r="W4" s="444">
        <f t="shared" ref="W4:W19" si="9">VLOOKUP(M4,tblVoedingBasislijst,13,FALSE)*tblOmrekenCl/100</f>
        <v>1.212858E-2</v>
      </c>
      <c r="X4" s="444">
        <f t="shared" ref="X4:X19" si="10">VLOOKUP(M4,tblVoedingBasislijst,12,FALSE)*tblOmrekenVitD/100</f>
        <v>0</v>
      </c>
      <c r="Y4" s="444">
        <f t="shared" ref="Y4:Y19" si="11">VLOOKUP(M4,tblVoedingBasislijst,11,FALSE)*tblOmrekenFe/100</f>
        <v>1.7899999999999998E-5</v>
      </c>
      <c r="Z4" s="444" t="s">
        <v>173</v>
      </c>
      <c r="AA4" s="444"/>
      <c r="AB4" s="407">
        <v>2.2000000000000002</v>
      </c>
      <c r="AC4" s="407">
        <v>0.5</v>
      </c>
      <c r="AE4" s="524" t="s">
        <v>1169</v>
      </c>
    </row>
    <row r="5" spans="1:31" x14ac:dyDescent="0.2">
      <c r="A5" s="407" t="s">
        <v>630</v>
      </c>
      <c r="B5" s="407">
        <v>0.1</v>
      </c>
      <c r="I5" s="407">
        <v>3</v>
      </c>
      <c r="J5" s="407" t="s">
        <v>374</v>
      </c>
      <c r="K5" s="407">
        <v>1</v>
      </c>
      <c r="L5" s="407" t="s">
        <v>973</v>
      </c>
      <c r="M5" s="407" t="s">
        <v>973</v>
      </c>
      <c r="N5" s="444">
        <f t="shared" si="0"/>
        <v>3.0434599999999999E-2</v>
      </c>
      <c r="O5" s="444">
        <f t="shared" si="1"/>
        <v>2.0512800000000001E-2</v>
      </c>
      <c r="P5" s="444">
        <f t="shared" si="2"/>
        <v>2.4899999999999999E-2</v>
      </c>
      <c r="Q5" s="444">
        <f t="shared" si="3"/>
        <v>3.2912799999999997E-3</v>
      </c>
      <c r="R5" s="444">
        <f t="shared" si="4"/>
        <v>1.8081839999999998E-2</v>
      </c>
      <c r="S5" s="444">
        <f t="shared" si="5"/>
        <v>2.6000000000000002E-2</v>
      </c>
      <c r="T5" s="444">
        <f t="shared" si="6"/>
        <v>8.4000000000000005E-2</v>
      </c>
      <c r="U5" s="444">
        <f t="shared" si="7"/>
        <v>3.9E-2</v>
      </c>
      <c r="V5" s="444">
        <f t="shared" si="8"/>
        <v>0.8</v>
      </c>
      <c r="W5" s="444">
        <f t="shared" si="9"/>
        <v>2.3975099999999999E-2</v>
      </c>
      <c r="X5" s="444">
        <f t="shared" si="10"/>
        <v>1.2</v>
      </c>
      <c r="Y5" s="444">
        <f t="shared" si="11"/>
        <v>2.8639999999999997E-4</v>
      </c>
      <c r="Z5" s="444" t="s">
        <v>1059</v>
      </c>
      <c r="AA5" s="444"/>
      <c r="AB5" s="407">
        <v>4.4000000000000004</v>
      </c>
      <c r="AC5" s="407">
        <v>1</v>
      </c>
    </row>
    <row r="6" spans="1:31" x14ac:dyDescent="0.2">
      <c r="A6" s="407" t="s">
        <v>633</v>
      </c>
      <c r="B6" s="407">
        <v>0.15</v>
      </c>
      <c r="I6" s="407">
        <v>4</v>
      </c>
      <c r="J6" s="407" t="s">
        <v>498</v>
      </c>
      <c r="K6" s="407">
        <v>1440</v>
      </c>
      <c r="L6" s="407" t="s">
        <v>974</v>
      </c>
      <c r="M6" s="407" t="s">
        <v>974</v>
      </c>
      <c r="N6" s="444">
        <f t="shared" si="0"/>
        <v>1.217384E-2</v>
      </c>
      <c r="O6" s="444">
        <f t="shared" si="1"/>
        <v>1.9743570000000002E-2</v>
      </c>
      <c r="P6" s="444">
        <f t="shared" si="2"/>
        <v>2.1662999999999998E-2</v>
      </c>
      <c r="Q6" s="444">
        <f t="shared" si="3"/>
        <v>2.8798700000000001E-3</v>
      </c>
      <c r="R6" s="444">
        <f t="shared" si="4"/>
        <v>1.517583E-2</v>
      </c>
      <c r="S6" s="444">
        <f t="shared" si="5"/>
        <v>0.02</v>
      </c>
      <c r="T6" s="444">
        <f t="shared" si="6"/>
        <v>7.4999999999999997E-2</v>
      </c>
      <c r="U6" s="444">
        <f t="shared" si="7"/>
        <v>0.04</v>
      </c>
      <c r="V6" s="444">
        <f t="shared" si="8"/>
        <v>0.75</v>
      </c>
      <c r="W6" s="444">
        <f t="shared" si="9"/>
        <v>1.5513299999999999E-2</v>
      </c>
      <c r="X6" s="444">
        <f t="shared" si="10"/>
        <v>0.68</v>
      </c>
      <c r="Y6" s="444">
        <f t="shared" si="11"/>
        <v>2.1479999999999999E-4</v>
      </c>
      <c r="Z6" s="444" t="s">
        <v>1059</v>
      </c>
      <c r="AA6" s="444"/>
      <c r="AC6" s="407">
        <v>1.5</v>
      </c>
    </row>
    <row r="7" spans="1:31" x14ac:dyDescent="0.2">
      <c r="A7" s="407" t="s">
        <v>635</v>
      </c>
      <c r="B7" s="407">
        <v>0.2</v>
      </c>
      <c r="I7" s="407">
        <v>5</v>
      </c>
      <c r="J7" s="407" t="s">
        <v>373</v>
      </c>
      <c r="K7" s="407">
        <v>24</v>
      </c>
      <c r="L7" s="407" t="s">
        <v>627</v>
      </c>
      <c r="M7" s="407" t="s">
        <v>627</v>
      </c>
      <c r="N7" s="444">
        <f t="shared" si="0"/>
        <v>7.3912600000000002E-3</v>
      </c>
      <c r="O7" s="444">
        <f t="shared" si="1"/>
        <v>1.7435880000000001E-2</v>
      </c>
      <c r="P7" s="444">
        <f t="shared" si="2"/>
        <v>1.4193000000000001E-2</v>
      </c>
      <c r="Q7" s="444">
        <f t="shared" si="3"/>
        <v>2.0981909999999997E-3</v>
      </c>
      <c r="R7" s="444">
        <f t="shared" si="4"/>
        <v>1.033248E-2</v>
      </c>
      <c r="S7" s="444">
        <f t="shared" si="5"/>
        <v>1.3000000000000001E-2</v>
      </c>
      <c r="T7" s="444">
        <f t="shared" si="6"/>
        <v>7.2999999999999995E-2</v>
      </c>
      <c r="U7" s="444">
        <f t="shared" si="7"/>
        <v>3.4000000000000002E-2</v>
      </c>
      <c r="V7" s="444">
        <f t="shared" si="8"/>
        <v>0.66</v>
      </c>
      <c r="W7" s="444">
        <f t="shared" si="9"/>
        <v>1.1846520000000001E-2</v>
      </c>
      <c r="X7" s="444">
        <f t="shared" si="10"/>
        <v>3.48</v>
      </c>
      <c r="Y7" s="444">
        <f t="shared" si="11"/>
        <v>6.981E-4</v>
      </c>
      <c r="Z7" s="444" t="s">
        <v>1059</v>
      </c>
      <c r="AA7" s="444"/>
      <c r="AC7" s="407">
        <v>2</v>
      </c>
    </row>
    <row r="8" spans="1:31" x14ac:dyDescent="0.2">
      <c r="A8" s="407" t="s">
        <v>637</v>
      </c>
      <c r="B8" s="407">
        <v>0.25</v>
      </c>
      <c r="I8" s="407">
        <v>6</v>
      </c>
      <c r="J8" s="407" t="s">
        <v>434</v>
      </c>
      <c r="K8" s="407">
        <v>1.4400000000000001E-3</v>
      </c>
      <c r="L8" s="407" t="s">
        <v>1038</v>
      </c>
      <c r="M8" s="407" t="s">
        <v>1038</v>
      </c>
      <c r="N8" s="444">
        <f t="shared" si="0"/>
        <v>9.9999400000000006E-3</v>
      </c>
      <c r="O8" s="444">
        <f t="shared" si="1"/>
        <v>1.8974339999999999E-2</v>
      </c>
      <c r="P8" s="444">
        <f t="shared" si="2"/>
        <v>1.6184999999999998E-2</v>
      </c>
      <c r="Q8" s="444">
        <f t="shared" si="3"/>
        <v>1.974768E-3</v>
      </c>
      <c r="R8" s="444">
        <f t="shared" si="4"/>
        <v>1.162404E-2</v>
      </c>
      <c r="S8" s="444">
        <f t="shared" si="5"/>
        <v>1.3999999999999999E-2</v>
      </c>
      <c r="T8" s="444">
        <f t="shared" si="6"/>
        <v>8.5999999999999993E-2</v>
      </c>
      <c r="U8" s="444">
        <f t="shared" si="7"/>
        <v>0.03</v>
      </c>
      <c r="V8" s="444">
        <f t="shared" si="8"/>
        <v>0.68</v>
      </c>
      <c r="W8" s="444">
        <f t="shared" si="9"/>
        <v>1.3256820000000001E-2</v>
      </c>
      <c r="X8" s="444">
        <f t="shared" si="10"/>
        <v>0.56000000000000005</v>
      </c>
      <c r="Y8" s="444">
        <f t="shared" si="11"/>
        <v>1.253E-3</v>
      </c>
      <c r="Z8" s="444" t="s">
        <v>1059</v>
      </c>
      <c r="AA8" s="444"/>
      <c r="AC8" s="407">
        <v>2.5</v>
      </c>
    </row>
    <row r="9" spans="1:31" x14ac:dyDescent="0.2">
      <c r="A9" s="407" t="s">
        <v>639</v>
      </c>
      <c r="B9" s="407">
        <v>0.3</v>
      </c>
      <c r="I9" s="407">
        <v>7</v>
      </c>
      <c r="J9" s="407" t="s">
        <v>787</v>
      </c>
      <c r="K9" s="407">
        <v>2.4E-2</v>
      </c>
      <c r="L9" s="407" t="s">
        <v>1039</v>
      </c>
      <c r="M9" s="407" t="s">
        <v>1039</v>
      </c>
      <c r="N9" s="444">
        <f t="shared" si="0"/>
        <v>8.6956000000000012E-3</v>
      </c>
      <c r="O9" s="444">
        <f t="shared" si="1"/>
        <v>1.2820500000000002E-2</v>
      </c>
      <c r="P9" s="444">
        <f t="shared" si="2"/>
        <v>7.4700000000000001E-3</v>
      </c>
      <c r="Q9" s="444">
        <f t="shared" si="3"/>
        <v>1.23423E-3</v>
      </c>
      <c r="R9" s="444">
        <f t="shared" si="4"/>
        <v>4.8433499999999997E-3</v>
      </c>
      <c r="S9" s="444">
        <f t="shared" si="5"/>
        <v>0.01</v>
      </c>
      <c r="T9" s="444">
        <f t="shared" si="6"/>
        <v>7.0000000000000007E-2</v>
      </c>
      <c r="U9" s="444">
        <f t="shared" si="7"/>
        <v>0.04</v>
      </c>
      <c r="V9" s="444">
        <f t="shared" si="8"/>
        <v>0.68</v>
      </c>
      <c r="W9" s="444">
        <f t="shared" si="9"/>
        <v>1.212858E-2</v>
      </c>
      <c r="X9" s="444">
        <f t="shared" si="10"/>
        <v>0</v>
      </c>
      <c r="Y9" s="444">
        <f t="shared" si="11"/>
        <v>1.7899999999999998E-5</v>
      </c>
      <c r="Z9" s="444" t="s">
        <v>173</v>
      </c>
      <c r="AA9" s="444"/>
      <c r="AC9" s="407">
        <v>3</v>
      </c>
    </row>
    <row r="10" spans="1:31" x14ac:dyDescent="0.2">
      <c r="A10" s="407" t="s">
        <v>641</v>
      </c>
      <c r="B10" s="407">
        <v>0.35</v>
      </c>
      <c r="I10" s="407">
        <v>8</v>
      </c>
      <c r="J10" s="407" t="s">
        <v>375</v>
      </c>
      <c r="K10" s="407">
        <v>1</v>
      </c>
      <c r="L10" s="407" t="s">
        <v>1040</v>
      </c>
      <c r="M10" s="407" t="s">
        <v>1040</v>
      </c>
      <c r="N10" s="444">
        <f t="shared" si="0"/>
        <v>8.6956000000000012E-3</v>
      </c>
      <c r="O10" s="444">
        <f t="shared" si="1"/>
        <v>1.2820500000000002E-2</v>
      </c>
      <c r="P10" s="444">
        <f t="shared" si="2"/>
        <v>7.4700000000000001E-3</v>
      </c>
      <c r="Q10" s="444">
        <f t="shared" si="3"/>
        <v>1.23423E-3</v>
      </c>
      <c r="R10" s="444">
        <f t="shared" si="4"/>
        <v>4.8433499999999997E-3</v>
      </c>
      <c r="S10" s="444">
        <f t="shared" si="5"/>
        <v>0.01</v>
      </c>
      <c r="T10" s="444">
        <f t="shared" si="6"/>
        <v>7.0000000000000007E-2</v>
      </c>
      <c r="U10" s="444">
        <f t="shared" si="7"/>
        <v>0.04</v>
      </c>
      <c r="V10" s="444">
        <f t="shared" si="8"/>
        <v>0.68</v>
      </c>
      <c r="W10" s="444">
        <f t="shared" si="9"/>
        <v>1.212858E-2</v>
      </c>
      <c r="X10" s="444">
        <f t="shared" si="10"/>
        <v>0</v>
      </c>
      <c r="Y10" s="444">
        <f t="shared" si="11"/>
        <v>1.7899999999999998E-5</v>
      </c>
      <c r="Z10" s="444" t="s">
        <v>173</v>
      </c>
      <c r="AA10" s="444"/>
      <c r="AC10" s="407">
        <v>3.5</v>
      </c>
    </row>
    <row r="11" spans="1:31" x14ac:dyDescent="0.2">
      <c r="A11" s="407" t="s">
        <v>642</v>
      </c>
      <c r="B11" s="407">
        <v>0.4</v>
      </c>
      <c r="I11" s="407">
        <v>9</v>
      </c>
      <c r="J11" s="152" t="s">
        <v>68</v>
      </c>
      <c r="K11" s="407">
        <v>24</v>
      </c>
      <c r="L11" s="407" t="s">
        <v>1041</v>
      </c>
      <c r="M11" s="407" t="s">
        <v>1041</v>
      </c>
      <c r="N11" s="444">
        <f t="shared" si="0"/>
        <v>8.6956000000000012E-3</v>
      </c>
      <c r="O11" s="444">
        <f t="shared" si="1"/>
        <v>1.2820500000000002E-2</v>
      </c>
      <c r="P11" s="444">
        <f t="shared" si="2"/>
        <v>7.4700000000000001E-3</v>
      </c>
      <c r="Q11" s="444">
        <f t="shared" si="3"/>
        <v>1.23423E-3</v>
      </c>
      <c r="R11" s="444">
        <f t="shared" si="4"/>
        <v>4.8433499999999997E-3</v>
      </c>
      <c r="S11" s="444">
        <f t="shared" si="5"/>
        <v>0.01</v>
      </c>
      <c r="T11" s="444">
        <f t="shared" si="6"/>
        <v>7.0000000000000007E-2</v>
      </c>
      <c r="U11" s="444">
        <f t="shared" si="7"/>
        <v>0.04</v>
      </c>
      <c r="V11" s="444">
        <f t="shared" si="8"/>
        <v>0.68</v>
      </c>
      <c r="W11" s="444">
        <f t="shared" si="9"/>
        <v>1.212858E-2</v>
      </c>
      <c r="X11" s="444">
        <f t="shared" si="10"/>
        <v>0</v>
      </c>
      <c r="Y11" s="444">
        <f t="shared" si="11"/>
        <v>1.7899999999999998E-5</v>
      </c>
      <c r="Z11" s="444" t="s">
        <v>173</v>
      </c>
      <c r="AA11" s="444"/>
      <c r="AC11" s="407">
        <v>4</v>
      </c>
    </row>
    <row r="12" spans="1:31" x14ac:dyDescent="0.2">
      <c r="A12" s="407" t="s">
        <v>643</v>
      </c>
      <c r="B12" s="407">
        <v>0.45</v>
      </c>
      <c r="L12" s="407" t="s">
        <v>1042</v>
      </c>
      <c r="M12" s="407" t="s">
        <v>1042</v>
      </c>
      <c r="N12" s="444">
        <f t="shared" si="0"/>
        <v>8.6956000000000012E-3</v>
      </c>
      <c r="O12" s="444">
        <f t="shared" si="1"/>
        <v>1.2820500000000002E-2</v>
      </c>
      <c r="P12" s="444">
        <f t="shared" si="2"/>
        <v>7.4700000000000001E-3</v>
      </c>
      <c r="Q12" s="444">
        <f t="shared" si="3"/>
        <v>1.23423E-3</v>
      </c>
      <c r="R12" s="444">
        <f t="shared" si="4"/>
        <v>4.8433499999999997E-3</v>
      </c>
      <c r="S12" s="444">
        <f t="shared" si="5"/>
        <v>0.01</v>
      </c>
      <c r="T12" s="444">
        <f t="shared" si="6"/>
        <v>7.0000000000000007E-2</v>
      </c>
      <c r="U12" s="444">
        <f t="shared" si="7"/>
        <v>0.04</v>
      </c>
      <c r="V12" s="444">
        <f t="shared" si="8"/>
        <v>0.68</v>
      </c>
      <c r="W12" s="444">
        <f t="shared" si="9"/>
        <v>1.212858E-2</v>
      </c>
      <c r="X12" s="444">
        <f t="shared" si="10"/>
        <v>0</v>
      </c>
      <c r="Y12" s="444">
        <f t="shared" si="11"/>
        <v>1.7899999999999998E-5</v>
      </c>
      <c r="Z12" s="444" t="s">
        <v>173</v>
      </c>
      <c r="AA12" s="444"/>
      <c r="AC12" s="407">
        <v>4.5</v>
      </c>
    </row>
    <row r="13" spans="1:31" x14ac:dyDescent="0.2">
      <c r="A13" s="407" t="s">
        <v>644</v>
      </c>
      <c r="B13" s="407">
        <v>0.5</v>
      </c>
      <c r="L13" s="407" t="s">
        <v>1043</v>
      </c>
      <c r="M13" s="407" t="s">
        <v>1043</v>
      </c>
      <c r="N13" s="444">
        <f t="shared" si="0"/>
        <v>8.6956000000000012E-3</v>
      </c>
      <c r="O13" s="444">
        <f t="shared" si="1"/>
        <v>1.2820500000000002E-2</v>
      </c>
      <c r="P13" s="444">
        <f t="shared" si="2"/>
        <v>7.4700000000000001E-3</v>
      </c>
      <c r="Q13" s="444">
        <f t="shared" si="3"/>
        <v>1.23423E-3</v>
      </c>
      <c r="R13" s="444">
        <f t="shared" si="4"/>
        <v>4.8433499999999997E-3</v>
      </c>
      <c r="S13" s="444">
        <f t="shared" si="5"/>
        <v>0.01</v>
      </c>
      <c r="T13" s="444">
        <f t="shared" si="6"/>
        <v>7.0000000000000007E-2</v>
      </c>
      <c r="U13" s="444">
        <f t="shared" si="7"/>
        <v>0.04</v>
      </c>
      <c r="V13" s="444">
        <f t="shared" si="8"/>
        <v>0.68</v>
      </c>
      <c r="W13" s="444">
        <f t="shared" si="9"/>
        <v>1.212858E-2</v>
      </c>
      <c r="X13" s="444">
        <f t="shared" si="10"/>
        <v>0</v>
      </c>
      <c r="Y13" s="444">
        <f t="shared" si="11"/>
        <v>1.7899999999999998E-5</v>
      </c>
      <c r="Z13" s="444" t="s">
        <v>173</v>
      </c>
      <c r="AA13" s="444"/>
      <c r="AC13" s="407">
        <v>5</v>
      </c>
    </row>
    <row r="14" spans="1:31" x14ac:dyDescent="0.2">
      <c r="A14" s="407" t="s">
        <v>321</v>
      </c>
      <c r="C14" s="407">
        <v>0.155</v>
      </c>
      <c r="L14" s="407" t="s">
        <v>1044</v>
      </c>
      <c r="M14" s="407" t="s">
        <v>1044</v>
      </c>
      <c r="N14" s="444">
        <f t="shared" si="0"/>
        <v>8.6956000000000012E-3</v>
      </c>
      <c r="O14" s="444">
        <f t="shared" si="1"/>
        <v>1.2820500000000002E-2</v>
      </c>
      <c r="P14" s="444">
        <f t="shared" si="2"/>
        <v>7.4700000000000001E-3</v>
      </c>
      <c r="Q14" s="444">
        <f t="shared" si="3"/>
        <v>1.23423E-3</v>
      </c>
      <c r="R14" s="444">
        <f t="shared" si="4"/>
        <v>4.8433499999999997E-3</v>
      </c>
      <c r="S14" s="444">
        <f t="shared" si="5"/>
        <v>0.01</v>
      </c>
      <c r="T14" s="444">
        <f t="shared" si="6"/>
        <v>7.0000000000000007E-2</v>
      </c>
      <c r="U14" s="444">
        <f t="shared" si="7"/>
        <v>0.04</v>
      </c>
      <c r="V14" s="444">
        <f t="shared" si="8"/>
        <v>0.68</v>
      </c>
      <c r="W14" s="444">
        <f t="shared" si="9"/>
        <v>1.212858E-2</v>
      </c>
      <c r="X14" s="444">
        <f t="shared" si="10"/>
        <v>0</v>
      </c>
      <c r="Y14" s="444">
        <f t="shared" si="11"/>
        <v>1.7899999999999998E-5</v>
      </c>
      <c r="Z14" s="444" t="s">
        <v>173</v>
      </c>
      <c r="AA14" s="444"/>
    </row>
    <row r="15" spans="1:31" x14ac:dyDescent="0.2">
      <c r="A15" s="407" t="s">
        <v>647</v>
      </c>
      <c r="C15" s="407">
        <v>0.5</v>
      </c>
      <c r="L15" s="407" t="s">
        <v>975</v>
      </c>
      <c r="M15" s="407" t="s">
        <v>975</v>
      </c>
      <c r="N15" s="444">
        <f t="shared" si="0"/>
        <v>1.0869500000000001E-2</v>
      </c>
      <c r="O15" s="444">
        <f t="shared" si="1"/>
        <v>1.8717930000000001E-2</v>
      </c>
      <c r="P15" s="444">
        <f t="shared" si="2"/>
        <v>1.1453999999999999E-2</v>
      </c>
      <c r="Q15" s="444">
        <f t="shared" si="3"/>
        <v>2.0981909999999997E-3</v>
      </c>
      <c r="R15" s="444">
        <f t="shared" si="4"/>
        <v>8.3951400000000006E-3</v>
      </c>
      <c r="S15" s="444">
        <f t="shared" si="5"/>
        <v>1.4999999999999999E-2</v>
      </c>
      <c r="T15" s="444">
        <f t="shared" si="6"/>
        <v>7.2000000000000008E-2</v>
      </c>
      <c r="U15" s="444">
        <f t="shared" si="7"/>
        <v>3.4000000000000002E-2</v>
      </c>
      <c r="V15" s="444">
        <f t="shared" si="8"/>
        <v>0.66</v>
      </c>
      <c r="W15" s="444">
        <f t="shared" si="9"/>
        <v>1.1564459999999999E-2</v>
      </c>
      <c r="X15" s="444">
        <f t="shared" si="10"/>
        <v>0.48</v>
      </c>
      <c r="Y15" s="444">
        <f t="shared" si="11"/>
        <v>9.4870000000000005E-5</v>
      </c>
      <c r="Z15" s="444" t="s">
        <v>1059</v>
      </c>
      <c r="AA15" s="444"/>
    </row>
    <row r="16" spans="1:31" x14ac:dyDescent="0.2">
      <c r="A16" s="407" t="s">
        <v>56</v>
      </c>
      <c r="C16" s="407">
        <v>1</v>
      </c>
      <c r="L16" s="407" t="s">
        <v>1052</v>
      </c>
      <c r="M16" s="407" t="s">
        <v>1052</v>
      </c>
      <c r="N16" s="444">
        <f t="shared" si="0"/>
        <v>8.826034E-3</v>
      </c>
      <c r="O16" s="444">
        <f t="shared" si="1"/>
        <v>1.7179470000000002E-2</v>
      </c>
      <c r="P16" s="444">
        <f t="shared" si="2"/>
        <v>1.3271699999999999E-2</v>
      </c>
      <c r="Q16" s="444">
        <f t="shared" si="3"/>
        <v>3.2912799999999994E-5</v>
      </c>
      <c r="R16" s="444">
        <f t="shared" si="4"/>
        <v>9.4283879999999994E-3</v>
      </c>
      <c r="S16" s="444">
        <f t="shared" si="5"/>
        <v>1.4999999999999999E-2</v>
      </c>
      <c r="T16" s="444">
        <f t="shared" si="6"/>
        <v>7.0000000000000007E-2</v>
      </c>
      <c r="U16" s="444">
        <f t="shared" si="7"/>
        <v>3.6000000000000004E-2</v>
      </c>
      <c r="V16" s="444">
        <f t="shared" si="8"/>
        <v>0.66299999999999992</v>
      </c>
      <c r="W16" s="444">
        <f t="shared" si="9"/>
        <v>1.12824E-2</v>
      </c>
      <c r="X16" s="444">
        <f t="shared" si="10"/>
        <v>0.76</v>
      </c>
      <c r="Y16" s="444">
        <f t="shared" si="11"/>
        <v>9.1290000000000002E-5</v>
      </c>
      <c r="Z16" s="444" t="s">
        <v>1059</v>
      </c>
      <c r="AA16" s="444"/>
    </row>
    <row r="17" spans="1:27" x14ac:dyDescent="0.2">
      <c r="A17" s="407" t="s">
        <v>347</v>
      </c>
      <c r="C17" s="407">
        <v>0.5</v>
      </c>
      <c r="L17" s="407" t="s">
        <v>976</v>
      </c>
      <c r="M17" s="407" t="s">
        <v>976</v>
      </c>
      <c r="N17" s="444">
        <f t="shared" si="0"/>
        <v>1.1347758000000001E-2</v>
      </c>
      <c r="O17" s="444">
        <f t="shared" si="1"/>
        <v>1.8589725000000001E-2</v>
      </c>
      <c r="P17" s="444">
        <f t="shared" si="2"/>
        <v>1.6334399999999999E-2</v>
      </c>
      <c r="Q17" s="444">
        <f t="shared" si="3"/>
        <v>2.8798700000000001E-3</v>
      </c>
      <c r="R17" s="444">
        <f t="shared" si="4"/>
        <v>1.5208118999999999E-2</v>
      </c>
      <c r="S17" s="444">
        <f t="shared" si="5"/>
        <v>1.8000000000000002E-2</v>
      </c>
      <c r="T17" s="444">
        <f t="shared" si="6"/>
        <v>7.2000000000000008E-2</v>
      </c>
      <c r="U17" s="444">
        <f t="shared" si="7"/>
        <v>3.4000000000000002E-2</v>
      </c>
      <c r="V17" s="444">
        <f t="shared" si="8"/>
        <v>0.67</v>
      </c>
      <c r="W17" s="444">
        <f t="shared" si="9"/>
        <v>1.5033797999999998E-2</v>
      </c>
      <c r="X17" s="444">
        <f t="shared" si="10"/>
        <v>0.48</v>
      </c>
      <c r="Y17" s="444">
        <f t="shared" si="11"/>
        <v>1.7899999999999999E-4</v>
      </c>
      <c r="Z17" s="444" t="s">
        <v>1059</v>
      </c>
      <c r="AA17" s="444"/>
    </row>
    <row r="18" spans="1:27" x14ac:dyDescent="0.2">
      <c r="A18" s="407" t="s">
        <v>782</v>
      </c>
      <c r="L18" s="407" t="s">
        <v>1055</v>
      </c>
      <c r="M18" s="407" t="s">
        <v>1055</v>
      </c>
      <c r="N18" s="444">
        <f t="shared" si="0"/>
        <v>8.6956000000000012E-3</v>
      </c>
      <c r="O18" s="444">
        <f t="shared" si="1"/>
        <v>2.076921E-2</v>
      </c>
      <c r="P18" s="444">
        <f t="shared" si="2"/>
        <v>1.1702999999999998E-2</v>
      </c>
      <c r="Q18" s="444">
        <f t="shared" si="3"/>
        <v>2.1804729999999996E-3</v>
      </c>
      <c r="R18" s="444">
        <f t="shared" si="4"/>
        <v>8.3951400000000006E-3</v>
      </c>
      <c r="S18" s="444">
        <f t="shared" si="5"/>
        <v>1.6E-2</v>
      </c>
      <c r="T18" s="444">
        <f t="shared" si="6"/>
        <v>7.0000000000000007E-2</v>
      </c>
      <c r="U18" s="444">
        <f t="shared" si="7"/>
        <v>3.5000000000000003E-2</v>
      </c>
      <c r="V18" s="444">
        <f t="shared" si="8"/>
        <v>0.67</v>
      </c>
      <c r="W18" s="444">
        <f t="shared" si="9"/>
        <v>1.12824E-2</v>
      </c>
      <c r="X18" s="444">
        <f t="shared" si="10"/>
        <v>0.52</v>
      </c>
      <c r="Y18" s="444">
        <f t="shared" si="11"/>
        <v>9.4870000000000005E-5</v>
      </c>
      <c r="Z18" s="444" t="s">
        <v>1059</v>
      </c>
      <c r="AA18" s="444"/>
    </row>
    <row r="19" spans="1:27" x14ac:dyDescent="0.2">
      <c r="L19" s="407" t="s">
        <v>978</v>
      </c>
      <c r="M19" s="407" t="s">
        <v>978</v>
      </c>
      <c r="N19" s="444">
        <f t="shared" si="0"/>
        <v>8.6956000000000012E-3</v>
      </c>
      <c r="O19" s="444">
        <f t="shared" si="1"/>
        <v>1.6666650000000002E-2</v>
      </c>
      <c r="P19" s="444">
        <f t="shared" si="2"/>
        <v>1.2449999999999999E-2</v>
      </c>
      <c r="Q19" s="444">
        <f t="shared" si="3"/>
        <v>2.46846E-3</v>
      </c>
      <c r="R19" s="444">
        <f t="shared" si="4"/>
        <v>9.6866999999999995E-3</v>
      </c>
      <c r="S19" s="444">
        <f t="shared" si="5"/>
        <v>1.3999999999999999E-2</v>
      </c>
      <c r="T19" s="444">
        <f t="shared" si="6"/>
        <v>7.2000000000000008E-2</v>
      </c>
      <c r="U19" s="444">
        <f t="shared" si="7"/>
        <v>3.5000000000000003E-2</v>
      </c>
      <c r="V19" s="444">
        <f t="shared" si="8"/>
        <v>0.66</v>
      </c>
      <c r="W19" s="444">
        <f t="shared" si="9"/>
        <v>1.1846520000000001E-2</v>
      </c>
      <c r="X19" s="444">
        <f t="shared" si="10"/>
        <v>0.48</v>
      </c>
      <c r="Y19" s="444">
        <f t="shared" si="11"/>
        <v>1.3961999999999999E-4</v>
      </c>
      <c r="Z19" s="444" t="s">
        <v>1059</v>
      </c>
      <c r="AA19" s="444"/>
    </row>
    <row r="23" spans="1:27" x14ac:dyDescent="0.2">
      <c r="L23" s="1059" t="s">
        <v>1132</v>
      </c>
      <c r="M23" s="1059"/>
      <c r="N23" s="1059"/>
      <c r="O23" s="1059"/>
      <c r="P23" s="1059"/>
      <c r="Q23" s="1059"/>
      <c r="R23" s="1059"/>
      <c r="S23" s="1059"/>
      <c r="T23" s="1059"/>
      <c r="U23" s="1059"/>
      <c r="V23" s="1059"/>
      <c r="W23" s="1059"/>
      <c r="X23" s="1059"/>
      <c r="Y23" s="1059"/>
      <c r="Z23" s="1059"/>
    </row>
    <row r="24" spans="1:27" x14ac:dyDescent="0.2">
      <c r="M24" s="418" t="s">
        <v>245</v>
      </c>
      <c r="N24" s="418" t="s">
        <v>239</v>
      </c>
      <c r="O24" s="418" t="s">
        <v>240</v>
      </c>
      <c r="P24" s="418" t="s">
        <v>241</v>
      </c>
      <c r="Q24" s="418" t="s">
        <v>242</v>
      </c>
      <c r="R24" s="418" t="s">
        <v>568</v>
      </c>
      <c r="S24" s="418" t="s">
        <v>237</v>
      </c>
      <c r="T24" s="418" t="s">
        <v>569</v>
      </c>
      <c r="U24" s="418" t="s">
        <v>570</v>
      </c>
      <c r="V24" s="418" t="s">
        <v>571</v>
      </c>
    </row>
    <row r="25" spans="1:27" x14ac:dyDescent="0.2">
      <c r="M25" s="407" t="s">
        <v>345</v>
      </c>
      <c r="N25" s="407">
        <f>0.25/35</f>
        <v>7.1428571428571426E-3</v>
      </c>
      <c r="O25" s="407">
        <f>0.6/35</f>
        <v>1.7142857142857144E-2</v>
      </c>
      <c r="P25" s="407">
        <f>0.9/35</f>
        <v>2.5714285714285714E-2</v>
      </c>
      <c r="Q25" s="407">
        <f>0.2/35</f>
        <v>5.7142857142857143E-3</v>
      </c>
      <c r="R25" s="407">
        <f>0.75/35</f>
        <v>2.1428571428571429E-2</v>
      </c>
      <c r="S25" s="407">
        <f>2.6/35</f>
        <v>7.4285714285714288E-2</v>
      </c>
      <c r="T25" s="407">
        <v>0</v>
      </c>
      <c r="U25" s="407">
        <v>0</v>
      </c>
      <c r="V25" s="407">
        <v>0.28999999999999998</v>
      </c>
    </row>
    <row r="26" spans="1:27" x14ac:dyDescent="0.2">
      <c r="M26" s="407" t="s">
        <v>648</v>
      </c>
      <c r="N26" s="407">
        <f>1.9/35</f>
        <v>5.4285714285714284E-2</v>
      </c>
      <c r="O26" s="407">
        <f>2.5/35</f>
        <v>7.1428571428571425E-2</v>
      </c>
      <c r="P26" s="407">
        <f>0.225*4/35</f>
        <v>2.5714285714285714E-2</v>
      </c>
      <c r="Q26" s="407">
        <f>0.5*0.3/35</f>
        <v>4.2857142857142859E-3</v>
      </c>
      <c r="R26" s="407">
        <f>1.2/35</f>
        <v>3.4285714285714287E-2</v>
      </c>
      <c r="S26" s="407">
        <f>2.6/35</f>
        <v>7.4285714285714288E-2</v>
      </c>
      <c r="T26" s="407">
        <v>0</v>
      </c>
      <c r="U26" s="407">
        <v>0</v>
      </c>
      <c r="V26" s="407">
        <v>0.28999999999999998</v>
      </c>
    </row>
    <row r="29" spans="1:27" x14ac:dyDescent="0.2">
      <c r="N29" s="406"/>
      <c r="O29" s="406"/>
      <c r="P29" s="406"/>
      <c r="Q29" s="406"/>
      <c r="R29" s="406"/>
      <c r="S29" s="406"/>
      <c r="T29" s="406"/>
      <c r="U29" s="406"/>
      <c r="V29" s="406"/>
      <c r="W29" s="406"/>
      <c r="X29" s="406"/>
    </row>
    <row r="30" spans="1:27" x14ac:dyDescent="0.2">
      <c r="N30" s="406"/>
      <c r="O30" s="406"/>
      <c r="P30" s="406"/>
      <c r="Q30" s="406"/>
      <c r="R30" s="406"/>
      <c r="S30" s="406"/>
      <c r="T30" s="406"/>
      <c r="U30" s="406"/>
      <c r="V30" s="406"/>
      <c r="W30" s="406"/>
      <c r="X30" s="406"/>
    </row>
    <row r="31" spans="1:27" x14ac:dyDescent="0.2">
      <c r="L31" s="1059" t="s">
        <v>1131</v>
      </c>
      <c r="M31" s="1059"/>
      <c r="N31" s="1059"/>
      <c r="O31" s="1059"/>
      <c r="P31" s="1059"/>
      <c r="Q31" s="1059"/>
      <c r="R31" s="1059"/>
      <c r="S31" s="1059"/>
      <c r="T31" s="1059"/>
      <c r="U31" s="1059"/>
      <c r="V31" s="1059"/>
      <c r="W31" s="1059"/>
      <c r="X31" s="1059"/>
      <c r="Y31" s="1059"/>
      <c r="Z31" s="1059"/>
    </row>
    <row r="32" spans="1:27" x14ac:dyDescent="0.2">
      <c r="M32" s="418" t="s">
        <v>952</v>
      </c>
      <c r="N32" s="418" t="s">
        <v>239</v>
      </c>
      <c r="O32" s="418" t="s">
        <v>240</v>
      </c>
      <c r="P32" s="418" t="s">
        <v>241</v>
      </c>
      <c r="Q32" s="418" t="s">
        <v>242</v>
      </c>
      <c r="R32" s="418" t="s">
        <v>568</v>
      </c>
      <c r="S32" s="418" t="s">
        <v>237</v>
      </c>
      <c r="T32" s="418" t="s">
        <v>569</v>
      </c>
      <c r="U32" s="418" t="s">
        <v>570</v>
      </c>
      <c r="V32" s="418" t="s">
        <v>571</v>
      </c>
      <c r="W32" s="422" t="s">
        <v>622</v>
      </c>
      <c r="X32" s="422" t="s">
        <v>623</v>
      </c>
      <c r="Y32" s="418" t="s">
        <v>968</v>
      </c>
    </row>
    <row r="34" spans="11:27" x14ac:dyDescent="0.2">
      <c r="L34" s="407" t="s">
        <v>572</v>
      </c>
      <c r="M34" s="407" t="s">
        <v>572</v>
      </c>
      <c r="N34" s="444">
        <f t="shared" ref="N34:N39" si="12">VLOOKUP(M34,tblVoedingPoeder,6,FALSE)*tblOmrekenNA/100</f>
        <v>8.6956000000000002E-4</v>
      </c>
      <c r="O34" s="444">
        <f t="shared" ref="O34:O39" si="13">VLOOKUP(M34,tblVoedingPoeder,7,FALSE)*tblOmrekenK/100</f>
        <v>0</v>
      </c>
      <c r="P34" s="444">
        <f t="shared" ref="P34:P39" si="14">VLOOKUP(M34,tblVoedingPoeder,8,FALSE)*tblOmrekenCa/100</f>
        <v>0</v>
      </c>
      <c r="Q34" s="444">
        <f t="shared" ref="Q34:Q39" si="15">VLOOKUP(M34,tblVoedingPoeder,10,FALSE)*tblOmrekenMg/100</f>
        <v>0</v>
      </c>
      <c r="R34" s="444">
        <f t="shared" ref="R34:R39" si="16">VLOOKUP(M34,tblVoedingPoeder,9,FALSE)*tblOmrekenP/100</f>
        <v>0</v>
      </c>
      <c r="S34" s="444">
        <f t="shared" ref="S34:S39" si="17">VLOOKUP(M34,tblVoedingPoeder,3,FALSE)/100</f>
        <v>0</v>
      </c>
      <c r="T34" s="444">
        <f t="shared" ref="T34:T39" si="18">VLOOKUP(M34,tblVoedingPoeder,4,FALSE)/100</f>
        <v>0.96</v>
      </c>
      <c r="U34" s="444">
        <f t="shared" ref="U34:U39" si="19">VLOOKUP(M34,tblVoedingPoeder,5,FALSE)/100</f>
        <v>0</v>
      </c>
      <c r="V34" s="444">
        <f t="shared" ref="V34:V39" si="20">VLOOKUP(M34,tblVoedingPoeder,2,FALSE)/100</f>
        <v>3.84</v>
      </c>
      <c r="W34" s="444">
        <f t="shared" ref="W34:W39" si="21">VLOOKUP(M34,tblVoedingPoeder,13,FALSE)*tblOmrekenCl/100</f>
        <v>0</v>
      </c>
      <c r="X34" s="444">
        <f t="shared" ref="X34:X39" si="22">VLOOKUP(M34,tblVoedingPoeder,12,FALSE)*tblOmrekenVitD/100</f>
        <v>0</v>
      </c>
      <c r="Y34" s="444">
        <f t="shared" ref="Y34:Y39" si="23">VLOOKUP(M34,tblVoedingPoeder,11,FALSE)*tblOmrekenFe/100</f>
        <v>0</v>
      </c>
    </row>
    <row r="35" spans="11:27" x14ac:dyDescent="0.2">
      <c r="L35" s="407" t="s">
        <v>628</v>
      </c>
      <c r="M35" s="407" t="s">
        <v>1103</v>
      </c>
      <c r="N35" s="444">
        <f t="shared" si="12"/>
        <v>5.43475E-2</v>
      </c>
      <c r="O35" s="444">
        <f t="shared" si="13"/>
        <v>0.12846141</v>
      </c>
      <c r="P35" s="444">
        <f t="shared" si="14"/>
        <v>0.10408199999999999</v>
      </c>
      <c r="Q35" s="444">
        <f t="shared" si="15"/>
        <v>1.522217E-2</v>
      </c>
      <c r="R35" s="444">
        <f t="shared" si="16"/>
        <v>7.6524929999999991E-2</v>
      </c>
      <c r="S35" s="444">
        <f t="shared" si="17"/>
        <v>9.6999999999999989E-2</v>
      </c>
      <c r="T35" s="444">
        <f t="shared" si="18"/>
        <v>0.53799999999999992</v>
      </c>
      <c r="U35" s="444">
        <f t="shared" si="19"/>
        <v>0.247</v>
      </c>
      <c r="V35" s="444">
        <f t="shared" si="20"/>
        <v>4.84</v>
      </c>
      <c r="W35" s="444">
        <f t="shared" si="21"/>
        <v>8.5746240000000001E-2</v>
      </c>
      <c r="X35" s="444">
        <f t="shared" si="22"/>
        <v>3.48</v>
      </c>
      <c r="Y35" s="444">
        <f t="shared" si="23"/>
        <v>6.981E-4</v>
      </c>
    </row>
    <row r="36" spans="11:27" x14ac:dyDescent="0.2">
      <c r="L36" s="407" t="s">
        <v>631</v>
      </c>
      <c r="M36" s="407" t="s">
        <v>987</v>
      </c>
      <c r="N36" s="444">
        <f t="shared" si="12"/>
        <v>0.1804337</v>
      </c>
      <c r="O36" s="444">
        <f t="shared" si="13"/>
        <v>0.12153833999999999</v>
      </c>
      <c r="P36" s="444">
        <f t="shared" si="14"/>
        <v>0.14765699999999998</v>
      </c>
      <c r="Q36" s="444">
        <f t="shared" si="15"/>
        <v>1.9336269999999999E-2</v>
      </c>
      <c r="R36" s="444">
        <f t="shared" si="16"/>
        <v>0.10719947999999999</v>
      </c>
      <c r="S36" s="444">
        <f t="shared" si="17"/>
        <v>0.156</v>
      </c>
      <c r="T36" s="444">
        <f t="shared" si="18"/>
        <v>0.22899999999999998</v>
      </c>
      <c r="U36" s="444">
        <f t="shared" si="19"/>
        <v>0.498</v>
      </c>
      <c r="V36" s="444">
        <f t="shared" si="20"/>
        <v>4.74</v>
      </c>
      <c r="W36" s="444">
        <f t="shared" si="21"/>
        <v>0.14215823999999999</v>
      </c>
      <c r="X36" s="444">
        <f t="shared" si="22"/>
        <v>7.2</v>
      </c>
      <c r="Y36" s="444">
        <f t="shared" si="23"/>
        <v>1.7004999999999998E-3</v>
      </c>
    </row>
    <row r="37" spans="11:27" x14ac:dyDescent="0.2">
      <c r="L37" s="407" t="s">
        <v>636</v>
      </c>
      <c r="M37" s="407" t="s">
        <v>988</v>
      </c>
      <c r="N37" s="444">
        <f t="shared" si="12"/>
        <v>0.33738928000000001</v>
      </c>
      <c r="O37" s="444">
        <f t="shared" si="13"/>
        <v>0.31435866000000001</v>
      </c>
      <c r="P37" s="444">
        <f t="shared" si="14"/>
        <v>0.13047599999999998</v>
      </c>
      <c r="Q37" s="444">
        <f t="shared" si="15"/>
        <v>1.8924859999999998E-2</v>
      </c>
      <c r="R37" s="444">
        <f t="shared" si="16"/>
        <v>0.16661123999999997</v>
      </c>
      <c r="S37" s="444">
        <f t="shared" si="17"/>
        <v>0.82099999999999995</v>
      </c>
      <c r="T37" s="444">
        <f t="shared" si="18"/>
        <v>2.2000000000000002E-2</v>
      </c>
      <c r="U37" s="444">
        <f t="shared" si="19"/>
        <v>1E-3</v>
      </c>
      <c r="V37" s="444">
        <f t="shared" si="20"/>
        <v>3.38</v>
      </c>
      <c r="W37" s="444">
        <f t="shared" si="21"/>
        <v>1.8615959999999997E-2</v>
      </c>
      <c r="X37" s="444">
        <f t="shared" si="22"/>
        <v>0</v>
      </c>
      <c r="Y37" s="444">
        <f t="shared" si="23"/>
        <v>0</v>
      </c>
    </row>
    <row r="38" spans="11:27" x14ac:dyDescent="0.2">
      <c r="L38" s="407" t="s">
        <v>638</v>
      </c>
      <c r="M38" s="407" t="s">
        <v>989</v>
      </c>
      <c r="N38" s="444">
        <f t="shared" si="12"/>
        <v>3.04346E-3</v>
      </c>
      <c r="O38" s="444">
        <f t="shared" si="13"/>
        <v>0</v>
      </c>
      <c r="P38" s="444">
        <f t="shared" si="14"/>
        <v>0</v>
      </c>
      <c r="Q38" s="444">
        <f t="shared" si="15"/>
        <v>0</v>
      </c>
      <c r="R38" s="444">
        <f t="shared" si="16"/>
        <v>0</v>
      </c>
      <c r="S38" s="444">
        <f t="shared" si="17"/>
        <v>0</v>
      </c>
      <c r="T38" s="444">
        <f t="shared" si="18"/>
        <v>0</v>
      </c>
      <c r="U38" s="444">
        <f t="shared" si="19"/>
        <v>0.5</v>
      </c>
      <c r="V38" s="444">
        <f t="shared" si="20"/>
        <v>4.5</v>
      </c>
      <c r="W38" s="444">
        <f t="shared" si="21"/>
        <v>2.8206000000000001E-5</v>
      </c>
      <c r="X38" s="444">
        <f t="shared" si="22"/>
        <v>0</v>
      </c>
      <c r="Y38" s="444">
        <f t="shared" si="23"/>
        <v>0</v>
      </c>
    </row>
    <row r="39" spans="11:27" x14ac:dyDescent="0.2">
      <c r="L39" s="407" t="s">
        <v>1048</v>
      </c>
      <c r="M39" s="407" t="s">
        <v>1048</v>
      </c>
      <c r="N39" s="444">
        <f t="shared" si="12"/>
        <v>2.6086799999999999E-3</v>
      </c>
      <c r="O39" s="444">
        <f t="shared" si="13"/>
        <v>2.3333310000000003E-2</v>
      </c>
      <c r="P39" s="444">
        <f t="shared" si="14"/>
        <v>8.3415000000000003E-2</v>
      </c>
      <c r="Q39" s="444">
        <f t="shared" si="15"/>
        <v>3.7438309999999995E-3</v>
      </c>
      <c r="R39" s="444">
        <f t="shared" si="16"/>
        <v>3.8746799999999997E-3</v>
      </c>
      <c r="S39" s="444">
        <f t="shared" si="17"/>
        <v>0</v>
      </c>
      <c r="T39" s="444">
        <f t="shared" si="18"/>
        <v>0.66200000000000003</v>
      </c>
      <c r="U39" s="444">
        <f t="shared" si="19"/>
        <v>3.0000000000000001E-3</v>
      </c>
      <c r="V39" s="444">
        <f t="shared" si="20"/>
        <v>3.18</v>
      </c>
      <c r="W39" s="444">
        <f t="shared" si="21"/>
        <v>3.0744539999999997E-2</v>
      </c>
      <c r="X39" s="444">
        <f t="shared" si="22"/>
        <v>0</v>
      </c>
      <c r="Y39" s="444">
        <f t="shared" si="23"/>
        <v>1.5751999999999999E-3</v>
      </c>
    </row>
    <row r="40" spans="11:27" x14ac:dyDescent="0.2">
      <c r="Z40" s="446"/>
      <c r="AA40" s="446"/>
    </row>
    <row r="41" spans="11:27" x14ac:dyDescent="0.2">
      <c r="K41" s="446"/>
    </row>
    <row r="42" spans="11:27" x14ac:dyDescent="0.2">
      <c r="L42" s="1059" t="s">
        <v>1130</v>
      </c>
      <c r="M42" s="1059"/>
      <c r="N42" s="1059"/>
      <c r="O42" s="1059"/>
      <c r="P42" s="1059"/>
      <c r="Q42" s="1059"/>
      <c r="R42" s="1059"/>
      <c r="S42" s="1059"/>
      <c r="T42" s="1059"/>
      <c r="U42" s="1059"/>
      <c r="V42" s="1059"/>
      <c r="W42" s="1059"/>
      <c r="X42" s="1059"/>
      <c r="Y42" s="1059"/>
      <c r="Z42" s="1059"/>
    </row>
    <row r="43" spans="11:27" x14ac:dyDescent="0.2">
      <c r="M43" s="418" t="s">
        <v>953</v>
      </c>
      <c r="N43" s="418" t="s">
        <v>239</v>
      </c>
      <c r="O43" s="418" t="s">
        <v>240</v>
      </c>
      <c r="P43" s="418" t="s">
        <v>241</v>
      </c>
      <c r="Q43" s="418" t="s">
        <v>242</v>
      </c>
      <c r="R43" s="418" t="s">
        <v>568</v>
      </c>
      <c r="S43" s="418" t="s">
        <v>237</v>
      </c>
      <c r="T43" s="418" t="s">
        <v>569</v>
      </c>
      <c r="U43" s="418" t="s">
        <v>570</v>
      </c>
      <c r="V43" s="418" t="s">
        <v>571</v>
      </c>
      <c r="W43" s="422" t="s">
        <v>622</v>
      </c>
      <c r="X43" s="422" t="s">
        <v>623</v>
      </c>
      <c r="Y43" s="418" t="s">
        <v>968</v>
      </c>
    </row>
    <row r="45" spans="11:27" x14ac:dyDescent="0.2">
      <c r="L45" s="407" t="s">
        <v>954</v>
      </c>
      <c r="M45" s="407" t="s">
        <v>989</v>
      </c>
      <c r="N45" s="444">
        <f>VLOOKUP(M45,tblVoedingPoeder,6,FALSE)*tblOmrekenNA/100</f>
        <v>3.04346E-3</v>
      </c>
      <c r="O45" s="444">
        <f>VLOOKUP(M45,tblVoedingPoeder,7,FALSE)*tblOmrekenK/100</f>
        <v>0</v>
      </c>
      <c r="P45" s="444">
        <f>VLOOKUP(M45,tblVoedingPoeder,8,FALSE)*tblOmrekenCa/100</f>
        <v>0</v>
      </c>
      <c r="Q45" s="444">
        <f>VLOOKUP(M45,tblVoedingPoeder,10,FALSE)*tblOmrekenMg/100</f>
        <v>0</v>
      </c>
      <c r="R45" s="444">
        <f>VLOOKUP(M45,tblVoedingPoeder,9,FALSE)*tblOmrekenP/100</f>
        <v>0</v>
      </c>
      <c r="S45" s="444">
        <f>VLOOKUP(M45,tblVoedingPoeder,3,FALSE)/100</f>
        <v>0</v>
      </c>
      <c r="T45" s="444">
        <f>VLOOKUP(M45,tblVoedingPoeder,4,FALSE)/100</f>
        <v>0</v>
      </c>
      <c r="U45" s="444">
        <f>VLOOKUP(M45,tblVoedingPoeder,5,FALSE)/100</f>
        <v>0.5</v>
      </c>
      <c r="V45" s="444">
        <f>VLOOKUP(M45,tblVoedingPoeder,2,FALSE)/100</f>
        <v>4.5</v>
      </c>
      <c r="W45" s="444">
        <f>VLOOKUP(M45,tblVoedingPoeder,13,FALSE)*tblOmrekenCl/100</f>
        <v>2.8206000000000001E-5</v>
      </c>
      <c r="X45" s="444">
        <f>VLOOKUP(M45,tblVoedingPoeder,12,FALSE)*tblOmrekenVitD/100</f>
        <v>0</v>
      </c>
      <c r="Y45" s="444">
        <f>VLOOKUP(M45,tblVoedingPoeder,11,FALSE)*tblOmrekenFe/100</f>
        <v>0</v>
      </c>
      <c r="Z45" s="408"/>
      <c r="AA45" s="408"/>
    </row>
    <row r="46" spans="11:27" x14ac:dyDescent="0.2">
      <c r="L46" s="407" t="s">
        <v>955</v>
      </c>
      <c r="M46" s="407" t="s">
        <v>572</v>
      </c>
      <c r="N46" s="444">
        <f>VLOOKUP(M46,tblVoedingPoeder,6,FALSE)*tblOmrekenNA/100</f>
        <v>8.6956000000000002E-4</v>
      </c>
      <c r="O46" s="444">
        <f>VLOOKUP(M46,tblVoedingPoeder,7,FALSE)*tblOmrekenK/100</f>
        <v>0</v>
      </c>
      <c r="P46" s="444">
        <f>VLOOKUP(M46,tblVoedingPoeder,8,FALSE)*tblOmrekenCa/100</f>
        <v>0</v>
      </c>
      <c r="Q46" s="444">
        <f>VLOOKUP(M46,tblVoedingPoeder,10,FALSE)*tblOmrekenMg/100</f>
        <v>0</v>
      </c>
      <c r="R46" s="444">
        <f>VLOOKUP(M46,tblVoedingPoeder,9,FALSE)*tblOmrekenP/100</f>
        <v>0</v>
      </c>
      <c r="S46" s="444">
        <f>VLOOKUP(M46,tblVoedingPoeder,3,FALSE)/100</f>
        <v>0</v>
      </c>
      <c r="T46" s="444">
        <f>VLOOKUP(M46,tblVoedingPoeder,4,FALSE)/100</f>
        <v>0.96</v>
      </c>
      <c r="U46" s="444">
        <f>VLOOKUP(M46,tblVoedingPoeder,5,FALSE)/100</f>
        <v>0</v>
      </c>
      <c r="V46" s="444">
        <f>VLOOKUP(M46,tblVoedingPoeder,2,FALSE)/100</f>
        <v>3.84</v>
      </c>
      <c r="W46" s="444">
        <f>VLOOKUP(M46,tblVoedingPoeder,13,FALSE)*tblOmrekenCl/100</f>
        <v>0</v>
      </c>
      <c r="X46" s="444">
        <f>VLOOKUP(M46,tblVoedingPoeder,12,FALSE)*tblOmrekenVitD/100</f>
        <v>0</v>
      </c>
      <c r="Y46" s="444">
        <f>VLOOKUP(M46,tblVoedingPoeder,11,FALSE)*tblOmrekenFe/100</f>
        <v>0</v>
      </c>
      <c r="Z46" s="408"/>
      <c r="AA46" s="408"/>
    </row>
    <row r="47" spans="11:27" x14ac:dyDescent="0.2">
      <c r="L47" s="407" t="s">
        <v>956</v>
      </c>
      <c r="M47" s="407" t="s">
        <v>987</v>
      </c>
      <c r="N47" s="444">
        <f>VLOOKUP(M47,tblVoedingPoeder,6,FALSE)*tblOmrekenNA/100</f>
        <v>0.1804337</v>
      </c>
      <c r="O47" s="444">
        <f>VLOOKUP(M47,tblVoedingPoeder,7,FALSE)*tblOmrekenK/100</f>
        <v>0.12153833999999999</v>
      </c>
      <c r="P47" s="444">
        <f>VLOOKUP(M47,tblVoedingPoeder,8,FALSE)*tblOmrekenCa/100</f>
        <v>0.14765699999999998</v>
      </c>
      <c r="Q47" s="444">
        <f>VLOOKUP(M47,tblVoedingPoeder,10,FALSE)*tblOmrekenMg/100</f>
        <v>1.9336269999999999E-2</v>
      </c>
      <c r="R47" s="444">
        <f>VLOOKUP(M47,tblVoedingPoeder,9,FALSE)*tblOmrekenP/100</f>
        <v>0.10719947999999999</v>
      </c>
      <c r="S47" s="444">
        <f>VLOOKUP(M47,tblVoedingPoeder,3,FALSE)/100</f>
        <v>0.156</v>
      </c>
      <c r="T47" s="444">
        <f>VLOOKUP(M47,tblVoedingPoeder,4,FALSE)/100</f>
        <v>0.22899999999999998</v>
      </c>
      <c r="U47" s="444">
        <f>VLOOKUP(M47,tblVoedingPoeder,5,FALSE)/100</f>
        <v>0.498</v>
      </c>
      <c r="V47" s="444">
        <f>VLOOKUP(M47,tblVoedingPoeder,2,FALSE)/100</f>
        <v>4.74</v>
      </c>
      <c r="W47" s="444">
        <f>VLOOKUP(M47,tblVoedingPoeder,13,FALSE)*tblOmrekenCl/100</f>
        <v>0.14215823999999999</v>
      </c>
      <c r="X47" s="444">
        <f>VLOOKUP(M47,tblVoedingPoeder,12,FALSE)*tblOmrekenVitD/100</f>
        <v>7.2</v>
      </c>
      <c r="Y47" s="444">
        <f>VLOOKUP(M47,tblVoedingPoeder,11,FALSE)*tblOmrekenFe/100</f>
        <v>1.7004999999999998E-3</v>
      </c>
      <c r="Z47" s="408"/>
      <c r="AA47" s="408"/>
    </row>
    <row r="48" spans="11:27" x14ac:dyDescent="0.2">
      <c r="L48" s="407" t="s">
        <v>957</v>
      </c>
      <c r="M48" s="407" t="s">
        <v>1048</v>
      </c>
      <c r="N48" s="444">
        <f>VLOOKUP(M48,tblVoedingPoeder,6,FALSE)*tblOmrekenNA/100</f>
        <v>2.6086799999999999E-3</v>
      </c>
      <c r="O48" s="444">
        <f>VLOOKUP(M48,tblVoedingPoeder,7,FALSE)*tblOmrekenK/100</f>
        <v>2.3333310000000003E-2</v>
      </c>
      <c r="P48" s="444">
        <f>VLOOKUP(M48,tblVoedingPoeder,8,FALSE)*tblOmrekenCa/100</f>
        <v>8.3415000000000003E-2</v>
      </c>
      <c r="Q48" s="444">
        <f>VLOOKUP(M48,tblVoedingPoeder,10,FALSE)*tblOmrekenMg/100</f>
        <v>3.7438309999999995E-3</v>
      </c>
      <c r="R48" s="444">
        <f>VLOOKUP(M48,tblVoedingPoeder,9,FALSE)*tblOmrekenP/100</f>
        <v>3.8746799999999997E-3</v>
      </c>
      <c r="S48" s="444">
        <f>VLOOKUP(M48,tblVoedingPoeder,3,FALSE)/100</f>
        <v>0</v>
      </c>
      <c r="T48" s="444">
        <f>VLOOKUP(M48,tblVoedingPoeder,4,FALSE)/100</f>
        <v>0.66200000000000003</v>
      </c>
      <c r="U48" s="444">
        <f>VLOOKUP(M48,tblVoedingPoeder,5,FALSE)/100</f>
        <v>3.0000000000000001E-3</v>
      </c>
      <c r="V48" s="444">
        <f>VLOOKUP(M48,tblVoedingPoeder,2,FALSE)/100</f>
        <v>3.18</v>
      </c>
      <c r="W48" s="444">
        <f>VLOOKUP(M48,tblVoedingPoeder,13,FALSE)*tblOmrekenCl/100</f>
        <v>3.0744539999999997E-2</v>
      </c>
      <c r="X48" s="444">
        <f>VLOOKUP(M48,tblVoedingPoeder,12,FALSE)*tblOmrekenVitD/100</f>
        <v>0</v>
      </c>
      <c r="Y48" s="444">
        <f>VLOOKUP(M48,tblVoedingPoeder,11,FALSE)*tblOmrekenFe/100</f>
        <v>1.5751999999999999E-3</v>
      </c>
      <c r="Z48" s="408"/>
      <c r="AA48" s="408"/>
    </row>
    <row r="49" spans="1:27" x14ac:dyDescent="0.2">
      <c r="M49" s="446"/>
      <c r="P49" s="410"/>
      <c r="Q49" s="410"/>
      <c r="W49" s="410"/>
      <c r="Y49" s="408"/>
      <c r="Z49" s="408"/>
      <c r="AA49" s="408"/>
    </row>
    <row r="50" spans="1:27" x14ac:dyDescent="0.2">
      <c r="L50" s="1059" t="s">
        <v>1133</v>
      </c>
      <c r="M50" s="1059"/>
      <c r="N50" s="1059"/>
      <c r="O50" s="1059"/>
      <c r="P50" s="1059"/>
      <c r="Q50" s="1059"/>
      <c r="R50" s="1059"/>
      <c r="S50" s="1059"/>
      <c r="T50" s="1059"/>
      <c r="U50" s="1059"/>
      <c r="V50" s="1059"/>
      <c r="W50" s="1059"/>
      <c r="X50" s="1059"/>
      <c r="Y50" s="1059"/>
      <c r="Z50" s="1059"/>
      <c r="AA50" s="408"/>
    </row>
    <row r="51" spans="1:27" x14ac:dyDescent="0.2">
      <c r="M51" s="418"/>
      <c r="N51" s="418" t="s">
        <v>239</v>
      </c>
      <c r="O51" s="418" t="s">
        <v>240</v>
      </c>
      <c r="P51" s="418" t="s">
        <v>241</v>
      </c>
      <c r="Q51" s="418" t="s">
        <v>242</v>
      </c>
      <c r="R51" s="418" t="s">
        <v>568</v>
      </c>
      <c r="S51" s="418" t="s">
        <v>237</v>
      </c>
      <c r="T51" s="418" t="s">
        <v>569</v>
      </c>
      <c r="U51" s="418" t="s">
        <v>570</v>
      </c>
      <c r="V51" s="418" t="s">
        <v>571</v>
      </c>
      <c r="W51" s="465" t="s">
        <v>622</v>
      </c>
      <c r="X51" s="465" t="s">
        <v>623</v>
      </c>
      <c r="Y51" s="418" t="s">
        <v>968</v>
      </c>
      <c r="Z51" s="408"/>
      <c r="AA51" s="408"/>
    </row>
    <row r="52" spans="1:27" x14ac:dyDescent="0.2">
      <c r="L52" s="407" t="s">
        <v>634</v>
      </c>
      <c r="M52" s="407" t="s">
        <v>634</v>
      </c>
      <c r="N52" s="444">
        <f>VLOOKUP(M52,tblVoedingPoeder,6,FALSE)*tblOmrekenNA/100</f>
        <v>0.34912834000000004</v>
      </c>
      <c r="O52" s="444">
        <f>VLOOKUP(M52,tblVoedingPoeder,7,FALSE)*tblOmrekenK/100</f>
        <v>0.13538448</v>
      </c>
      <c r="P52" s="444">
        <f>VLOOKUP(M52,tblVoedingPoeder,8,FALSE)*tblOmrekenCa/100</f>
        <v>0.37125899999999995</v>
      </c>
      <c r="Q52" s="444">
        <f>VLOOKUP(M52,tblVoedingPoeder,10,FALSE)*tblOmrekenMg/100</f>
        <v>4.7312149999999997E-2</v>
      </c>
      <c r="R52" s="444">
        <f>VLOOKUP(M52,tblVoedingPoeder,9,FALSE)*tblOmrekenP/100</f>
        <v>0.28156007999999999</v>
      </c>
      <c r="S52" s="444">
        <f>VLOOKUP(M52,tblVoedingPoeder,3,FALSE)/100</f>
        <v>0.252</v>
      </c>
      <c r="T52" s="444">
        <f>VLOOKUP(M52,tblVoedingPoeder,4,FALSE)/100</f>
        <v>0.622</v>
      </c>
      <c r="U52" s="444">
        <f>VLOOKUP(M52,tblVoedingPoeder,5,FALSE)/100</f>
        <v>0</v>
      </c>
      <c r="V52" s="444">
        <f>VLOOKUP(M52,tblVoedingPoeder,2,FALSE)/100</f>
        <v>3.47</v>
      </c>
      <c r="W52" s="444">
        <f>VLOOKUP(M52,tblVoedingPoeder,13,FALSE)*tblOmrekenCl/100</f>
        <v>0.16162037999999998</v>
      </c>
      <c r="X52" s="444">
        <f>VLOOKUP(M52,tblVoedingPoeder,12,FALSE)*tblOmrekenVitD/100</f>
        <v>46</v>
      </c>
      <c r="Y52" s="444">
        <f>VLOOKUP(M52,tblVoedingPoeder,11,FALSE)*tblOmrekenFe/100</f>
        <v>0</v>
      </c>
      <c r="Z52" s="408"/>
      <c r="AA52" s="408"/>
    </row>
    <row r="53" spans="1:27" x14ac:dyDescent="0.2">
      <c r="M53" s="408"/>
      <c r="N53" s="395"/>
      <c r="O53" s="395"/>
      <c r="P53" s="395"/>
      <c r="Q53" s="395"/>
      <c r="R53" s="395"/>
      <c r="S53" s="395"/>
      <c r="T53" s="395"/>
      <c r="U53" s="395"/>
      <c r="V53" s="395"/>
      <c r="W53" s="395"/>
      <c r="X53" s="395"/>
      <c r="Y53" s="395"/>
      <c r="Z53" s="395"/>
      <c r="AA53" s="395"/>
    </row>
    <row r="54" spans="1:27" x14ac:dyDescent="0.2">
      <c r="A54" s="408"/>
      <c r="B54" s="408"/>
      <c r="C54" s="408"/>
      <c r="D54" s="408"/>
      <c r="E54" s="408"/>
      <c r="F54" s="408"/>
      <c r="G54" s="408"/>
      <c r="H54" s="408"/>
      <c r="M54" s="408"/>
      <c r="N54" s="395"/>
      <c r="O54" s="395"/>
      <c r="P54" s="395"/>
      <c r="Q54" s="395"/>
      <c r="R54" s="395"/>
      <c r="S54" s="395"/>
      <c r="T54" s="395"/>
      <c r="U54" s="395"/>
      <c r="V54" s="395"/>
      <c r="W54" s="395"/>
      <c r="X54" s="395"/>
      <c r="Y54" s="395"/>
      <c r="Z54" s="395"/>
      <c r="AA54" s="395"/>
    </row>
    <row r="55" spans="1:27" x14ac:dyDescent="0.2">
      <c r="A55" s="408"/>
      <c r="B55" s="408"/>
      <c r="C55" s="408"/>
      <c r="D55" s="408"/>
      <c r="E55" s="408"/>
      <c r="F55" s="408"/>
      <c r="G55" s="408"/>
      <c r="H55" s="408"/>
      <c r="L55" s="408"/>
      <c r="M55" s="408"/>
      <c r="N55" s="395"/>
      <c r="O55" s="395"/>
      <c r="P55" s="395"/>
      <c r="Q55" s="395"/>
      <c r="R55" s="395"/>
      <c r="S55" s="395"/>
      <c r="T55" s="395"/>
      <c r="U55" s="395"/>
      <c r="V55" s="395"/>
      <c r="W55" s="395"/>
      <c r="X55" s="395"/>
      <c r="Y55" s="395"/>
      <c r="Z55" s="395"/>
      <c r="AA55" s="395"/>
    </row>
    <row r="56" spans="1:27" x14ac:dyDescent="0.2">
      <c r="A56" s="408"/>
      <c r="B56" s="408"/>
      <c r="C56" s="408"/>
      <c r="D56" s="408"/>
      <c r="E56" s="408"/>
      <c r="F56" s="408"/>
      <c r="G56" s="408"/>
      <c r="H56" s="408"/>
      <c r="I56" s="408"/>
      <c r="J56" s="408"/>
      <c r="K56" s="408"/>
      <c r="L56" s="408"/>
      <c r="M56" s="408"/>
      <c r="N56" s="395"/>
      <c r="O56" s="395"/>
      <c r="P56" s="395"/>
      <c r="Q56" s="395"/>
      <c r="R56" s="395"/>
      <c r="S56" s="395"/>
      <c r="T56" s="395"/>
      <c r="U56" s="395"/>
      <c r="V56" s="395"/>
      <c r="W56" s="395"/>
      <c r="X56" s="395"/>
      <c r="Y56" s="395"/>
      <c r="Z56" s="395"/>
      <c r="AA56" s="395"/>
    </row>
    <row r="57" spans="1:27" x14ac:dyDescent="0.2">
      <c r="A57" s="408"/>
      <c r="B57" s="408"/>
      <c r="C57" s="408"/>
      <c r="D57" s="408"/>
      <c r="E57" s="408"/>
      <c r="F57" s="408"/>
      <c r="G57" s="408"/>
      <c r="H57" s="408"/>
      <c r="I57" s="408"/>
      <c r="J57" s="408"/>
      <c r="K57" s="408"/>
      <c r="L57" s="408"/>
      <c r="M57" s="408"/>
      <c r="N57" s="395"/>
      <c r="O57" s="395"/>
      <c r="P57" s="395"/>
      <c r="Q57" s="395"/>
      <c r="R57" s="395"/>
      <c r="S57" s="395"/>
      <c r="T57" s="395"/>
      <c r="U57" s="395"/>
      <c r="V57" s="395"/>
      <c r="W57" s="395"/>
      <c r="X57" s="395"/>
      <c r="Y57" s="395"/>
      <c r="Z57" s="395"/>
      <c r="AA57" s="395"/>
    </row>
    <row r="58" spans="1:27" x14ac:dyDescent="0.2">
      <c r="A58" s="408"/>
      <c r="B58" s="408"/>
      <c r="C58" s="408"/>
      <c r="D58" s="408"/>
      <c r="E58" s="408"/>
      <c r="F58" s="408"/>
      <c r="G58" s="408"/>
      <c r="H58" s="408"/>
      <c r="I58" s="408"/>
      <c r="J58" s="408"/>
      <c r="K58" s="408"/>
      <c r="L58" s="408"/>
      <c r="P58" s="410"/>
      <c r="Q58" s="410"/>
      <c r="W58" s="396"/>
      <c r="X58" s="409"/>
      <c r="Y58" s="408"/>
      <c r="Z58" s="395"/>
      <c r="AA58" s="395"/>
    </row>
    <row r="59" spans="1:27" x14ac:dyDescent="0.2">
      <c r="A59" s="408"/>
      <c r="B59" s="408"/>
      <c r="C59" s="408"/>
      <c r="D59" s="408"/>
      <c r="E59" s="408"/>
      <c r="F59" s="408"/>
      <c r="G59" s="408"/>
      <c r="H59" s="408"/>
      <c r="I59" s="408"/>
      <c r="J59" s="408"/>
      <c r="K59" s="408"/>
      <c r="L59" s="408"/>
      <c r="P59" s="410"/>
      <c r="Q59" s="410"/>
      <c r="W59" s="406"/>
      <c r="Y59" s="408"/>
      <c r="Z59" s="408"/>
      <c r="AA59" s="408"/>
    </row>
    <row r="60" spans="1:27" x14ac:dyDescent="0.2">
      <c r="A60" s="408"/>
      <c r="B60" s="408"/>
      <c r="C60" s="408"/>
      <c r="D60" s="408"/>
      <c r="E60" s="408"/>
      <c r="F60" s="408"/>
      <c r="G60" s="408"/>
      <c r="H60" s="408"/>
      <c r="I60" s="408"/>
      <c r="J60" s="408"/>
      <c r="K60" s="408"/>
      <c r="L60" s="408"/>
      <c r="P60" s="410"/>
      <c r="Q60" s="410"/>
      <c r="W60" s="406"/>
      <c r="Y60" s="408"/>
      <c r="Z60" s="408"/>
      <c r="AA60" s="408"/>
    </row>
    <row r="61" spans="1:27" x14ac:dyDescent="0.2">
      <c r="A61" s="408"/>
      <c r="B61" s="408"/>
      <c r="C61" s="408"/>
      <c r="D61" s="408"/>
      <c r="E61" s="408"/>
      <c r="F61" s="408"/>
      <c r="G61" s="408"/>
      <c r="H61" s="408"/>
      <c r="I61" s="408"/>
      <c r="J61" s="408"/>
      <c r="K61" s="408"/>
      <c r="L61" s="408"/>
      <c r="P61" s="410"/>
      <c r="Q61" s="410"/>
      <c r="W61" s="406"/>
      <c r="Y61" s="408"/>
      <c r="Z61" s="408"/>
      <c r="AA61" s="408"/>
    </row>
    <row r="62" spans="1:27" x14ac:dyDescent="0.2">
      <c r="A62" s="408"/>
      <c r="B62" s="408"/>
      <c r="C62" s="408"/>
      <c r="D62" s="408"/>
      <c r="E62" s="408"/>
      <c r="F62" s="408"/>
      <c r="G62" s="408"/>
      <c r="H62" s="408"/>
      <c r="I62" s="408"/>
      <c r="J62" s="408"/>
      <c r="K62" s="408"/>
      <c r="L62" s="408"/>
      <c r="M62" s="445"/>
      <c r="N62" s="445"/>
      <c r="Z62" s="408"/>
      <c r="AA62" s="408"/>
    </row>
    <row r="63" spans="1:27" x14ac:dyDescent="0.2">
      <c r="A63" s="408"/>
      <c r="B63" s="408"/>
      <c r="C63" s="408"/>
      <c r="D63" s="408"/>
      <c r="E63" s="408"/>
      <c r="F63" s="408"/>
      <c r="G63" s="408"/>
      <c r="H63" s="408"/>
      <c r="I63" s="408"/>
      <c r="J63" s="408"/>
      <c r="K63" s="408"/>
      <c r="L63" s="408"/>
      <c r="M63" s="373"/>
    </row>
    <row r="64" spans="1:27" x14ac:dyDescent="0.2">
      <c r="A64" s="408"/>
      <c r="B64" s="408"/>
      <c r="C64" s="408"/>
      <c r="D64" s="408"/>
      <c r="E64" s="408"/>
      <c r="F64" s="408"/>
      <c r="G64" s="408"/>
      <c r="H64" s="408"/>
      <c r="I64" s="408"/>
      <c r="J64" s="408"/>
      <c r="K64" s="408"/>
      <c r="L64" s="408"/>
    </row>
    <row r="65" spans="1:27" x14ac:dyDescent="0.2">
      <c r="A65" s="408"/>
      <c r="B65" s="408"/>
      <c r="C65" s="408"/>
      <c r="D65" s="408"/>
      <c r="E65" s="408"/>
      <c r="F65" s="408"/>
      <c r="G65" s="408"/>
      <c r="H65" s="408"/>
      <c r="I65" s="408"/>
      <c r="J65" s="408"/>
      <c r="K65" s="408"/>
      <c r="L65" s="408"/>
      <c r="N65" s="446"/>
      <c r="O65" s="446"/>
      <c r="P65" s="446"/>
      <c r="Q65" s="446"/>
      <c r="R65" s="446"/>
      <c r="S65" s="446"/>
      <c r="T65" s="446"/>
      <c r="U65" s="446"/>
      <c r="V65" s="446"/>
      <c r="W65" s="446"/>
      <c r="X65" s="446"/>
      <c r="Y65" s="446"/>
    </row>
    <row r="66" spans="1:27" x14ac:dyDescent="0.2">
      <c r="A66" s="408"/>
      <c r="B66" s="408"/>
      <c r="C66" s="408"/>
      <c r="D66" s="408"/>
      <c r="E66" s="408"/>
      <c r="F66" s="408"/>
      <c r="G66" s="408"/>
      <c r="H66" s="408"/>
      <c r="I66" s="408"/>
      <c r="J66" s="408"/>
      <c r="K66" s="408"/>
      <c r="L66" s="408"/>
      <c r="P66" s="410"/>
      <c r="Q66" s="410"/>
      <c r="W66" s="411"/>
      <c r="X66" s="408"/>
      <c r="Y66" s="408"/>
      <c r="Z66" s="446"/>
      <c r="AA66" s="446"/>
    </row>
    <row r="67" spans="1:27" x14ac:dyDescent="0.2">
      <c r="A67" s="408"/>
      <c r="B67" s="408"/>
      <c r="C67" s="408"/>
      <c r="D67" s="408"/>
      <c r="E67" s="408"/>
      <c r="F67" s="408"/>
      <c r="G67" s="408"/>
      <c r="H67" s="408"/>
      <c r="I67" s="408"/>
      <c r="J67" s="408"/>
      <c r="K67" s="408"/>
      <c r="L67" s="408"/>
      <c r="M67" s="408"/>
      <c r="N67" s="408"/>
      <c r="O67" s="408"/>
      <c r="P67" s="411"/>
      <c r="Q67" s="411"/>
      <c r="R67" s="408"/>
      <c r="S67" s="408"/>
      <c r="T67" s="408"/>
      <c r="U67" s="408"/>
      <c r="V67" s="408"/>
      <c r="W67" s="399"/>
      <c r="X67" s="395"/>
      <c r="Y67" s="395"/>
      <c r="Z67" s="408"/>
      <c r="AA67" s="408"/>
    </row>
    <row r="68" spans="1:27" x14ac:dyDescent="0.2">
      <c r="A68" s="408"/>
      <c r="B68" s="408"/>
      <c r="C68" s="408"/>
      <c r="D68" s="408"/>
      <c r="E68" s="408"/>
      <c r="F68" s="408"/>
      <c r="G68" s="408"/>
      <c r="H68" s="408"/>
      <c r="I68" s="408"/>
      <c r="J68" s="408"/>
      <c r="K68" s="408"/>
      <c r="L68" s="408"/>
      <c r="M68" s="408"/>
      <c r="N68" s="408"/>
      <c r="O68" s="408"/>
      <c r="P68" s="411"/>
      <c r="Q68" s="411"/>
      <c r="R68" s="408"/>
      <c r="S68" s="408"/>
      <c r="T68" s="408"/>
      <c r="U68" s="408"/>
      <c r="V68" s="408"/>
      <c r="W68" s="399"/>
      <c r="X68" s="395"/>
      <c r="Y68" s="395"/>
      <c r="Z68" s="395"/>
      <c r="AA68" s="395"/>
    </row>
    <row r="69" spans="1:27" x14ac:dyDescent="0.2">
      <c r="A69" s="408"/>
      <c r="B69" s="408"/>
      <c r="C69" s="408"/>
      <c r="D69" s="408"/>
      <c r="E69" s="408"/>
      <c r="F69" s="408"/>
      <c r="G69" s="408"/>
      <c r="H69" s="408"/>
      <c r="I69" s="408"/>
      <c r="J69" s="408"/>
      <c r="K69" s="408"/>
      <c r="L69" s="408"/>
      <c r="M69" s="408"/>
      <c r="N69" s="408"/>
      <c r="O69" s="408"/>
      <c r="P69" s="411"/>
      <c r="Q69" s="411"/>
      <c r="R69" s="408"/>
      <c r="S69" s="408"/>
      <c r="T69" s="408"/>
      <c r="U69" s="408"/>
      <c r="V69" s="403"/>
      <c r="W69" s="401"/>
      <c r="X69" s="400"/>
      <c r="Y69" s="400"/>
      <c r="Z69" s="395"/>
      <c r="AA69" s="395"/>
    </row>
    <row r="70" spans="1:27" x14ac:dyDescent="0.2">
      <c r="A70" s="408"/>
      <c r="B70" s="408"/>
      <c r="C70" s="408"/>
      <c r="D70" s="408"/>
      <c r="E70" s="408"/>
      <c r="F70" s="408"/>
      <c r="G70" s="408"/>
      <c r="H70" s="408"/>
      <c r="I70" s="408"/>
      <c r="J70" s="408"/>
      <c r="K70" s="408"/>
      <c r="L70" s="408"/>
      <c r="M70" s="408"/>
      <c r="N70" s="408"/>
      <c r="O70" s="408"/>
      <c r="P70" s="411"/>
      <c r="Q70" s="411"/>
      <c r="R70" s="408"/>
      <c r="S70" s="408"/>
      <c r="T70" s="408"/>
      <c r="U70" s="408"/>
      <c r="V70" s="403"/>
      <c r="W70" s="401"/>
      <c r="X70" s="400"/>
      <c r="Y70" s="400"/>
      <c r="Z70" s="400"/>
      <c r="AA70" s="400"/>
    </row>
    <row r="71" spans="1:27" x14ac:dyDescent="0.2">
      <c r="A71" s="408"/>
      <c r="B71" s="408"/>
      <c r="C71" s="408"/>
      <c r="D71" s="408"/>
      <c r="E71" s="408"/>
      <c r="F71" s="408"/>
      <c r="G71" s="408"/>
      <c r="H71" s="408"/>
      <c r="I71" s="408"/>
      <c r="J71" s="408"/>
      <c r="K71" s="408"/>
      <c r="L71" s="408"/>
      <c r="M71" s="408"/>
      <c r="N71" s="408"/>
      <c r="O71" s="408"/>
      <c r="P71" s="411"/>
      <c r="Q71" s="411"/>
      <c r="R71" s="408"/>
      <c r="S71" s="408"/>
      <c r="T71" s="408"/>
      <c r="U71" s="408"/>
      <c r="V71" s="408"/>
      <c r="W71" s="401"/>
      <c r="X71" s="400"/>
      <c r="Y71" s="400"/>
      <c r="Z71" s="400"/>
      <c r="AA71" s="400"/>
    </row>
    <row r="72" spans="1:27" x14ac:dyDescent="0.2">
      <c r="A72" s="408"/>
      <c r="B72" s="408"/>
      <c r="C72" s="408"/>
      <c r="D72" s="408"/>
      <c r="E72" s="408"/>
      <c r="F72" s="408"/>
      <c r="G72" s="408"/>
      <c r="H72" s="408"/>
      <c r="I72" s="408"/>
      <c r="J72" s="408"/>
      <c r="K72" s="408"/>
      <c r="L72" s="408"/>
      <c r="M72" s="408"/>
      <c r="N72" s="408"/>
      <c r="O72" s="408"/>
      <c r="P72" s="411"/>
      <c r="Q72" s="411"/>
      <c r="R72" s="408"/>
      <c r="S72" s="408"/>
      <c r="T72" s="408"/>
      <c r="U72" s="408"/>
      <c r="V72" s="408"/>
      <c r="W72" s="401"/>
      <c r="X72" s="400"/>
      <c r="Y72" s="400"/>
      <c r="Z72" s="400"/>
      <c r="AA72" s="400"/>
    </row>
    <row r="73" spans="1:27" x14ac:dyDescent="0.2">
      <c r="A73" s="408"/>
      <c r="B73" s="408"/>
      <c r="C73" s="408"/>
      <c r="D73" s="408"/>
      <c r="E73" s="408"/>
      <c r="F73" s="408"/>
      <c r="G73" s="408"/>
      <c r="H73" s="408"/>
      <c r="I73" s="408"/>
      <c r="J73" s="408"/>
      <c r="K73" s="408"/>
      <c r="L73" s="408"/>
      <c r="M73" s="408"/>
      <c r="P73" s="410"/>
      <c r="Q73" s="410"/>
      <c r="W73" s="396"/>
      <c r="X73" s="409"/>
      <c r="Y73" s="395"/>
      <c r="Z73" s="400"/>
      <c r="AA73" s="400"/>
    </row>
    <row r="74" spans="1:27" x14ac:dyDescent="0.2">
      <c r="A74" s="408"/>
      <c r="B74" s="408"/>
      <c r="C74" s="408"/>
      <c r="D74" s="408"/>
      <c r="E74" s="408"/>
      <c r="F74" s="408"/>
      <c r="G74" s="408"/>
      <c r="H74" s="408"/>
      <c r="I74" s="408"/>
      <c r="J74" s="408"/>
      <c r="K74" s="408"/>
      <c r="L74" s="408"/>
      <c r="M74" s="408"/>
      <c r="P74" s="410"/>
      <c r="Q74" s="410"/>
      <c r="W74" s="396"/>
      <c r="X74" s="409"/>
      <c r="Y74" s="395"/>
      <c r="Z74" s="395"/>
      <c r="AA74" s="395"/>
    </row>
    <row r="75" spans="1:27" x14ac:dyDescent="0.2">
      <c r="A75" s="447"/>
      <c r="B75" s="447"/>
      <c r="C75" s="344"/>
      <c r="D75" s="344"/>
      <c r="E75" s="344"/>
      <c r="F75" s="344"/>
      <c r="G75" s="344"/>
      <c r="H75" s="344"/>
      <c r="I75" s="408"/>
      <c r="J75" s="408"/>
      <c r="K75" s="408"/>
      <c r="L75" s="408"/>
      <c r="M75" s="408"/>
      <c r="P75" s="410"/>
      <c r="Q75" s="410"/>
      <c r="W75" s="396"/>
      <c r="X75" s="409"/>
      <c r="Y75" s="395"/>
      <c r="Z75" s="395"/>
      <c r="AA75" s="395"/>
    </row>
    <row r="76" spans="1:27" x14ac:dyDescent="0.2">
      <c r="A76" s="447"/>
      <c r="B76" s="447"/>
      <c r="C76" s="344"/>
      <c r="D76" s="344"/>
      <c r="E76" s="344"/>
      <c r="F76" s="344"/>
      <c r="G76" s="344"/>
      <c r="H76" s="344"/>
      <c r="I76" s="408"/>
      <c r="J76" s="408"/>
      <c r="K76" s="408"/>
      <c r="L76" s="152"/>
      <c r="M76" s="408"/>
      <c r="P76" s="410"/>
      <c r="Q76" s="410"/>
      <c r="W76" s="396"/>
      <c r="X76" s="409"/>
      <c r="Y76" s="395"/>
      <c r="Z76" s="395"/>
      <c r="AA76" s="395"/>
    </row>
    <row r="77" spans="1:27" x14ac:dyDescent="0.2">
      <c r="A77" s="344"/>
      <c r="B77" s="344"/>
      <c r="C77" s="344"/>
      <c r="D77" s="344"/>
      <c r="E77" s="344"/>
      <c r="F77" s="344"/>
      <c r="G77" s="344"/>
      <c r="H77" s="344"/>
      <c r="I77" s="344"/>
      <c r="J77" s="344"/>
      <c r="K77" s="152"/>
      <c r="L77" s="344"/>
      <c r="M77" s="408"/>
      <c r="N77" s="408"/>
      <c r="O77" s="408"/>
      <c r="P77" s="411"/>
      <c r="Q77" s="411"/>
      <c r="R77" s="408"/>
      <c r="S77" s="408"/>
      <c r="T77" s="408"/>
      <c r="U77" s="408"/>
      <c r="V77" s="409"/>
      <c r="W77" s="411"/>
      <c r="X77" s="408"/>
      <c r="Y77" s="408"/>
      <c r="Z77" s="395"/>
      <c r="AA77" s="395"/>
    </row>
    <row r="78" spans="1:27" x14ac:dyDescent="0.2">
      <c r="A78" s="447"/>
      <c r="B78" s="447"/>
      <c r="C78" s="344"/>
      <c r="D78" s="344"/>
      <c r="E78" s="344"/>
      <c r="F78" s="344"/>
      <c r="G78" s="344"/>
      <c r="H78" s="344"/>
      <c r="I78" s="344"/>
      <c r="J78" s="344"/>
      <c r="K78" s="344"/>
      <c r="L78" s="344"/>
      <c r="M78" s="408"/>
      <c r="N78" s="408"/>
      <c r="O78" s="408"/>
      <c r="P78" s="411"/>
      <c r="Q78" s="411"/>
      <c r="R78" s="408"/>
      <c r="S78" s="408"/>
      <c r="T78" s="408"/>
      <c r="U78" s="408"/>
      <c r="V78" s="409"/>
      <c r="W78" s="411"/>
      <c r="X78" s="408"/>
      <c r="Y78" s="408"/>
      <c r="Z78" s="408"/>
      <c r="AA78" s="408"/>
    </row>
    <row r="79" spans="1:27" x14ac:dyDescent="0.2">
      <c r="A79" s="447"/>
      <c r="B79" s="447"/>
      <c r="C79" s="344"/>
      <c r="D79" s="344"/>
      <c r="E79" s="344"/>
      <c r="F79" s="344"/>
      <c r="G79" s="344"/>
      <c r="H79" s="344"/>
      <c r="I79" s="344"/>
      <c r="J79" s="344"/>
      <c r="K79" s="344"/>
      <c r="L79" s="344"/>
      <c r="M79" s="409"/>
      <c r="P79" s="410"/>
      <c r="Q79" s="410"/>
      <c r="W79" s="411"/>
      <c r="X79" s="408"/>
      <c r="Y79" s="408"/>
      <c r="Z79" s="408"/>
      <c r="AA79" s="408"/>
    </row>
    <row r="80" spans="1:27" x14ac:dyDescent="0.2">
      <c r="A80" s="447"/>
      <c r="B80" s="447"/>
      <c r="C80" s="344"/>
      <c r="D80" s="344"/>
      <c r="E80" s="344"/>
      <c r="F80" s="344"/>
      <c r="G80" s="344"/>
      <c r="H80" s="344"/>
      <c r="I80" s="344"/>
      <c r="J80" s="344"/>
      <c r="K80" s="344"/>
      <c r="L80" s="344"/>
      <c r="M80" s="409"/>
      <c r="N80" s="409"/>
      <c r="O80" s="409"/>
      <c r="P80" s="396"/>
      <c r="Q80" s="396"/>
      <c r="R80" s="409"/>
      <c r="S80" s="409"/>
      <c r="T80" s="409"/>
      <c r="U80" s="409"/>
      <c r="V80" s="409"/>
      <c r="W80" s="396"/>
      <c r="X80" s="409"/>
      <c r="Y80" s="395"/>
      <c r="Z80" s="408"/>
      <c r="AA80" s="408"/>
    </row>
    <row r="81" spans="1:27" x14ac:dyDescent="0.2">
      <c r="A81" s="447"/>
      <c r="B81" s="447"/>
      <c r="C81" s="344"/>
      <c r="D81" s="344"/>
      <c r="E81" s="344"/>
      <c r="F81" s="344"/>
      <c r="G81" s="344"/>
      <c r="H81" s="344"/>
      <c r="I81" s="344"/>
      <c r="J81" s="344"/>
      <c r="K81" s="344"/>
      <c r="L81" s="344"/>
      <c r="M81" s="409"/>
      <c r="N81" s="409"/>
      <c r="O81" s="409"/>
      <c r="P81" s="396"/>
      <c r="Q81" s="396"/>
      <c r="R81" s="409"/>
      <c r="S81" s="409"/>
      <c r="T81" s="409"/>
      <c r="U81" s="409"/>
      <c r="V81" s="409"/>
      <c r="W81" s="396"/>
      <c r="X81" s="409"/>
      <c r="Y81" s="395"/>
      <c r="Z81" s="395"/>
      <c r="AA81" s="395"/>
    </row>
    <row r="82" spans="1:27" x14ac:dyDescent="0.2">
      <c r="A82" s="344"/>
      <c r="B82" s="447"/>
      <c r="C82" s="344"/>
      <c r="D82" s="344"/>
      <c r="E82" s="344"/>
      <c r="F82" s="344"/>
      <c r="G82" s="344"/>
      <c r="H82" s="344"/>
      <c r="I82" s="344"/>
      <c r="J82" s="344"/>
      <c r="K82" s="344"/>
      <c r="L82" s="344"/>
      <c r="M82" s="409"/>
      <c r="N82" s="409"/>
      <c r="O82" s="409"/>
      <c r="P82" s="396"/>
      <c r="Q82" s="396"/>
      <c r="R82" s="409"/>
      <c r="S82" s="409"/>
      <c r="T82" s="409"/>
      <c r="U82" s="409"/>
      <c r="V82" s="409"/>
      <c r="W82" s="396"/>
      <c r="X82" s="409"/>
      <c r="Y82" s="395"/>
      <c r="Z82" s="395"/>
      <c r="AA82" s="395"/>
    </row>
    <row r="83" spans="1:27" x14ac:dyDescent="0.2">
      <c r="A83" s="344"/>
      <c r="B83" s="447"/>
      <c r="C83" s="344"/>
      <c r="D83" s="344"/>
      <c r="E83" s="344"/>
      <c r="F83" s="344"/>
      <c r="G83" s="344"/>
      <c r="H83" s="344"/>
      <c r="I83" s="344"/>
      <c r="J83" s="344"/>
      <c r="K83" s="344"/>
      <c r="L83" s="344"/>
      <c r="M83" s="409"/>
      <c r="N83" s="409"/>
      <c r="O83" s="409"/>
      <c r="P83" s="396"/>
      <c r="Q83" s="402"/>
      <c r="R83" s="409"/>
      <c r="S83" s="409"/>
      <c r="T83" s="409"/>
      <c r="U83" s="409"/>
      <c r="V83" s="409"/>
      <c r="W83" s="396"/>
      <c r="X83" s="397"/>
      <c r="Y83" s="400"/>
      <c r="Z83" s="395"/>
      <c r="AA83" s="395"/>
    </row>
    <row r="84" spans="1:27" x14ac:dyDescent="0.2">
      <c r="A84" s="447"/>
      <c r="B84" s="447"/>
      <c r="C84" s="344"/>
      <c r="D84" s="344"/>
      <c r="E84" s="344"/>
      <c r="F84" s="344"/>
      <c r="G84" s="344"/>
      <c r="H84" s="344"/>
      <c r="I84" s="344"/>
      <c r="J84" s="344"/>
      <c r="K84" s="344"/>
      <c r="L84" s="344"/>
      <c r="M84" s="409"/>
      <c r="N84" s="409"/>
      <c r="O84" s="409"/>
      <c r="P84" s="396"/>
      <c r="Q84" s="396"/>
      <c r="R84" s="409"/>
      <c r="S84" s="409"/>
      <c r="T84" s="409"/>
      <c r="U84" s="409"/>
      <c r="V84" s="409"/>
      <c r="W84" s="396"/>
      <c r="X84" s="397"/>
      <c r="Y84" s="400"/>
      <c r="Z84" s="400"/>
      <c r="AA84" s="400"/>
    </row>
    <row r="85" spans="1:27" x14ac:dyDescent="0.2">
      <c r="A85" s="447"/>
      <c r="B85" s="447"/>
      <c r="C85" s="344"/>
      <c r="D85" s="344"/>
      <c r="E85" s="344"/>
      <c r="F85" s="344"/>
      <c r="G85" s="344"/>
      <c r="H85" s="344"/>
      <c r="I85" s="344"/>
      <c r="J85" s="344"/>
      <c r="K85" s="344"/>
      <c r="L85" s="344"/>
      <c r="M85" s="409"/>
      <c r="N85" s="409"/>
      <c r="O85" s="409"/>
      <c r="P85" s="396"/>
      <c r="Q85" s="396"/>
      <c r="R85" s="409"/>
      <c r="S85" s="409"/>
      <c r="T85" s="409"/>
      <c r="U85" s="409"/>
      <c r="V85" s="409"/>
      <c r="W85" s="396"/>
      <c r="X85" s="397"/>
      <c r="Y85" s="400"/>
      <c r="Z85" s="400"/>
      <c r="AA85" s="400"/>
    </row>
    <row r="86" spans="1:27" x14ac:dyDescent="0.2">
      <c r="A86" s="447"/>
      <c r="B86" s="447"/>
      <c r="C86" s="344"/>
      <c r="D86" s="344"/>
      <c r="E86" s="344"/>
      <c r="F86" s="344"/>
      <c r="G86" s="344"/>
      <c r="H86" s="344"/>
      <c r="I86" s="344"/>
      <c r="J86" s="344"/>
      <c r="K86" s="344"/>
      <c r="L86" s="344"/>
      <c r="M86" s="409"/>
      <c r="N86" s="409"/>
      <c r="O86" s="409"/>
      <c r="P86" s="396"/>
      <c r="Q86" s="396"/>
      <c r="R86" s="409"/>
      <c r="S86" s="409"/>
      <c r="T86" s="409"/>
      <c r="U86" s="409"/>
      <c r="V86" s="409"/>
      <c r="W86" s="396"/>
      <c r="X86" s="409"/>
      <c r="Y86" s="395"/>
      <c r="Z86" s="400"/>
      <c r="AA86" s="400"/>
    </row>
    <row r="87" spans="1:27" x14ac:dyDescent="0.2">
      <c r="A87" s="447"/>
      <c r="B87" s="447"/>
      <c r="C87" s="344"/>
      <c r="D87" s="344"/>
      <c r="E87" s="344"/>
      <c r="F87" s="344"/>
      <c r="G87" s="344"/>
      <c r="H87" s="344"/>
      <c r="I87" s="344"/>
      <c r="J87" s="344"/>
      <c r="K87" s="344"/>
      <c r="L87" s="344"/>
      <c r="M87" s="395"/>
      <c r="N87" s="398"/>
      <c r="O87" s="398"/>
      <c r="P87" s="398"/>
      <c r="Q87" s="398"/>
      <c r="R87" s="398"/>
      <c r="S87" s="398"/>
      <c r="T87" s="398"/>
      <c r="U87" s="398"/>
      <c r="V87" s="398"/>
      <c r="W87" s="398"/>
      <c r="X87" s="398"/>
      <c r="Y87" s="395"/>
      <c r="Z87" s="395"/>
      <c r="AA87" s="395"/>
    </row>
    <row r="88" spans="1:27" x14ac:dyDescent="0.2">
      <c r="A88" s="447"/>
      <c r="B88" s="447"/>
      <c r="C88" s="344"/>
      <c r="D88" s="344"/>
      <c r="E88" s="344"/>
      <c r="F88" s="344"/>
      <c r="G88" s="344"/>
      <c r="H88" s="344"/>
      <c r="I88" s="344"/>
      <c r="J88" s="344"/>
      <c r="K88" s="344"/>
      <c r="L88" s="344"/>
      <c r="M88" s="395"/>
      <c r="N88" s="398"/>
      <c r="O88" s="398"/>
      <c r="P88" s="398"/>
      <c r="Q88" s="398"/>
      <c r="R88" s="398"/>
      <c r="S88" s="398"/>
      <c r="T88" s="398"/>
      <c r="U88" s="398"/>
      <c r="V88" s="398"/>
      <c r="W88" s="398"/>
      <c r="X88" s="398"/>
      <c r="Y88" s="395"/>
      <c r="Z88" s="395"/>
      <c r="AA88" s="395"/>
    </row>
    <row r="89" spans="1:27" x14ac:dyDescent="0.2">
      <c r="A89" s="447"/>
      <c r="B89" s="447"/>
      <c r="C89" s="344"/>
      <c r="D89" s="344"/>
      <c r="E89" s="344"/>
      <c r="F89" s="344"/>
      <c r="G89" s="344"/>
      <c r="H89" s="344"/>
      <c r="I89" s="344"/>
      <c r="J89" s="344"/>
      <c r="K89" s="344"/>
      <c r="L89" s="344"/>
      <c r="M89" s="344"/>
      <c r="N89" s="408"/>
      <c r="O89" s="408"/>
      <c r="P89" s="408"/>
      <c r="Q89" s="408"/>
      <c r="R89" s="408"/>
      <c r="S89" s="408"/>
      <c r="Z89" s="395"/>
      <c r="AA89" s="395"/>
    </row>
    <row r="90" spans="1:27" x14ac:dyDescent="0.2">
      <c r="A90" s="447"/>
      <c r="B90" s="447"/>
      <c r="C90" s="344"/>
      <c r="D90" s="344"/>
      <c r="E90" s="344"/>
      <c r="F90" s="344"/>
      <c r="G90" s="344"/>
      <c r="H90" s="344"/>
      <c r="I90" s="344"/>
      <c r="J90" s="344"/>
      <c r="K90" s="344"/>
      <c r="L90" s="344"/>
      <c r="M90" s="344"/>
      <c r="N90" s="408"/>
      <c r="O90" s="408"/>
      <c r="P90" s="408"/>
      <c r="Q90" s="408"/>
      <c r="R90" s="408"/>
      <c r="S90" s="408"/>
    </row>
    <row r="91" spans="1:27" x14ac:dyDescent="0.2">
      <c r="A91" s="447"/>
      <c r="B91" s="447"/>
      <c r="C91" s="344"/>
      <c r="D91" s="344"/>
      <c r="E91" s="344"/>
      <c r="F91" s="344"/>
      <c r="G91" s="344"/>
      <c r="H91" s="344"/>
      <c r="I91" s="344"/>
      <c r="J91" s="344"/>
      <c r="K91" s="344"/>
      <c r="L91" s="344"/>
      <c r="M91" s="344"/>
      <c r="N91" s="408"/>
      <c r="O91" s="408"/>
      <c r="P91" s="408"/>
      <c r="Q91" s="408"/>
      <c r="R91" s="408"/>
      <c r="S91" s="408"/>
    </row>
    <row r="92" spans="1:27" x14ac:dyDescent="0.2">
      <c r="A92" s="447"/>
      <c r="B92" s="447"/>
      <c r="C92" s="344"/>
      <c r="D92" s="344"/>
      <c r="E92" s="344"/>
      <c r="F92" s="344"/>
      <c r="G92" s="344"/>
      <c r="H92" s="344"/>
      <c r="I92" s="344"/>
      <c r="J92" s="344"/>
      <c r="K92" s="344"/>
      <c r="L92" s="344"/>
      <c r="M92" s="344"/>
      <c r="N92" s="408"/>
      <c r="O92" s="408"/>
      <c r="P92" s="408"/>
      <c r="Q92" s="408"/>
      <c r="R92" s="408"/>
      <c r="S92" s="408"/>
    </row>
    <row r="93" spans="1:27" x14ac:dyDescent="0.2">
      <c r="A93" s="447"/>
      <c r="B93" s="447"/>
      <c r="C93" s="344"/>
      <c r="D93" s="344"/>
      <c r="E93" s="344"/>
      <c r="F93" s="344"/>
      <c r="G93" s="344"/>
      <c r="H93" s="344"/>
      <c r="I93" s="344"/>
      <c r="J93" s="344"/>
      <c r="K93" s="344"/>
      <c r="L93" s="344"/>
      <c r="M93" s="344"/>
      <c r="N93" s="408"/>
      <c r="O93" s="408"/>
      <c r="P93" s="408"/>
      <c r="Q93" s="408"/>
      <c r="R93" s="408"/>
      <c r="S93" s="408"/>
    </row>
    <row r="94" spans="1:27" x14ac:dyDescent="0.2">
      <c r="A94" s="447"/>
      <c r="B94" s="447"/>
      <c r="C94" s="344"/>
      <c r="D94" s="344"/>
      <c r="E94" s="344"/>
      <c r="F94" s="344"/>
      <c r="G94" s="344"/>
      <c r="H94" s="344"/>
      <c r="I94" s="344"/>
      <c r="J94" s="344"/>
      <c r="K94" s="344"/>
      <c r="L94" s="344"/>
      <c r="M94" s="344"/>
      <c r="N94" s="408"/>
      <c r="O94" s="408"/>
      <c r="P94" s="408"/>
      <c r="Q94" s="408"/>
      <c r="R94" s="408"/>
      <c r="S94" s="408"/>
    </row>
    <row r="95" spans="1:27" x14ac:dyDescent="0.2">
      <c r="A95" s="447"/>
      <c r="B95" s="447"/>
      <c r="C95" s="344"/>
      <c r="D95" s="344"/>
      <c r="E95" s="344"/>
      <c r="F95" s="344"/>
      <c r="G95" s="344"/>
      <c r="H95" s="344"/>
      <c r="I95" s="344"/>
      <c r="J95" s="344"/>
      <c r="K95" s="344"/>
      <c r="L95" s="344"/>
      <c r="M95" s="344"/>
      <c r="N95" s="408"/>
      <c r="O95" s="408"/>
      <c r="P95" s="408"/>
      <c r="Q95" s="408"/>
      <c r="R95" s="408"/>
      <c r="S95" s="408"/>
    </row>
    <row r="96" spans="1:27" x14ac:dyDescent="0.2">
      <c r="A96" s="447"/>
      <c r="B96" s="447"/>
      <c r="C96" s="344"/>
      <c r="D96" s="344"/>
      <c r="E96" s="344"/>
      <c r="F96" s="344"/>
      <c r="G96" s="344"/>
      <c r="H96" s="344"/>
      <c r="I96" s="344"/>
      <c r="J96" s="344"/>
      <c r="K96" s="344"/>
      <c r="L96" s="344"/>
      <c r="M96" s="344"/>
      <c r="N96" s="408"/>
      <c r="O96" s="408"/>
      <c r="P96" s="408"/>
      <c r="Q96" s="408"/>
      <c r="R96" s="408"/>
      <c r="S96" s="408"/>
    </row>
    <row r="97" spans="1:19" x14ac:dyDescent="0.2">
      <c r="A97" s="447"/>
      <c r="B97" s="447"/>
      <c r="C97" s="344"/>
      <c r="D97" s="344"/>
      <c r="E97" s="344"/>
      <c r="F97" s="344"/>
      <c r="G97" s="344"/>
      <c r="H97" s="344"/>
      <c r="I97" s="344"/>
      <c r="J97" s="344"/>
      <c r="K97" s="344"/>
      <c r="L97" s="344"/>
      <c r="M97" s="344"/>
      <c r="N97" s="408"/>
      <c r="O97" s="408"/>
      <c r="P97" s="408"/>
      <c r="Q97" s="408"/>
      <c r="R97" s="408"/>
      <c r="S97" s="408"/>
    </row>
    <row r="98" spans="1:19" x14ac:dyDescent="0.2">
      <c r="A98" s="447"/>
      <c r="B98" s="447"/>
      <c r="C98" s="344"/>
      <c r="D98" s="344"/>
      <c r="E98" s="344"/>
      <c r="F98" s="344"/>
      <c r="G98" s="344"/>
      <c r="H98" s="344"/>
      <c r="I98" s="344"/>
      <c r="J98" s="344"/>
      <c r="K98" s="344"/>
      <c r="L98" s="344"/>
      <c r="M98" s="344"/>
      <c r="N98" s="408"/>
      <c r="O98" s="408"/>
      <c r="P98" s="408"/>
      <c r="Q98" s="408"/>
      <c r="R98" s="408"/>
      <c r="S98" s="408"/>
    </row>
    <row r="99" spans="1:19" x14ac:dyDescent="0.2">
      <c r="A99" s="447"/>
      <c r="B99" s="447"/>
      <c r="C99" s="344"/>
      <c r="D99" s="344"/>
      <c r="E99" s="344"/>
      <c r="F99" s="344"/>
      <c r="G99" s="344"/>
      <c r="H99" s="344"/>
      <c r="I99" s="344"/>
      <c r="J99" s="344"/>
      <c r="K99" s="344"/>
      <c r="L99" s="344"/>
      <c r="M99" s="344"/>
      <c r="N99" s="408"/>
      <c r="O99" s="408"/>
      <c r="P99" s="408"/>
      <c r="Q99" s="408"/>
      <c r="R99" s="408"/>
      <c r="S99" s="408"/>
    </row>
    <row r="100" spans="1:19" x14ac:dyDescent="0.2">
      <c r="A100" s="447"/>
      <c r="B100" s="447"/>
      <c r="C100" s="344"/>
      <c r="D100" s="344"/>
      <c r="E100" s="344"/>
      <c r="F100" s="344"/>
      <c r="G100" s="344"/>
      <c r="H100" s="344"/>
      <c r="I100" s="344"/>
      <c r="J100" s="344"/>
      <c r="K100" s="344"/>
      <c r="L100" s="344"/>
      <c r="M100" s="344"/>
      <c r="N100" s="408"/>
      <c r="O100" s="408"/>
      <c r="P100" s="408"/>
      <c r="Q100" s="408"/>
      <c r="R100" s="408"/>
      <c r="S100" s="408"/>
    </row>
    <row r="101" spans="1:19" x14ac:dyDescent="0.2">
      <c r="A101" s="447"/>
      <c r="B101" s="447"/>
      <c r="C101" s="344"/>
      <c r="D101" s="344"/>
      <c r="E101" s="344"/>
      <c r="F101" s="344"/>
      <c r="G101" s="344"/>
      <c r="H101" s="344"/>
      <c r="I101" s="344"/>
      <c r="J101" s="344"/>
      <c r="K101" s="344"/>
      <c r="L101" s="344"/>
      <c r="M101" s="344"/>
      <c r="N101" s="408"/>
      <c r="O101" s="408"/>
      <c r="P101" s="408"/>
      <c r="Q101" s="408"/>
      <c r="R101" s="408"/>
      <c r="S101" s="408"/>
    </row>
    <row r="102" spans="1:19" x14ac:dyDescent="0.2">
      <c r="A102" s="447"/>
      <c r="B102" s="447"/>
      <c r="C102" s="344"/>
      <c r="D102" s="344"/>
      <c r="E102" s="344"/>
      <c r="F102" s="344"/>
      <c r="G102" s="344"/>
      <c r="H102" s="344"/>
      <c r="I102" s="344"/>
      <c r="J102" s="344"/>
      <c r="K102" s="344"/>
      <c r="L102" s="344"/>
      <c r="M102" s="344"/>
      <c r="N102" s="408"/>
      <c r="O102" s="408"/>
      <c r="P102" s="408"/>
      <c r="Q102" s="408"/>
      <c r="R102" s="408"/>
      <c r="S102" s="408"/>
    </row>
    <row r="103" spans="1:19" x14ac:dyDescent="0.2">
      <c r="A103" s="447"/>
      <c r="B103" s="447"/>
      <c r="C103" s="344"/>
      <c r="D103" s="344"/>
      <c r="E103" s="344"/>
      <c r="F103" s="344"/>
      <c r="G103" s="344"/>
      <c r="H103" s="344"/>
      <c r="I103" s="344"/>
      <c r="J103" s="344"/>
      <c r="K103" s="344"/>
      <c r="L103" s="344"/>
      <c r="M103" s="344"/>
      <c r="N103" s="408"/>
      <c r="O103" s="408"/>
      <c r="P103" s="408"/>
      <c r="Q103" s="408"/>
      <c r="R103" s="408"/>
      <c r="S103" s="408"/>
    </row>
    <row r="104" spans="1:19" x14ac:dyDescent="0.2">
      <c r="A104" s="447"/>
      <c r="B104" s="447"/>
      <c r="C104" s="344"/>
      <c r="D104" s="344"/>
      <c r="E104" s="344"/>
      <c r="F104" s="344"/>
      <c r="G104" s="344"/>
      <c r="H104" s="344"/>
      <c r="I104" s="344"/>
      <c r="J104" s="344"/>
      <c r="K104" s="344"/>
      <c r="L104" s="344"/>
      <c r="M104" s="344"/>
      <c r="N104" s="408"/>
      <c r="O104" s="408"/>
      <c r="P104" s="408"/>
      <c r="Q104" s="408"/>
      <c r="R104" s="408"/>
      <c r="S104" s="408"/>
    </row>
    <row r="105" spans="1:19" x14ac:dyDescent="0.2">
      <c r="A105" s="447"/>
      <c r="B105" s="447"/>
      <c r="C105" s="344"/>
      <c r="D105" s="344"/>
      <c r="E105" s="344"/>
      <c r="F105" s="344"/>
      <c r="G105" s="344"/>
      <c r="H105" s="344"/>
      <c r="I105" s="344"/>
      <c r="J105" s="344"/>
      <c r="K105" s="344"/>
      <c r="L105" s="344"/>
      <c r="M105" s="344"/>
      <c r="N105" s="408"/>
      <c r="O105" s="408"/>
      <c r="P105" s="408"/>
      <c r="Q105" s="408"/>
      <c r="R105" s="408"/>
      <c r="S105" s="408"/>
    </row>
    <row r="106" spans="1:19" x14ac:dyDescent="0.2">
      <c r="A106" s="408"/>
      <c r="B106" s="408"/>
      <c r="C106" s="408"/>
      <c r="D106" s="408"/>
      <c r="E106" s="408"/>
      <c r="F106" s="408"/>
      <c r="G106" s="408"/>
      <c r="H106" s="408"/>
      <c r="I106" s="344"/>
      <c r="J106" s="344"/>
      <c r="K106" s="344"/>
      <c r="L106" s="344"/>
      <c r="M106" s="344"/>
      <c r="N106" s="408"/>
      <c r="O106" s="408"/>
      <c r="P106" s="408"/>
      <c r="Q106" s="408"/>
      <c r="R106" s="408"/>
      <c r="S106" s="408"/>
    </row>
    <row r="107" spans="1:19" x14ac:dyDescent="0.2">
      <c r="A107" s="408"/>
      <c r="B107" s="408"/>
      <c r="C107" s="408"/>
      <c r="D107" s="408"/>
      <c r="E107" s="408"/>
      <c r="F107" s="408"/>
      <c r="G107" s="408"/>
      <c r="H107" s="408"/>
      <c r="I107" s="344"/>
      <c r="J107" s="344"/>
      <c r="K107" s="344"/>
      <c r="L107" s="408"/>
      <c r="M107" s="408"/>
      <c r="N107" s="408"/>
      <c r="O107" s="408"/>
      <c r="P107" s="408"/>
      <c r="Q107" s="408"/>
      <c r="R107" s="408"/>
      <c r="S107" s="408"/>
    </row>
    <row r="108" spans="1:19" x14ac:dyDescent="0.2">
      <c r="A108" s="408"/>
      <c r="B108" s="408"/>
      <c r="C108" s="408"/>
      <c r="D108" s="408"/>
      <c r="E108" s="408"/>
      <c r="F108" s="408"/>
      <c r="G108" s="408"/>
      <c r="H108" s="408"/>
      <c r="I108" s="408"/>
      <c r="J108" s="408"/>
      <c r="K108" s="408"/>
      <c r="L108" s="408"/>
      <c r="M108" s="408"/>
      <c r="N108" s="408"/>
      <c r="O108" s="408"/>
      <c r="P108" s="408"/>
      <c r="Q108" s="408"/>
      <c r="R108" s="408"/>
      <c r="S108" s="408"/>
    </row>
    <row r="109" spans="1:19" x14ac:dyDescent="0.2">
      <c r="A109" s="408"/>
      <c r="B109" s="408"/>
      <c r="C109" s="408"/>
      <c r="D109" s="408"/>
      <c r="E109" s="408"/>
      <c r="F109" s="408"/>
      <c r="G109" s="408"/>
      <c r="H109" s="408"/>
      <c r="I109" s="408"/>
      <c r="J109" s="408"/>
      <c r="K109" s="408"/>
      <c r="L109" s="408"/>
      <c r="M109" s="408"/>
      <c r="N109" s="408"/>
      <c r="O109" s="408"/>
      <c r="P109" s="408"/>
      <c r="Q109" s="408"/>
      <c r="R109" s="408"/>
      <c r="S109" s="408"/>
    </row>
    <row r="110" spans="1:19" x14ac:dyDescent="0.2">
      <c r="A110" s="408"/>
      <c r="B110" s="408"/>
      <c r="C110" s="408"/>
      <c r="D110" s="408"/>
      <c r="E110" s="408"/>
      <c r="F110" s="408"/>
      <c r="G110" s="408"/>
      <c r="H110" s="408"/>
      <c r="I110" s="408"/>
      <c r="J110" s="408"/>
      <c r="K110" s="408"/>
      <c r="L110" s="408"/>
      <c r="M110" s="408"/>
      <c r="N110" s="408"/>
      <c r="O110" s="408"/>
      <c r="P110" s="408"/>
      <c r="Q110" s="408"/>
      <c r="R110" s="408"/>
      <c r="S110" s="408"/>
    </row>
    <row r="111" spans="1:19" x14ac:dyDescent="0.2">
      <c r="A111" s="408"/>
      <c r="B111" s="408"/>
      <c r="C111" s="408"/>
      <c r="D111" s="408"/>
      <c r="E111" s="408"/>
      <c r="F111" s="408"/>
      <c r="G111" s="408"/>
      <c r="H111" s="408"/>
      <c r="I111" s="408"/>
      <c r="J111" s="408"/>
      <c r="K111" s="408"/>
      <c r="L111" s="408"/>
      <c r="M111" s="408"/>
      <c r="N111" s="408"/>
      <c r="O111" s="408"/>
      <c r="P111" s="408"/>
      <c r="Q111" s="408"/>
      <c r="R111" s="408"/>
      <c r="S111" s="408"/>
    </row>
    <row r="112" spans="1:19" x14ac:dyDescent="0.2">
      <c r="A112" s="408"/>
      <c r="B112" s="408"/>
      <c r="C112" s="408"/>
      <c r="D112" s="408"/>
      <c r="E112" s="408"/>
      <c r="F112" s="408"/>
      <c r="G112" s="408"/>
      <c r="H112" s="408"/>
      <c r="I112" s="408"/>
      <c r="J112" s="408"/>
      <c r="K112" s="408"/>
      <c r="L112" s="408"/>
      <c r="M112" s="408"/>
      <c r="N112" s="408"/>
      <c r="O112" s="408"/>
      <c r="P112" s="408"/>
      <c r="Q112" s="408"/>
      <c r="R112" s="408"/>
      <c r="S112" s="408"/>
    </row>
    <row r="113" spans="1:19" x14ac:dyDescent="0.2">
      <c r="A113" s="408"/>
      <c r="B113" s="408"/>
      <c r="C113" s="408"/>
      <c r="D113" s="408"/>
      <c r="E113" s="408"/>
      <c r="F113" s="408"/>
      <c r="G113" s="408"/>
      <c r="H113" s="408"/>
      <c r="I113" s="408"/>
      <c r="J113" s="408"/>
      <c r="K113" s="408"/>
      <c r="L113" s="408"/>
      <c r="M113" s="408"/>
      <c r="N113" s="408"/>
      <c r="O113" s="408"/>
      <c r="P113" s="408"/>
      <c r="Q113" s="408"/>
      <c r="R113" s="408"/>
      <c r="S113" s="408"/>
    </row>
    <row r="114" spans="1:19" x14ac:dyDescent="0.2">
      <c r="A114" s="408"/>
      <c r="B114" s="408"/>
      <c r="C114" s="408"/>
      <c r="D114" s="408"/>
      <c r="E114" s="408"/>
      <c r="F114" s="408"/>
      <c r="G114" s="408"/>
      <c r="H114" s="408"/>
      <c r="I114" s="408"/>
      <c r="J114" s="408"/>
      <c r="K114" s="408"/>
      <c r="L114" s="408"/>
      <c r="M114" s="408"/>
      <c r="N114" s="408"/>
      <c r="O114" s="408"/>
      <c r="P114" s="408"/>
      <c r="Q114" s="408"/>
      <c r="R114" s="408"/>
      <c r="S114" s="408"/>
    </row>
    <row r="115" spans="1:19" x14ac:dyDescent="0.2">
      <c r="A115" s="408"/>
      <c r="B115" s="408"/>
      <c r="C115" s="408"/>
      <c r="D115" s="408"/>
      <c r="E115" s="408"/>
      <c r="F115" s="408"/>
      <c r="G115" s="408"/>
      <c r="H115" s="408"/>
      <c r="I115" s="408"/>
      <c r="J115" s="408"/>
      <c r="K115" s="408"/>
      <c r="L115" s="408"/>
      <c r="M115" s="408"/>
      <c r="N115" s="408"/>
      <c r="O115" s="408"/>
      <c r="P115" s="408"/>
      <c r="Q115" s="408"/>
      <c r="R115" s="408"/>
      <c r="S115" s="408"/>
    </row>
    <row r="116" spans="1:19" x14ac:dyDescent="0.2">
      <c r="A116" s="408"/>
      <c r="B116" s="408"/>
      <c r="C116" s="408"/>
      <c r="D116" s="408"/>
      <c r="E116" s="408"/>
      <c r="F116" s="408"/>
      <c r="G116" s="408"/>
      <c r="H116" s="408"/>
      <c r="I116" s="408"/>
      <c r="J116" s="408"/>
      <c r="K116" s="408"/>
      <c r="L116" s="408"/>
      <c r="M116" s="408"/>
      <c r="N116" s="408"/>
      <c r="O116" s="408"/>
      <c r="P116" s="408"/>
      <c r="Q116" s="408"/>
      <c r="R116" s="408"/>
      <c r="S116" s="408"/>
    </row>
    <row r="117" spans="1:19" x14ac:dyDescent="0.2">
      <c r="A117" s="408"/>
      <c r="B117" s="408"/>
      <c r="C117" s="408"/>
      <c r="D117" s="408"/>
      <c r="E117" s="408"/>
      <c r="F117" s="408"/>
      <c r="G117" s="408"/>
      <c r="H117" s="408"/>
      <c r="I117" s="408"/>
      <c r="J117" s="408"/>
      <c r="K117" s="408"/>
      <c r="L117" s="408"/>
      <c r="M117" s="408"/>
      <c r="N117" s="408"/>
      <c r="O117" s="408"/>
      <c r="P117" s="408"/>
      <c r="Q117" s="408"/>
      <c r="R117" s="408"/>
      <c r="S117" s="408"/>
    </row>
    <row r="118" spans="1:19" x14ac:dyDescent="0.2">
      <c r="A118" s="408"/>
      <c r="B118" s="408"/>
      <c r="C118" s="408"/>
      <c r="D118" s="408"/>
      <c r="E118" s="408"/>
      <c r="F118" s="408"/>
      <c r="G118" s="408"/>
      <c r="H118" s="408"/>
      <c r="I118" s="408"/>
      <c r="J118" s="408"/>
      <c r="K118" s="408"/>
      <c r="L118" s="408"/>
      <c r="M118" s="408"/>
      <c r="N118" s="408"/>
      <c r="O118" s="408"/>
      <c r="P118" s="408"/>
      <c r="Q118" s="408"/>
      <c r="R118" s="408"/>
      <c r="S118" s="408"/>
    </row>
    <row r="119" spans="1:19" x14ac:dyDescent="0.2">
      <c r="A119" s="408"/>
      <c r="B119" s="408"/>
      <c r="C119" s="408"/>
      <c r="D119" s="408"/>
      <c r="E119" s="408"/>
      <c r="F119" s="408"/>
      <c r="G119" s="408"/>
      <c r="H119" s="408"/>
      <c r="I119" s="408"/>
      <c r="J119" s="408"/>
      <c r="K119" s="408"/>
      <c r="L119" s="408"/>
      <c r="M119" s="408"/>
      <c r="N119" s="408"/>
      <c r="O119" s="408"/>
      <c r="P119" s="408"/>
      <c r="Q119" s="408"/>
      <c r="R119" s="408"/>
      <c r="S119" s="408"/>
    </row>
    <row r="120" spans="1:19" x14ac:dyDescent="0.2">
      <c r="A120" s="408"/>
      <c r="B120" s="408"/>
      <c r="C120" s="408"/>
      <c r="D120" s="408"/>
      <c r="E120" s="408"/>
      <c r="F120" s="408"/>
      <c r="G120" s="408"/>
      <c r="H120" s="408"/>
      <c r="I120" s="408"/>
      <c r="J120" s="408"/>
      <c r="K120" s="408"/>
      <c r="L120" s="408"/>
      <c r="M120" s="408"/>
      <c r="N120" s="408"/>
      <c r="O120" s="408"/>
      <c r="P120" s="408"/>
      <c r="Q120" s="408"/>
      <c r="R120" s="408"/>
      <c r="S120" s="408"/>
    </row>
    <row r="121" spans="1:19" x14ac:dyDescent="0.2">
      <c r="A121" s="408"/>
      <c r="B121" s="408"/>
      <c r="C121" s="408"/>
      <c r="D121" s="408"/>
      <c r="E121" s="408"/>
      <c r="F121" s="408"/>
      <c r="G121" s="408"/>
      <c r="H121" s="408"/>
      <c r="I121" s="408"/>
      <c r="J121" s="408"/>
      <c r="K121" s="408"/>
      <c r="L121" s="408"/>
      <c r="M121" s="408"/>
      <c r="N121" s="408"/>
      <c r="O121" s="408"/>
      <c r="P121" s="408"/>
      <c r="Q121" s="408"/>
      <c r="R121" s="408"/>
      <c r="S121" s="408"/>
    </row>
    <row r="122" spans="1:19" x14ac:dyDescent="0.2">
      <c r="A122" s="408"/>
      <c r="B122" s="408"/>
      <c r="C122" s="408"/>
      <c r="D122" s="408"/>
      <c r="E122" s="408"/>
      <c r="F122" s="408"/>
      <c r="G122" s="408"/>
      <c r="H122" s="408"/>
      <c r="I122" s="408"/>
      <c r="J122" s="408"/>
      <c r="K122" s="408"/>
      <c r="L122" s="408"/>
      <c r="M122" s="408"/>
      <c r="N122" s="408"/>
      <c r="O122" s="408"/>
      <c r="P122" s="408"/>
      <c r="Q122" s="408"/>
      <c r="R122" s="408"/>
      <c r="S122" s="408"/>
    </row>
    <row r="123" spans="1:19" x14ac:dyDescent="0.2">
      <c r="A123" s="408"/>
      <c r="B123" s="408"/>
      <c r="C123" s="408"/>
      <c r="D123" s="408"/>
      <c r="E123" s="408"/>
      <c r="F123" s="408"/>
      <c r="G123" s="408"/>
      <c r="H123" s="408"/>
      <c r="I123" s="408"/>
      <c r="J123" s="408"/>
      <c r="K123" s="408"/>
      <c r="L123" s="408"/>
      <c r="M123" s="408"/>
      <c r="N123" s="408"/>
      <c r="O123" s="408"/>
      <c r="P123" s="408"/>
      <c r="Q123" s="408"/>
      <c r="R123" s="408"/>
      <c r="S123" s="408"/>
    </row>
    <row r="124" spans="1:19" x14ac:dyDescent="0.2">
      <c r="A124" s="408"/>
      <c r="B124" s="408"/>
      <c r="C124" s="408"/>
      <c r="D124" s="408"/>
      <c r="E124" s="408"/>
      <c r="F124" s="408"/>
      <c r="G124" s="408"/>
      <c r="H124" s="408"/>
      <c r="I124" s="408"/>
      <c r="J124" s="408"/>
      <c r="K124" s="408"/>
      <c r="L124" s="408"/>
      <c r="M124" s="408"/>
      <c r="N124" s="408"/>
      <c r="O124" s="408"/>
      <c r="P124" s="408"/>
      <c r="Q124" s="408"/>
      <c r="R124" s="408"/>
      <c r="S124" s="408"/>
    </row>
    <row r="125" spans="1:19" x14ac:dyDescent="0.2">
      <c r="A125" s="408"/>
      <c r="B125" s="408"/>
      <c r="C125" s="408"/>
      <c r="D125" s="408"/>
      <c r="E125" s="408"/>
      <c r="F125" s="408"/>
      <c r="G125" s="408"/>
      <c r="H125" s="408"/>
      <c r="I125" s="408"/>
      <c r="J125" s="408"/>
      <c r="K125" s="408"/>
      <c r="L125" s="408"/>
      <c r="M125" s="408"/>
      <c r="N125" s="408"/>
      <c r="O125" s="408"/>
      <c r="P125" s="408"/>
      <c r="Q125" s="408"/>
      <c r="R125" s="408"/>
      <c r="S125" s="408"/>
    </row>
    <row r="126" spans="1:19" x14ac:dyDescent="0.2">
      <c r="A126" s="408"/>
      <c r="B126" s="408"/>
      <c r="C126" s="408"/>
      <c r="D126" s="408"/>
      <c r="E126" s="408"/>
      <c r="F126" s="408"/>
      <c r="G126" s="408"/>
      <c r="H126" s="408"/>
      <c r="I126" s="408"/>
      <c r="J126" s="408"/>
      <c r="K126" s="408"/>
      <c r="L126" s="408"/>
      <c r="M126" s="408"/>
      <c r="N126" s="408"/>
      <c r="O126" s="408"/>
      <c r="P126" s="408"/>
      <c r="Q126" s="408"/>
      <c r="R126" s="408"/>
      <c r="S126" s="408"/>
    </row>
    <row r="127" spans="1:19" x14ac:dyDescent="0.2">
      <c r="A127" s="408"/>
      <c r="B127" s="408"/>
      <c r="C127" s="408"/>
      <c r="D127" s="408"/>
      <c r="E127" s="408"/>
      <c r="F127" s="408"/>
      <c r="G127" s="408"/>
      <c r="H127" s="408"/>
      <c r="I127" s="408"/>
      <c r="J127" s="408"/>
      <c r="K127" s="408"/>
      <c r="L127" s="408"/>
      <c r="M127" s="408"/>
      <c r="N127" s="408"/>
      <c r="O127" s="408"/>
      <c r="P127" s="408"/>
      <c r="Q127" s="408"/>
      <c r="R127" s="408"/>
      <c r="S127" s="408"/>
    </row>
    <row r="128" spans="1:19" x14ac:dyDescent="0.2">
      <c r="A128" s="408"/>
      <c r="B128" s="408"/>
      <c r="C128" s="408"/>
      <c r="D128" s="408"/>
      <c r="E128" s="408"/>
      <c r="F128" s="408"/>
      <c r="G128" s="408"/>
      <c r="H128" s="408"/>
      <c r="I128" s="408"/>
      <c r="J128" s="408"/>
      <c r="K128" s="408"/>
      <c r="L128" s="408"/>
      <c r="M128" s="408"/>
      <c r="N128" s="408"/>
      <c r="O128" s="408"/>
      <c r="P128" s="408"/>
      <c r="Q128" s="408"/>
      <c r="R128" s="408"/>
      <c r="S128" s="408"/>
    </row>
    <row r="129" spans="1:19" x14ac:dyDescent="0.2">
      <c r="A129" s="408"/>
      <c r="B129" s="408"/>
      <c r="C129" s="408"/>
      <c r="D129" s="408"/>
      <c r="E129" s="408"/>
      <c r="F129" s="408"/>
      <c r="G129" s="408"/>
      <c r="H129" s="408"/>
      <c r="I129" s="408"/>
      <c r="J129" s="408"/>
      <c r="K129" s="408"/>
      <c r="L129" s="408"/>
      <c r="M129" s="408"/>
      <c r="N129" s="408"/>
      <c r="O129" s="408"/>
      <c r="P129" s="408"/>
      <c r="Q129" s="408"/>
      <c r="R129" s="408"/>
      <c r="S129" s="408"/>
    </row>
    <row r="130" spans="1:19" x14ac:dyDescent="0.2">
      <c r="A130" s="408"/>
      <c r="B130" s="408"/>
      <c r="C130" s="408"/>
      <c r="D130" s="408"/>
      <c r="E130" s="408"/>
      <c r="F130" s="408"/>
      <c r="G130" s="408"/>
      <c r="H130" s="408"/>
      <c r="I130" s="408"/>
      <c r="J130" s="408"/>
      <c r="K130" s="408"/>
      <c r="L130" s="408"/>
      <c r="M130" s="408"/>
      <c r="N130" s="408"/>
      <c r="O130" s="408"/>
      <c r="P130" s="408"/>
      <c r="Q130" s="408"/>
      <c r="R130" s="408"/>
      <c r="S130" s="408"/>
    </row>
    <row r="131" spans="1:19" x14ac:dyDescent="0.2">
      <c r="A131" s="408"/>
      <c r="B131" s="408"/>
      <c r="C131" s="408"/>
      <c r="D131" s="408"/>
      <c r="E131" s="408"/>
      <c r="F131" s="408"/>
      <c r="G131" s="408"/>
      <c r="H131" s="408"/>
      <c r="I131" s="408"/>
      <c r="J131" s="408"/>
      <c r="K131" s="408"/>
      <c r="L131" s="408"/>
      <c r="M131" s="408"/>
      <c r="N131" s="408"/>
      <c r="O131" s="408"/>
      <c r="P131" s="408"/>
      <c r="Q131" s="408"/>
      <c r="R131" s="408"/>
      <c r="S131" s="408"/>
    </row>
    <row r="132" spans="1:19" x14ac:dyDescent="0.2">
      <c r="A132" s="408"/>
      <c r="B132" s="408"/>
      <c r="C132" s="408"/>
      <c r="D132" s="408"/>
      <c r="E132" s="408"/>
      <c r="F132" s="408"/>
      <c r="G132" s="408"/>
      <c r="H132" s="408"/>
      <c r="I132" s="408"/>
      <c r="J132" s="408"/>
      <c r="K132" s="408"/>
      <c r="L132" s="408"/>
      <c r="M132" s="408"/>
      <c r="N132" s="408"/>
      <c r="O132" s="408"/>
      <c r="P132" s="408"/>
      <c r="Q132" s="408"/>
      <c r="R132" s="408"/>
      <c r="S132" s="408"/>
    </row>
    <row r="133" spans="1:19" x14ac:dyDescent="0.2">
      <c r="A133" s="408"/>
      <c r="B133" s="408"/>
      <c r="C133" s="408"/>
      <c r="D133" s="408"/>
      <c r="E133" s="408"/>
      <c r="F133" s="408"/>
      <c r="G133" s="408"/>
      <c r="H133" s="408"/>
      <c r="I133" s="408"/>
      <c r="J133" s="408"/>
      <c r="K133" s="408"/>
      <c r="L133" s="408"/>
      <c r="M133" s="408"/>
      <c r="N133" s="408"/>
      <c r="O133" s="408"/>
      <c r="P133" s="408"/>
      <c r="Q133" s="408"/>
      <c r="R133" s="408"/>
      <c r="S133" s="408"/>
    </row>
    <row r="134" spans="1:19" x14ac:dyDescent="0.2">
      <c r="A134" s="408"/>
      <c r="B134" s="408"/>
      <c r="C134" s="408"/>
      <c r="D134" s="408"/>
      <c r="E134" s="408"/>
      <c r="F134" s="408"/>
      <c r="G134" s="408"/>
      <c r="H134" s="408"/>
      <c r="I134" s="408"/>
      <c r="J134" s="408"/>
      <c r="K134" s="408"/>
      <c r="L134" s="408"/>
      <c r="M134" s="408"/>
      <c r="N134" s="408"/>
      <c r="O134" s="408"/>
      <c r="P134" s="408"/>
      <c r="Q134" s="408"/>
      <c r="R134" s="408"/>
      <c r="S134" s="408"/>
    </row>
    <row r="135" spans="1:19" x14ac:dyDescent="0.2">
      <c r="A135" s="408"/>
      <c r="B135" s="408"/>
      <c r="C135" s="408"/>
      <c r="D135" s="408"/>
      <c r="E135" s="408"/>
      <c r="F135" s="408"/>
      <c r="G135" s="408"/>
      <c r="H135" s="408"/>
      <c r="I135" s="408"/>
      <c r="J135" s="408"/>
      <c r="K135" s="408"/>
      <c r="L135" s="408"/>
      <c r="M135" s="408"/>
      <c r="N135" s="408"/>
      <c r="O135" s="408"/>
      <c r="P135" s="408"/>
      <c r="Q135" s="408"/>
      <c r="R135" s="408"/>
      <c r="S135" s="408"/>
    </row>
    <row r="136" spans="1:19" x14ac:dyDescent="0.2">
      <c r="A136" s="408"/>
      <c r="B136" s="408"/>
      <c r="C136" s="408"/>
      <c r="D136" s="408"/>
      <c r="E136" s="408"/>
      <c r="F136" s="408"/>
      <c r="G136" s="408"/>
      <c r="H136" s="408"/>
      <c r="I136" s="408"/>
      <c r="J136" s="408"/>
      <c r="K136" s="408"/>
      <c r="L136" s="408"/>
      <c r="M136" s="408"/>
      <c r="N136" s="408"/>
      <c r="O136" s="408"/>
      <c r="P136" s="408"/>
      <c r="Q136" s="408"/>
      <c r="R136" s="408"/>
      <c r="S136" s="408"/>
    </row>
    <row r="137" spans="1:19" x14ac:dyDescent="0.2">
      <c r="A137" s="408"/>
      <c r="B137" s="408"/>
      <c r="C137" s="408"/>
      <c r="D137" s="408"/>
      <c r="E137" s="408"/>
      <c r="F137" s="408"/>
      <c r="G137" s="408"/>
      <c r="H137" s="408"/>
      <c r="I137" s="408"/>
      <c r="J137" s="408"/>
      <c r="K137" s="408"/>
      <c r="L137" s="408"/>
      <c r="M137" s="408"/>
      <c r="N137" s="408"/>
      <c r="O137" s="408"/>
      <c r="P137" s="408"/>
      <c r="Q137" s="408"/>
      <c r="R137" s="408"/>
      <c r="S137" s="408"/>
    </row>
    <row r="138" spans="1:19" x14ac:dyDescent="0.2">
      <c r="A138" s="408"/>
      <c r="B138" s="408"/>
      <c r="C138" s="408"/>
      <c r="D138" s="408"/>
      <c r="E138" s="408"/>
      <c r="F138" s="408"/>
      <c r="G138" s="408"/>
      <c r="H138" s="408"/>
      <c r="I138" s="408"/>
      <c r="J138" s="408"/>
      <c r="K138" s="408"/>
      <c r="L138" s="408"/>
      <c r="M138" s="408"/>
      <c r="N138" s="408"/>
      <c r="O138" s="408"/>
      <c r="P138" s="408"/>
      <c r="Q138" s="408"/>
      <c r="R138" s="408"/>
      <c r="S138" s="408"/>
    </row>
    <row r="139" spans="1:19" x14ac:dyDescent="0.2">
      <c r="A139" s="408"/>
      <c r="B139" s="408"/>
      <c r="C139" s="408"/>
      <c r="D139" s="408"/>
      <c r="E139" s="408"/>
      <c r="F139" s="408"/>
      <c r="G139" s="408"/>
      <c r="H139" s="408"/>
      <c r="I139" s="408"/>
      <c r="J139" s="408"/>
      <c r="K139" s="408"/>
      <c r="L139" s="408"/>
      <c r="M139" s="408"/>
      <c r="N139" s="408"/>
      <c r="O139" s="408"/>
      <c r="P139" s="408"/>
      <c r="Q139" s="408"/>
      <c r="R139" s="408"/>
      <c r="S139" s="408"/>
    </row>
    <row r="140" spans="1:19" x14ac:dyDescent="0.2">
      <c r="A140" s="408"/>
      <c r="B140" s="408"/>
      <c r="C140" s="408"/>
      <c r="D140" s="408"/>
      <c r="E140" s="408"/>
      <c r="F140" s="408"/>
      <c r="G140" s="408"/>
      <c r="H140" s="408"/>
      <c r="I140" s="408"/>
      <c r="J140" s="408"/>
      <c r="K140" s="408"/>
      <c r="L140" s="408"/>
      <c r="M140" s="408"/>
      <c r="N140" s="408"/>
      <c r="O140" s="408"/>
      <c r="P140" s="408"/>
      <c r="Q140" s="408"/>
      <c r="R140" s="408"/>
      <c r="S140" s="408"/>
    </row>
    <row r="141" spans="1:19" x14ac:dyDescent="0.2">
      <c r="A141" s="408"/>
      <c r="B141" s="408"/>
      <c r="C141" s="408"/>
      <c r="D141" s="408"/>
      <c r="E141" s="408"/>
      <c r="F141" s="408"/>
      <c r="G141" s="408"/>
      <c r="H141" s="408"/>
      <c r="I141" s="408"/>
      <c r="J141" s="408"/>
      <c r="K141" s="408"/>
      <c r="L141" s="408"/>
      <c r="M141" s="408"/>
      <c r="N141" s="408"/>
      <c r="O141" s="408"/>
      <c r="P141" s="408"/>
      <c r="Q141" s="408"/>
      <c r="R141" s="408"/>
      <c r="S141" s="408"/>
    </row>
    <row r="142" spans="1:19" x14ac:dyDescent="0.2">
      <c r="A142" s="408"/>
      <c r="B142" s="408"/>
      <c r="C142" s="408"/>
      <c r="D142" s="408"/>
      <c r="E142" s="408"/>
      <c r="F142" s="408"/>
      <c r="G142" s="408"/>
      <c r="H142" s="408"/>
      <c r="I142" s="408"/>
      <c r="J142" s="408"/>
      <c r="K142" s="408"/>
      <c r="L142" s="408"/>
      <c r="M142" s="408"/>
      <c r="N142" s="408"/>
      <c r="O142" s="408"/>
      <c r="P142" s="408"/>
      <c r="Q142" s="408"/>
      <c r="R142" s="408"/>
      <c r="S142" s="408"/>
    </row>
    <row r="143" spans="1:19" x14ac:dyDescent="0.2">
      <c r="A143" s="408"/>
      <c r="B143" s="408"/>
      <c r="C143" s="408"/>
      <c r="D143" s="408"/>
      <c r="E143" s="408"/>
      <c r="F143" s="408"/>
      <c r="G143" s="408"/>
      <c r="H143" s="408"/>
      <c r="I143" s="408"/>
      <c r="J143" s="408"/>
      <c r="K143" s="408"/>
      <c r="L143" s="408"/>
      <c r="M143" s="408"/>
      <c r="N143" s="408"/>
      <c r="O143" s="408"/>
      <c r="P143" s="408"/>
      <c r="Q143" s="408"/>
      <c r="R143" s="408"/>
      <c r="S143" s="408"/>
    </row>
    <row r="144" spans="1:19" x14ac:dyDescent="0.2">
      <c r="A144" s="408"/>
      <c r="B144" s="408"/>
      <c r="C144" s="408"/>
      <c r="D144" s="408"/>
      <c r="E144" s="408"/>
      <c r="F144" s="408"/>
      <c r="G144" s="408"/>
      <c r="H144" s="408"/>
      <c r="I144" s="408"/>
      <c r="J144" s="408"/>
      <c r="K144" s="408"/>
      <c r="L144" s="408"/>
      <c r="M144" s="408"/>
      <c r="N144" s="408"/>
      <c r="O144" s="408"/>
      <c r="P144" s="408"/>
      <c r="Q144" s="408"/>
      <c r="R144" s="408"/>
      <c r="S144" s="408"/>
    </row>
    <row r="145" spans="1:19" x14ac:dyDescent="0.2">
      <c r="A145" s="408"/>
      <c r="B145" s="408"/>
      <c r="C145" s="408"/>
      <c r="D145" s="408"/>
      <c r="E145" s="408"/>
      <c r="F145" s="408"/>
      <c r="G145" s="408"/>
      <c r="H145" s="408"/>
      <c r="I145" s="408"/>
      <c r="J145" s="408"/>
      <c r="K145" s="408"/>
      <c r="L145" s="408"/>
      <c r="M145" s="408"/>
      <c r="N145" s="408"/>
      <c r="O145" s="408"/>
      <c r="P145" s="408"/>
      <c r="Q145" s="408"/>
      <c r="R145" s="408"/>
      <c r="S145" s="408"/>
    </row>
    <row r="146" spans="1:19" x14ac:dyDescent="0.2">
      <c r="A146" s="408"/>
      <c r="B146" s="408"/>
      <c r="C146" s="408"/>
      <c r="D146" s="408"/>
      <c r="E146" s="408"/>
      <c r="F146" s="408"/>
      <c r="G146" s="408"/>
      <c r="H146" s="408"/>
      <c r="I146" s="408"/>
      <c r="J146" s="408"/>
      <c r="K146" s="408"/>
      <c r="L146" s="408"/>
      <c r="M146" s="408"/>
      <c r="N146" s="408"/>
      <c r="O146" s="408"/>
      <c r="P146" s="408"/>
      <c r="Q146" s="408"/>
      <c r="R146" s="408"/>
      <c r="S146" s="408"/>
    </row>
    <row r="147" spans="1:19" x14ac:dyDescent="0.2">
      <c r="A147" s="408"/>
      <c r="B147" s="408"/>
      <c r="C147" s="408"/>
      <c r="D147" s="408"/>
      <c r="E147" s="408"/>
      <c r="F147" s="408"/>
      <c r="G147" s="408"/>
      <c r="H147" s="408"/>
      <c r="I147" s="408"/>
      <c r="J147" s="408"/>
      <c r="K147" s="408"/>
      <c r="L147" s="408"/>
      <c r="M147" s="408"/>
      <c r="N147" s="408"/>
      <c r="O147" s="408"/>
      <c r="P147" s="408"/>
      <c r="Q147" s="408"/>
      <c r="R147" s="408"/>
      <c r="S147" s="408"/>
    </row>
    <row r="148" spans="1:19" x14ac:dyDescent="0.2">
      <c r="A148" s="408"/>
      <c r="B148" s="408"/>
      <c r="C148" s="408"/>
      <c r="D148" s="408"/>
      <c r="E148" s="408"/>
      <c r="F148" s="408"/>
      <c r="G148" s="408"/>
      <c r="H148" s="408"/>
      <c r="I148" s="408"/>
      <c r="J148" s="408"/>
      <c r="K148" s="408"/>
      <c r="L148" s="408"/>
      <c r="M148" s="408"/>
      <c r="N148" s="408"/>
      <c r="O148" s="408"/>
      <c r="P148" s="408"/>
      <c r="Q148" s="408"/>
      <c r="R148" s="408"/>
      <c r="S148" s="408"/>
    </row>
    <row r="149" spans="1:19" x14ac:dyDescent="0.2">
      <c r="A149" s="408"/>
      <c r="B149" s="408"/>
      <c r="C149" s="408"/>
      <c r="D149" s="408"/>
      <c r="E149" s="408"/>
      <c r="F149" s="408"/>
      <c r="G149" s="408"/>
      <c r="H149" s="408"/>
      <c r="I149" s="408"/>
      <c r="J149" s="408"/>
      <c r="K149" s="408"/>
      <c r="L149" s="408"/>
      <c r="M149" s="408"/>
      <c r="N149" s="408"/>
      <c r="O149" s="408"/>
      <c r="P149" s="408"/>
      <c r="Q149" s="408"/>
      <c r="R149" s="408"/>
      <c r="S149" s="408"/>
    </row>
    <row r="150" spans="1:19" x14ac:dyDescent="0.2">
      <c r="A150" s="408"/>
      <c r="B150" s="408"/>
      <c r="C150" s="408"/>
      <c r="D150" s="408"/>
      <c r="E150" s="408"/>
      <c r="F150" s="408"/>
      <c r="G150" s="408"/>
      <c r="H150" s="408"/>
      <c r="I150" s="408"/>
      <c r="J150" s="408"/>
      <c r="K150" s="408"/>
      <c r="L150" s="408"/>
      <c r="M150" s="408"/>
      <c r="N150" s="408"/>
      <c r="O150" s="408"/>
      <c r="P150" s="408"/>
      <c r="Q150" s="408"/>
      <c r="R150" s="408"/>
      <c r="S150" s="408"/>
    </row>
    <row r="151" spans="1:19" x14ac:dyDescent="0.2">
      <c r="A151" s="408"/>
      <c r="B151" s="408"/>
      <c r="C151" s="408"/>
      <c r="D151" s="408"/>
      <c r="E151" s="408"/>
      <c r="F151" s="408"/>
      <c r="G151" s="408"/>
      <c r="H151" s="408"/>
      <c r="I151" s="408"/>
      <c r="J151" s="408"/>
      <c r="K151" s="408"/>
      <c r="L151" s="408"/>
      <c r="M151" s="408"/>
      <c r="N151" s="408"/>
      <c r="O151" s="408"/>
      <c r="P151" s="408"/>
      <c r="Q151" s="408"/>
      <c r="R151" s="408"/>
      <c r="S151" s="408"/>
    </row>
    <row r="152" spans="1:19" x14ac:dyDescent="0.2">
      <c r="A152" s="408"/>
      <c r="B152" s="408"/>
      <c r="C152" s="408"/>
      <c r="D152" s="408"/>
      <c r="E152" s="408"/>
      <c r="F152" s="408"/>
      <c r="G152" s="408"/>
      <c r="H152" s="408"/>
      <c r="I152" s="408"/>
      <c r="J152" s="408"/>
      <c r="K152" s="408"/>
      <c r="L152" s="408"/>
      <c r="M152" s="408"/>
      <c r="N152" s="408"/>
      <c r="O152" s="408"/>
      <c r="P152" s="408"/>
      <c r="Q152" s="408"/>
      <c r="R152" s="408"/>
      <c r="S152" s="408"/>
    </row>
    <row r="153" spans="1:19" x14ac:dyDescent="0.2">
      <c r="A153" s="408"/>
      <c r="B153" s="408"/>
      <c r="C153" s="408"/>
      <c r="D153" s="408"/>
      <c r="E153" s="408"/>
      <c r="F153" s="408"/>
      <c r="G153" s="408"/>
      <c r="H153" s="408"/>
      <c r="I153" s="408"/>
      <c r="J153" s="408"/>
      <c r="K153" s="408"/>
      <c r="L153" s="408"/>
      <c r="M153" s="408"/>
      <c r="N153" s="408"/>
      <c r="O153" s="408"/>
      <c r="P153" s="408"/>
      <c r="Q153" s="408"/>
      <c r="R153" s="408"/>
      <c r="S153" s="408"/>
    </row>
    <row r="154" spans="1:19" x14ac:dyDescent="0.2">
      <c r="A154" s="408"/>
      <c r="B154" s="408"/>
      <c r="C154" s="408"/>
      <c r="D154" s="408"/>
      <c r="E154" s="408"/>
      <c r="F154" s="408"/>
      <c r="G154" s="408"/>
      <c r="H154" s="408"/>
      <c r="I154" s="408"/>
      <c r="J154" s="408"/>
      <c r="K154" s="408"/>
      <c r="L154" s="408"/>
      <c r="M154" s="408"/>
      <c r="N154" s="408"/>
      <c r="O154" s="408"/>
      <c r="P154" s="408"/>
      <c r="Q154" s="408"/>
      <c r="R154" s="408"/>
      <c r="S154" s="408"/>
    </row>
    <row r="155" spans="1:19" x14ac:dyDescent="0.2">
      <c r="A155" s="408"/>
      <c r="B155" s="408"/>
      <c r="C155" s="408"/>
      <c r="D155" s="408"/>
      <c r="E155" s="408"/>
      <c r="F155" s="408"/>
      <c r="G155" s="408"/>
      <c r="H155" s="408"/>
      <c r="I155" s="408"/>
      <c r="J155" s="408"/>
      <c r="K155" s="408"/>
      <c r="L155" s="408"/>
      <c r="M155" s="408"/>
      <c r="N155" s="408"/>
      <c r="O155" s="408"/>
      <c r="P155" s="408"/>
      <c r="Q155" s="408"/>
      <c r="R155" s="408"/>
      <c r="S155" s="408"/>
    </row>
    <row r="156" spans="1:19" x14ac:dyDescent="0.2">
      <c r="A156" s="408"/>
      <c r="B156" s="408"/>
      <c r="C156" s="408"/>
      <c r="D156" s="408"/>
      <c r="E156" s="408"/>
      <c r="F156" s="408"/>
      <c r="G156" s="408"/>
      <c r="H156" s="408"/>
      <c r="I156" s="408"/>
      <c r="J156" s="408"/>
      <c r="K156" s="408"/>
      <c r="L156" s="408"/>
      <c r="M156" s="408"/>
      <c r="N156" s="408"/>
      <c r="O156" s="408"/>
      <c r="P156" s="408"/>
      <c r="Q156" s="408"/>
      <c r="R156" s="408"/>
      <c r="S156" s="408"/>
    </row>
    <row r="157" spans="1:19" x14ac:dyDescent="0.2">
      <c r="A157" s="408"/>
      <c r="B157" s="408"/>
      <c r="C157" s="408"/>
      <c r="D157" s="408"/>
      <c r="E157" s="408"/>
      <c r="F157" s="408"/>
      <c r="G157" s="408"/>
      <c r="H157" s="408"/>
      <c r="I157" s="408"/>
      <c r="J157" s="408"/>
      <c r="K157" s="408"/>
      <c r="L157" s="408"/>
      <c r="M157" s="408"/>
      <c r="N157" s="408"/>
      <c r="O157" s="408"/>
      <c r="P157" s="408"/>
      <c r="Q157" s="408"/>
      <c r="R157" s="408"/>
      <c r="S157" s="408"/>
    </row>
    <row r="158" spans="1:19" x14ac:dyDescent="0.2">
      <c r="A158" s="408"/>
      <c r="B158" s="408"/>
      <c r="C158" s="408"/>
      <c r="D158" s="408"/>
      <c r="E158" s="408"/>
      <c r="F158" s="408"/>
      <c r="G158" s="408"/>
      <c r="H158" s="408"/>
      <c r="I158" s="408"/>
      <c r="J158" s="408"/>
      <c r="K158" s="408"/>
      <c r="L158" s="408"/>
      <c r="M158" s="408"/>
      <c r="N158" s="408"/>
      <c r="O158" s="408"/>
      <c r="P158" s="408"/>
      <c r="Q158" s="408"/>
      <c r="R158" s="408"/>
      <c r="S158" s="408"/>
    </row>
    <row r="159" spans="1:19" x14ac:dyDescent="0.2">
      <c r="A159" s="408"/>
      <c r="B159" s="408"/>
      <c r="C159" s="408"/>
      <c r="D159" s="408"/>
      <c r="E159" s="408"/>
      <c r="F159" s="408"/>
      <c r="G159" s="408"/>
      <c r="H159" s="408"/>
      <c r="I159" s="408"/>
      <c r="J159" s="408"/>
      <c r="K159" s="408"/>
      <c r="L159" s="408"/>
      <c r="M159" s="408"/>
      <c r="N159" s="408"/>
      <c r="O159" s="408"/>
      <c r="P159" s="408"/>
      <c r="Q159" s="408"/>
      <c r="R159" s="408"/>
      <c r="S159" s="408"/>
    </row>
    <row r="160" spans="1:19" x14ac:dyDescent="0.2">
      <c r="A160" s="408"/>
      <c r="B160" s="408"/>
      <c r="C160" s="408"/>
      <c r="D160" s="408"/>
      <c r="E160" s="408"/>
      <c r="F160" s="408"/>
      <c r="G160" s="408"/>
      <c r="H160" s="408"/>
      <c r="I160" s="408"/>
      <c r="J160" s="408"/>
      <c r="K160" s="408"/>
      <c r="L160" s="408"/>
      <c r="M160" s="408"/>
      <c r="N160" s="408"/>
      <c r="O160" s="408"/>
      <c r="P160" s="408"/>
      <c r="Q160" s="408"/>
      <c r="R160" s="408"/>
      <c r="S160" s="408"/>
    </row>
    <row r="161" spans="1:19" x14ac:dyDescent="0.2">
      <c r="A161" s="408"/>
      <c r="B161" s="408"/>
      <c r="C161" s="408"/>
      <c r="D161" s="408"/>
      <c r="E161" s="408"/>
      <c r="F161" s="408"/>
      <c r="G161" s="408"/>
      <c r="H161" s="408"/>
      <c r="I161" s="408"/>
      <c r="J161" s="408"/>
      <c r="K161" s="408"/>
      <c r="L161" s="408"/>
      <c r="M161" s="408"/>
      <c r="N161" s="408"/>
      <c r="O161" s="408"/>
      <c r="P161" s="408"/>
      <c r="Q161" s="408"/>
      <c r="R161" s="408"/>
      <c r="S161" s="408"/>
    </row>
    <row r="162" spans="1:19" x14ac:dyDescent="0.2">
      <c r="A162" s="408"/>
      <c r="B162" s="408"/>
      <c r="C162" s="408"/>
      <c r="D162" s="408"/>
      <c r="E162" s="408"/>
      <c r="F162" s="408"/>
      <c r="G162" s="408"/>
      <c r="H162" s="408"/>
      <c r="I162" s="408"/>
      <c r="J162" s="408"/>
      <c r="K162" s="408"/>
      <c r="L162" s="408"/>
      <c r="M162" s="408"/>
      <c r="N162" s="408"/>
      <c r="O162" s="408"/>
      <c r="P162" s="408"/>
      <c r="Q162" s="408"/>
      <c r="R162" s="408"/>
      <c r="S162" s="408"/>
    </row>
    <row r="163" spans="1:19" x14ac:dyDescent="0.2">
      <c r="A163" s="408"/>
      <c r="B163" s="408"/>
      <c r="C163" s="408"/>
      <c r="D163" s="408"/>
      <c r="E163" s="408"/>
      <c r="F163" s="408"/>
      <c r="G163" s="408"/>
      <c r="H163" s="408"/>
      <c r="I163" s="408"/>
      <c r="J163" s="408"/>
      <c r="K163" s="408"/>
      <c r="L163" s="408"/>
      <c r="M163" s="408"/>
      <c r="N163" s="408"/>
      <c r="O163" s="408"/>
      <c r="P163" s="408"/>
      <c r="Q163" s="408"/>
      <c r="R163" s="408"/>
      <c r="S163" s="408"/>
    </row>
    <row r="164" spans="1:19" x14ac:dyDescent="0.2">
      <c r="A164" s="408"/>
      <c r="B164" s="408"/>
      <c r="C164" s="408"/>
      <c r="D164" s="408"/>
      <c r="E164" s="408"/>
      <c r="F164" s="408"/>
      <c r="G164" s="408"/>
      <c r="H164" s="408"/>
      <c r="I164" s="408"/>
      <c r="J164" s="408"/>
      <c r="K164" s="408"/>
      <c r="L164" s="408"/>
      <c r="M164" s="408"/>
      <c r="N164" s="408"/>
      <c r="O164" s="408"/>
      <c r="P164" s="408"/>
      <c r="Q164" s="408"/>
      <c r="R164" s="408"/>
      <c r="S164" s="408"/>
    </row>
    <row r="165" spans="1:19" x14ac:dyDescent="0.2">
      <c r="A165" s="408"/>
      <c r="B165" s="408"/>
      <c r="C165" s="408"/>
      <c r="D165" s="408"/>
      <c r="E165" s="408"/>
      <c r="F165" s="408"/>
      <c r="G165" s="408"/>
      <c r="H165" s="408"/>
      <c r="I165" s="408"/>
      <c r="J165" s="408"/>
      <c r="K165" s="408"/>
      <c r="L165" s="408"/>
      <c r="M165" s="408"/>
      <c r="N165" s="408"/>
      <c r="O165" s="408"/>
      <c r="P165" s="408"/>
      <c r="Q165" s="408"/>
      <c r="R165" s="408"/>
      <c r="S165" s="408"/>
    </row>
    <row r="166" spans="1:19" x14ac:dyDescent="0.2">
      <c r="A166" s="408"/>
      <c r="B166" s="408"/>
      <c r="C166" s="408"/>
      <c r="D166" s="408"/>
      <c r="E166" s="408"/>
      <c r="F166" s="408"/>
      <c r="G166" s="408"/>
      <c r="H166" s="408"/>
      <c r="I166" s="408"/>
      <c r="J166" s="408"/>
      <c r="K166" s="408"/>
      <c r="L166" s="408"/>
      <c r="M166" s="408"/>
      <c r="N166" s="408"/>
      <c r="O166" s="408"/>
      <c r="P166" s="408"/>
      <c r="Q166" s="408"/>
      <c r="R166" s="408"/>
      <c r="S166" s="408"/>
    </row>
    <row r="167" spans="1:19" x14ac:dyDescent="0.2">
      <c r="A167" s="408"/>
      <c r="B167" s="408"/>
      <c r="C167" s="408"/>
      <c r="D167" s="408"/>
      <c r="E167" s="408"/>
      <c r="F167" s="408"/>
      <c r="G167" s="408"/>
      <c r="H167" s="408"/>
      <c r="I167" s="408"/>
      <c r="J167" s="408"/>
      <c r="K167" s="408"/>
      <c r="L167" s="408"/>
      <c r="M167" s="408"/>
      <c r="N167" s="408"/>
      <c r="O167" s="408"/>
      <c r="P167" s="408"/>
      <c r="Q167" s="408"/>
      <c r="R167" s="408"/>
      <c r="S167" s="408"/>
    </row>
    <row r="168" spans="1:19" x14ac:dyDescent="0.2">
      <c r="A168" s="408"/>
      <c r="B168" s="408"/>
      <c r="C168" s="408"/>
      <c r="D168" s="408"/>
      <c r="E168" s="408"/>
      <c r="F168" s="408"/>
      <c r="G168" s="408"/>
      <c r="H168" s="408"/>
      <c r="I168" s="408"/>
      <c r="J168" s="408"/>
      <c r="K168" s="408"/>
      <c r="L168" s="408"/>
      <c r="M168" s="408"/>
      <c r="N168" s="408"/>
      <c r="O168" s="408"/>
      <c r="P168" s="408"/>
      <c r="Q168" s="408"/>
      <c r="R168" s="408"/>
      <c r="S168" s="408"/>
    </row>
    <row r="169" spans="1:19" x14ac:dyDescent="0.2">
      <c r="A169" s="408"/>
      <c r="B169" s="408"/>
      <c r="C169" s="408"/>
      <c r="D169" s="408"/>
      <c r="E169" s="408"/>
      <c r="F169" s="408"/>
      <c r="G169" s="408"/>
      <c r="H169" s="408"/>
      <c r="I169" s="408"/>
      <c r="J169" s="408"/>
      <c r="K169" s="408"/>
      <c r="L169" s="408"/>
      <c r="M169" s="408"/>
      <c r="N169" s="408"/>
      <c r="O169" s="408"/>
      <c r="P169" s="408"/>
      <c r="Q169" s="408"/>
      <c r="R169" s="408"/>
      <c r="S169" s="408"/>
    </row>
    <row r="170" spans="1:19" x14ac:dyDescent="0.2">
      <c r="A170" s="408"/>
      <c r="B170" s="408"/>
      <c r="C170" s="408"/>
      <c r="D170" s="408"/>
      <c r="E170" s="408"/>
      <c r="F170" s="408"/>
      <c r="G170" s="408"/>
      <c r="H170" s="408"/>
      <c r="I170" s="408"/>
      <c r="J170" s="408"/>
      <c r="K170" s="408"/>
      <c r="L170" s="408"/>
      <c r="M170" s="408"/>
      <c r="N170" s="408"/>
      <c r="O170" s="408"/>
      <c r="P170" s="408"/>
      <c r="Q170" s="408"/>
      <c r="R170" s="408"/>
      <c r="S170" s="408"/>
    </row>
    <row r="171" spans="1:19" x14ac:dyDescent="0.2">
      <c r="A171" s="408"/>
      <c r="B171" s="408"/>
      <c r="C171" s="408"/>
      <c r="D171" s="408"/>
      <c r="E171" s="408"/>
      <c r="F171" s="408"/>
      <c r="G171" s="408"/>
      <c r="H171" s="408"/>
      <c r="I171" s="408"/>
      <c r="J171" s="408"/>
      <c r="K171" s="408"/>
      <c r="L171" s="408"/>
      <c r="M171" s="408"/>
      <c r="N171" s="408"/>
      <c r="O171" s="408"/>
      <c r="P171" s="408"/>
      <c r="Q171" s="408"/>
      <c r="R171" s="408"/>
      <c r="S171" s="408"/>
    </row>
    <row r="172" spans="1:19" x14ac:dyDescent="0.2">
      <c r="A172" s="408"/>
      <c r="B172" s="408"/>
      <c r="C172" s="408"/>
      <c r="D172" s="408"/>
      <c r="E172" s="408"/>
      <c r="F172" s="408"/>
      <c r="G172" s="408"/>
      <c r="H172" s="408"/>
      <c r="I172" s="408"/>
      <c r="J172" s="408"/>
      <c r="K172" s="408"/>
      <c r="L172" s="408"/>
      <c r="M172" s="408"/>
      <c r="N172" s="408"/>
      <c r="O172" s="408"/>
      <c r="P172" s="408"/>
      <c r="Q172" s="408"/>
      <c r="R172" s="408"/>
      <c r="S172" s="408"/>
    </row>
    <row r="173" spans="1:19" x14ac:dyDescent="0.2">
      <c r="A173" s="408"/>
      <c r="B173" s="408"/>
      <c r="C173" s="408"/>
      <c r="D173" s="408"/>
      <c r="E173" s="408"/>
      <c r="F173" s="408"/>
      <c r="G173" s="408"/>
      <c r="H173" s="408"/>
      <c r="I173" s="408"/>
      <c r="J173" s="408"/>
      <c r="K173" s="408"/>
      <c r="L173" s="408"/>
      <c r="M173" s="408"/>
      <c r="N173" s="408"/>
      <c r="O173" s="408"/>
      <c r="P173" s="408"/>
      <c r="Q173" s="408"/>
      <c r="R173" s="408"/>
      <c r="S173" s="408"/>
    </row>
    <row r="174" spans="1:19" x14ac:dyDescent="0.2">
      <c r="A174" s="408"/>
      <c r="B174" s="408"/>
      <c r="C174" s="408"/>
      <c r="D174" s="408"/>
      <c r="E174" s="408"/>
      <c r="F174" s="408"/>
      <c r="G174" s="408"/>
      <c r="H174" s="408"/>
      <c r="I174" s="408"/>
      <c r="J174" s="408"/>
      <c r="K174" s="408"/>
      <c r="L174" s="408"/>
      <c r="M174" s="408"/>
      <c r="N174" s="408"/>
      <c r="O174" s="408"/>
      <c r="P174" s="408"/>
      <c r="Q174" s="408"/>
      <c r="R174" s="408"/>
      <c r="S174" s="408"/>
    </row>
    <row r="175" spans="1:19" x14ac:dyDescent="0.2">
      <c r="A175" s="408"/>
      <c r="B175" s="408"/>
      <c r="C175" s="408"/>
      <c r="D175" s="408"/>
      <c r="E175" s="408"/>
      <c r="F175" s="408"/>
      <c r="G175" s="408"/>
      <c r="H175" s="408"/>
      <c r="I175" s="408"/>
      <c r="J175" s="408"/>
      <c r="K175" s="408"/>
      <c r="L175" s="408"/>
      <c r="M175" s="408"/>
      <c r="N175" s="408"/>
      <c r="O175" s="408"/>
      <c r="P175" s="408"/>
      <c r="Q175" s="408"/>
      <c r="R175" s="408"/>
      <c r="S175" s="408"/>
    </row>
    <row r="176" spans="1:19" x14ac:dyDescent="0.2">
      <c r="A176" s="408"/>
      <c r="B176" s="408"/>
      <c r="C176" s="408"/>
      <c r="D176" s="408"/>
      <c r="E176" s="408"/>
      <c r="F176" s="408"/>
      <c r="G176" s="408"/>
      <c r="H176" s="408"/>
      <c r="I176" s="408"/>
      <c r="J176" s="408"/>
      <c r="K176" s="408"/>
      <c r="L176" s="408"/>
      <c r="M176" s="408"/>
      <c r="N176" s="408"/>
      <c r="O176" s="408"/>
      <c r="P176" s="408"/>
      <c r="Q176" s="408"/>
      <c r="R176" s="408"/>
      <c r="S176" s="408"/>
    </row>
    <row r="177" spans="1:19" x14ac:dyDescent="0.2">
      <c r="A177" s="408"/>
      <c r="B177" s="408"/>
      <c r="C177" s="408"/>
      <c r="D177" s="408"/>
      <c r="E177" s="408"/>
      <c r="F177" s="408"/>
      <c r="G177" s="408"/>
      <c r="H177" s="408"/>
      <c r="I177" s="408"/>
      <c r="J177" s="408"/>
      <c r="K177" s="408"/>
      <c r="L177" s="408"/>
      <c r="M177" s="408"/>
      <c r="N177" s="408"/>
      <c r="O177" s="408"/>
      <c r="P177" s="408"/>
      <c r="Q177" s="408"/>
      <c r="R177" s="408"/>
      <c r="S177" s="408"/>
    </row>
    <row r="178" spans="1:19" x14ac:dyDescent="0.2">
      <c r="A178" s="408"/>
      <c r="B178" s="408"/>
      <c r="C178" s="408"/>
      <c r="D178" s="408"/>
      <c r="E178" s="408"/>
      <c r="F178" s="408"/>
      <c r="G178" s="408"/>
      <c r="H178" s="408"/>
      <c r="I178" s="408"/>
      <c r="J178" s="408"/>
      <c r="K178" s="408"/>
      <c r="L178" s="408"/>
      <c r="M178" s="408"/>
      <c r="N178" s="408"/>
      <c r="O178" s="408"/>
      <c r="P178" s="408"/>
      <c r="Q178" s="408"/>
      <c r="R178" s="408"/>
      <c r="S178" s="408"/>
    </row>
    <row r="179" spans="1:19" x14ac:dyDescent="0.2">
      <c r="A179" s="408"/>
      <c r="B179" s="408"/>
      <c r="C179" s="408"/>
      <c r="D179" s="408"/>
      <c r="E179" s="408"/>
      <c r="F179" s="408"/>
      <c r="G179" s="408"/>
      <c r="H179" s="408"/>
      <c r="I179" s="408"/>
      <c r="J179" s="408"/>
      <c r="K179" s="408"/>
      <c r="L179" s="408"/>
      <c r="M179" s="408"/>
      <c r="N179" s="408"/>
      <c r="O179" s="408"/>
      <c r="P179" s="408"/>
      <c r="Q179" s="408"/>
      <c r="R179" s="408"/>
      <c r="S179" s="408"/>
    </row>
    <row r="180" spans="1:19" x14ac:dyDescent="0.2">
      <c r="A180" s="408"/>
      <c r="B180" s="408"/>
      <c r="C180" s="408"/>
      <c r="D180" s="408"/>
      <c r="E180" s="408"/>
      <c r="F180" s="408"/>
      <c r="G180" s="408"/>
      <c r="H180" s="408"/>
      <c r="I180" s="408"/>
      <c r="J180" s="408"/>
      <c r="K180" s="408"/>
      <c r="L180" s="408"/>
      <c r="M180" s="408"/>
      <c r="N180" s="408"/>
      <c r="O180" s="408"/>
      <c r="P180" s="408"/>
      <c r="Q180" s="408"/>
      <c r="R180" s="408"/>
      <c r="S180" s="408"/>
    </row>
    <row r="181" spans="1:19" x14ac:dyDescent="0.2">
      <c r="A181" s="408"/>
      <c r="B181" s="408"/>
      <c r="C181" s="408"/>
      <c r="D181" s="408"/>
      <c r="E181" s="408"/>
      <c r="F181" s="408"/>
      <c r="G181" s="408"/>
      <c r="H181" s="408"/>
      <c r="I181" s="408"/>
      <c r="J181" s="408"/>
      <c r="K181" s="408"/>
      <c r="L181" s="408"/>
      <c r="M181" s="408"/>
      <c r="N181" s="408"/>
      <c r="O181" s="408"/>
      <c r="P181" s="408"/>
      <c r="Q181" s="408"/>
      <c r="R181" s="408"/>
      <c r="S181" s="408"/>
    </row>
    <row r="182" spans="1:19" x14ac:dyDescent="0.2">
      <c r="A182" s="408"/>
      <c r="B182" s="408"/>
      <c r="C182" s="408"/>
      <c r="D182" s="408"/>
      <c r="E182" s="408"/>
      <c r="F182" s="408"/>
      <c r="G182" s="408"/>
      <c r="H182" s="408"/>
      <c r="I182" s="408"/>
      <c r="J182" s="408"/>
      <c r="K182" s="408"/>
      <c r="L182" s="408"/>
      <c r="M182" s="408"/>
      <c r="N182" s="408"/>
      <c r="O182" s="408"/>
      <c r="P182" s="408"/>
      <c r="Q182" s="408"/>
      <c r="R182" s="408"/>
      <c r="S182" s="408"/>
    </row>
    <row r="183" spans="1:19" x14ac:dyDescent="0.2">
      <c r="A183" s="408"/>
      <c r="B183" s="408"/>
      <c r="C183" s="408"/>
      <c r="D183" s="408"/>
      <c r="E183" s="408"/>
      <c r="F183" s="408"/>
      <c r="G183" s="408"/>
      <c r="H183" s="408"/>
      <c r="I183" s="408"/>
      <c r="J183" s="408"/>
      <c r="K183" s="408"/>
      <c r="L183" s="408"/>
      <c r="M183" s="408"/>
      <c r="N183" s="408"/>
      <c r="O183" s="408"/>
      <c r="P183" s="408"/>
      <c r="Q183" s="408"/>
      <c r="R183" s="408"/>
      <c r="S183" s="408"/>
    </row>
    <row r="184" spans="1:19" x14ac:dyDescent="0.2">
      <c r="A184" s="408"/>
      <c r="B184" s="408"/>
      <c r="C184" s="408"/>
      <c r="D184" s="408"/>
      <c r="E184" s="408"/>
      <c r="F184" s="408"/>
      <c r="G184" s="408"/>
      <c r="H184" s="408"/>
      <c r="I184" s="408"/>
      <c r="J184" s="408"/>
      <c r="K184" s="408"/>
      <c r="L184" s="408"/>
      <c r="M184" s="408"/>
      <c r="N184" s="408"/>
      <c r="O184" s="408"/>
      <c r="P184" s="408"/>
      <c r="Q184" s="408"/>
      <c r="R184" s="408"/>
      <c r="S184" s="408"/>
    </row>
    <row r="185" spans="1:19" x14ac:dyDescent="0.2">
      <c r="A185" s="408"/>
      <c r="B185" s="408"/>
      <c r="C185" s="408"/>
      <c r="D185" s="408"/>
      <c r="E185" s="408"/>
      <c r="F185" s="408"/>
      <c r="G185" s="408"/>
      <c r="H185" s="408"/>
      <c r="I185" s="408"/>
      <c r="J185" s="408"/>
      <c r="K185" s="408"/>
      <c r="L185" s="408"/>
      <c r="M185" s="408"/>
      <c r="N185" s="408"/>
      <c r="O185" s="408"/>
      <c r="P185" s="408"/>
      <c r="Q185" s="408"/>
      <c r="R185" s="408"/>
      <c r="S185" s="408"/>
    </row>
    <row r="186" spans="1:19" x14ac:dyDescent="0.2">
      <c r="A186" s="408"/>
      <c r="B186" s="408"/>
      <c r="C186" s="408"/>
      <c r="D186" s="408"/>
      <c r="E186" s="408"/>
      <c r="F186" s="408"/>
      <c r="G186" s="408"/>
      <c r="H186" s="408"/>
      <c r="I186" s="408"/>
      <c r="J186" s="408"/>
      <c r="K186" s="408"/>
      <c r="L186" s="408"/>
      <c r="M186" s="408"/>
      <c r="N186" s="408"/>
      <c r="O186" s="408"/>
      <c r="P186" s="408"/>
      <c r="Q186" s="408"/>
      <c r="R186" s="408"/>
      <c r="S186" s="408"/>
    </row>
    <row r="187" spans="1:19" x14ac:dyDescent="0.2">
      <c r="A187" s="408"/>
      <c r="B187" s="408"/>
      <c r="C187" s="408"/>
      <c r="D187" s="408"/>
      <c r="E187" s="408"/>
      <c r="F187" s="408"/>
      <c r="G187" s="408"/>
      <c r="H187" s="408"/>
      <c r="I187" s="408"/>
      <c r="J187" s="408"/>
      <c r="K187" s="408"/>
      <c r="L187" s="408"/>
      <c r="M187" s="408"/>
      <c r="N187" s="408"/>
      <c r="O187" s="408"/>
      <c r="P187" s="408"/>
      <c r="Q187" s="408"/>
      <c r="R187" s="408"/>
      <c r="S187" s="408"/>
    </row>
    <row r="188" spans="1:19" x14ac:dyDescent="0.2">
      <c r="A188" s="408"/>
      <c r="B188" s="408"/>
      <c r="C188" s="408"/>
      <c r="D188" s="408"/>
      <c r="E188" s="408"/>
      <c r="F188" s="408"/>
      <c r="G188" s="408"/>
      <c r="H188" s="408"/>
      <c r="I188" s="408"/>
      <c r="J188" s="408"/>
      <c r="K188" s="408"/>
      <c r="L188" s="408"/>
      <c r="M188" s="408"/>
      <c r="N188" s="408"/>
      <c r="O188" s="408"/>
      <c r="P188" s="408"/>
      <c r="Q188" s="408"/>
      <c r="R188" s="408"/>
      <c r="S188" s="408"/>
    </row>
    <row r="189" spans="1:19" x14ac:dyDescent="0.2">
      <c r="A189" s="408"/>
      <c r="B189" s="408"/>
      <c r="C189" s="408"/>
      <c r="D189" s="408"/>
      <c r="E189" s="408"/>
      <c r="F189" s="408"/>
      <c r="G189" s="408"/>
      <c r="H189" s="408"/>
      <c r="I189" s="408"/>
      <c r="J189" s="408"/>
      <c r="K189" s="408"/>
      <c r="L189" s="408"/>
      <c r="M189" s="408"/>
      <c r="N189" s="408"/>
      <c r="O189" s="408"/>
      <c r="P189" s="408"/>
      <c r="Q189" s="408"/>
      <c r="R189" s="408"/>
      <c r="S189" s="408"/>
    </row>
    <row r="190" spans="1:19" x14ac:dyDescent="0.2">
      <c r="A190" s="408"/>
      <c r="B190" s="408"/>
      <c r="C190" s="408"/>
      <c r="D190" s="408"/>
      <c r="E190" s="408"/>
      <c r="F190" s="408"/>
      <c r="G190" s="408"/>
      <c r="H190" s="408"/>
      <c r="I190" s="408"/>
      <c r="J190" s="408"/>
      <c r="K190" s="408"/>
      <c r="L190" s="408"/>
      <c r="M190" s="408"/>
      <c r="N190" s="408"/>
      <c r="O190" s="408"/>
      <c r="P190" s="408"/>
      <c r="Q190" s="408"/>
      <c r="R190" s="408"/>
      <c r="S190" s="408"/>
    </row>
    <row r="191" spans="1:19" x14ac:dyDescent="0.2">
      <c r="A191" s="408"/>
      <c r="B191" s="408"/>
      <c r="C191" s="408"/>
      <c r="D191" s="408"/>
      <c r="E191" s="408"/>
      <c r="F191" s="408"/>
      <c r="G191" s="408"/>
      <c r="H191" s="408"/>
      <c r="I191" s="408"/>
      <c r="J191" s="408"/>
      <c r="K191" s="408"/>
      <c r="L191" s="408"/>
      <c r="M191" s="408"/>
      <c r="N191" s="408"/>
      <c r="O191" s="408"/>
      <c r="P191" s="408"/>
      <c r="Q191" s="408"/>
      <c r="R191" s="408"/>
      <c r="S191" s="408"/>
    </row>
    <row r="192" spans="1:19" x14ac:dyDescent="0.2">
      <c r="A192" s="408"/>
      <c r="B192" s="408"/>
      <c r="C192" s="408"/>
      <c r="D192" s="408"/>
      <c r="E192" s="408"/>
      <c r="F192" s="408"/>
      <c r="G192" s="408"/>
      <c r="H192" s="408"/>
      <c r="I192" s="408"/>
      <c r="J192" s="408"/>
      <c r="K192" s="408"/>
      <c r="L192" s="408"/>
      <c r="M192" s="408"/>
      <c r="N192" s="408"/>
      <c r="O192" s="408"/>
      <c r="P192" s="408"/>
      <c r="Q192" s="408"/>
      <c r="R192" s="408"/>
      <c r="S192" s="408"/>
    </row>
    <row r="193" spans="1:19" x14ac:dyDescent="0.2">
      <c r="A193" s="408"/>
      <c r="B193" s="408"/>
      <c r="C193" s="408"/>
      <c r="D193" s="408"/>
      <c r="E193" s="408"/>
      <c r="F193" s="408"/>
      <c r="G193" s="408"/>
      <c r="H193" s="408"/>
      <c r="I193" s="408"/>
      <c r="J193" s="408"/>
      <c r="K193" s="408"/>
      <c r="L193" s="408"/>
      <c r="M193" s="408"/>
      <c r="N193" s="408"/>
      <c r="O193" s="408"/>
      <c r="P193" s="408"/>
      <c r="Q193" s="408"/>
      <c r="R193" s="408"/>
      <c r="S193" s="408"/>
    </row>
    <row r="194" spans="1:19" x14ac:dyDescent="0.2">
      <c r="A194" s="408"/>
      <c r="B194" s="408"/>
      <c r="C194" s="408"/>
      <c r="D194" s="408"/>
      <c r="E194" s="408"/>
      <c r="F194" s="408"/>
      <c r="G194" s="408"/>
      <c r="H194" s="408"/>
      <c r="I194" s="408"/>
      <c r="J194" s="408"/>
      <c r="K194" s="408"/>
      <c r="L194" s="408"/>
      <c r="M194" s="408"/>
      <c r="N194" s="408"/>
      <c r="O194" s="408"/>
      <c r="P194" s="408"/>
      <c r="Q194" s="408"/>
      <c r="R194" s="408"/>
      <c r="S194" s="408"/>
    </row>
    <row r="195" spans="1:19" x14ac:dyDescent="0.2">
      <c r="A195" s="408"/>
      <c r="B195" s="408"/>
      <c r="C195" s="408"/>
      <c r="D195" s="408"/>
      <c r="E195" s="408"/>
      <c r="F195" s="408"/>
      <c r="G195" s="408"/>
      <c r="H195" s="408"/>
      <c r="I195" s="408"/>
      <c r="J195" s="408"/>
      <c r="K195" s="408"/>
      <c r="L195" s="408"/>
      <c r="M195" s="408"/>
      <c r="N195" s="408"/>
      <c r="O195" s="408"/>
      <c r="P195" s="408"/>
      <c r="Q195" s="408"/>
      <c r="R195" s="408"/>
      <c r="S195" s="408"/>
    </row>
    <row r="196" spans="1:19" x14ac:dyDescent="0.2">
      <c r="A196" s="408"/>
      <c r="B196" s="408"/>
      <c r="C196" s="408"/>
      <c r="D196" s="408"/>
      <c r="E196" s="408"/>
      <c r="F196" s="408"/>
      <c r="G196" s="408"/>
      <c r="H196" s="408"/>
      <c r="I196" s="408"/>
      <c r="J196" s="408"/>
      <c r="K196" s="408"/>
      <c r="L196" s="408"/>
      <c r="M196" s="408"/>
      <c r="N196" s="408"/>
      <c r="O196" s="408"/>
      <c r="P196" s="408"/>
      <c r="Q196" s="408"/>
      <c r="R196" s="408"/>
      <c r="S196" s="408"/>
    </row>
    <row r="197" spans="1:19" x14ac:dyDescent="0.2">
      <c r="A197" s="408"/>
      <c r="B197" s="408"/>
      <c r="C197" s="408"/>
      <c r="D197" s="408"/>
      <c r="E197" s="408"/>
      <c r="F197" s="408"/>
      <c r="G197" s="408"/>
      <c r="H197" s="408"/>
      <c r="I197" s="408"/>
      <c r="J197" s="408"/>
      <c r="K197" s="408"/>
      <c r="L197" s="408"/>
      <c r="M197" s="408"/>
      <c r="N197" s="408"/>
      <c r="O197" s="408"/>
      <c r="P197" s="408"/>
      <c r="Q197" s="408"/>
      <c r="R197" s="408"/>
      <c r="S197" s="408"/>
    </row>
    <row r="198" spans="1:19" x14ac:dyDescent="0.2">
      <c r="A198" s="408"/>
      <c r="B198" s="408"/>
      <c r="C198" s="408"/>
      <c r="D198" s="408"/>
      <c r="E198" s="408"/>
      <c r="F198" s="408"/>
      <c r="G198" s="408"/>
      <c r="H198" s="408"/>
      <c r="I198" s="408"/>
      <c r="J198" s="408"/>
      <c r="K198" s="408"/>
      <c r="L198" s="408"/>
      <c r="M198" s="408"/>
      <c r="N198" s="408"/>
      <c r="O198" s="408"/>
      <c r="P198" s="408"/>
      <c r="Q198" s="408"/>
      <c r="R198" s="408"/>
      <c r="S198" s="408"/>
    </row>
    <row r="199" spans="1:19" x14ac:dyDescent="0.2">
      <c r="A199" s="408"/>
      <c r="B199" s="408"/>
      <c r="C199" s="408"/>
      <c r="D199" s="408"/>
      <c r="E199" s="408"/>
      <c r="F199" s="408"/>
      <c r="G199" s="408"/>
      <c r="H199" s="408"/>
      <c r="I199" s="408"/>
      <c r="J199" s="408"/>
      <c r="K199" s="408"/>
      <c r="L199" s="408"/>
      <c r="M199" s="408"/>
      <c r="N199" s="408"/>
      <c r="O199" s="408"/>
      <c r="P199" s="408"/>
      <c r="Q199" s="408"/>
      <c r="R199" s="408"/>
      <c r="S199" s="408"/>
    </row>
    <row r="200" spans="1:19" x14ac:dyDescent="0.2">
      <c r="A200" s="408"/>
      <c r="B200" s="408"/>
      <c r="C200" s="408"/>
      <c r="D200" s="408"/>
      <c r="E200" s="408"/>
      <c r="F200" s="408"/>
      <c r="G200" s="408"/>
      <c r="H200" s="408"/>
      <c r="I200" s="408"/>
      <c r="J200" s="408"/>
      <c r="K200" s="408"/>
      <c r="L200" s="408"/>
      <c r="M200" s="408"/>
      <c r="N200" s="408"/>
      <c r="O200" s="408"/>
      <c r="P200" s="408"/>
      <c r="Q200" s="408"/>
      <c r="R200" s="408"/>
      <c r="S200" s="408"/>
    </row>
    <row r="201" spans="1:19" x14ac:dyDescent="0.2">
      <c r="A201" s="408"/>
      <c r="B201" s="408"/>
      <c r="C201" s="408"/>
      <c r="D201" s="408"/>
      <c r="E201" s="408"/>
      <c r="F201" s="408"/>
      <c r="G201" s="408"/>
      <c r="H201" s="408"/>
      <c r="I201" s="408"/>
      <c r="J201" s="408"/>
      <c r="K201" s="408"/>
      <c r="L201" s="408"/>
      <c r="M201" s="408"/>
      <c r="N201" s="408"/>
      <c r="O201" s="408"/>
      <c r="P201" s="408"/>
      <c r="Q201" s="408"/>
      <c r="R201" s="408"/>
      <c r="S201" s="408"/>
    </row>
    <row r="202" spans="1:19" x14ac:dyDescent="0.2">
      <c r="A202" s="408"/>
      <c r="B202" s="408"/>
      <c r="C202" s="408"/>
      <c r="D202" s="408"/>
      <c r="E202" s="408"/>
      <c r="F202" s="408"/>
      <c r="G202" s="408"/>
      <c r="H202" s="408"/>
      <c r="I202" s="408"/>
      <c r="J202" s="408"/>
      <c r="K202" s="408"/>
      <c r="L202" s="408"/>
      <c r="M202" s="408"/>
      <c r="N202" s="408"/>
      <c r="O202" s="408"/>
      <c r="P202" s="408"/>
      <c r="Q202" s="408"/>
      <c r="R202" s="408"/>
      <c r="S202" s="408"/>
    </row>
    <row r="203" spans="1:19" x14ac:dyDescent="0.2">
      <c r="A203" s="408"/>
      <c r="B203" s="408"/>
      <c r="C203" s="408"/>
      <c r="D203" s="408"/>
      <c r="E203" s="408"/>
      <c r="F203" s="408"/>
      <c r="G203" s="408"/>
      <c r="H203" s="408"/>
      <c r="I203" s="408"/>
      <c r="J203" s="408"/>
      <c r="K203" s="408"/>
      <c r="L203" s="408"/>
      <c r="M203" s="408"/>
      <c r="N203" s="408"/>
      <c r="O203" s="408"/>
      <c r="P203" s="408"/>
      <c r="Q203" s="408"/>
      <c r="R203" s="408"/>
      <c r="S203" s="408"/>
    </row>
    <row r="204" spans="1:19" x14ac:dyDescent="0.2">
      <c r="A204" s="408"/>
      <c r="B204" s="408"/>
      <c r="C204" s="408"/>
      <c r="D204" s="408"/>
      <c r="E204" s="408"/>
      <c r="F204" s="408"/>
      <c r="G204" s="408"/>
      <c r="H204" s="408"/>
      <c r="I204" s="408"/>
      <c r="J204" s="408"/>
      <c r="K204" s="408"/>
      <c r="L204" s="408"/>
      <c r="M204" s="408"/>
      <c r="N204" s="408"/>
      <c r="O204" s="408"/>
      <c r="P204" s="408"/>
      <c r="Q204" s="408"/>
      <c r="R204" s="408"/>
      <c r="S204" s="408"/>
    </row>
    <row r="205" spans="1:19" x14ac:dyDescent="0.2">
      <c r="A205" s="408"/>
      <c r="B205" s="408"/>
      <c r="C205" s="408"/>
      <c r="D205" s="408"/>
      <c r="E205" s="408"/>
      <c r="F205" s="408"/>
      <c r="G205" s="408"/>
      <c r="H205" s="408"/>
      <c r="I205" s="408"/>
      <c r="J205" s="408"/>
      <c r="K205" s="408"/>
      <c r="L205" s="408"/>
      <c r="M205" s="408"/>
      <c r="N205" s="408"/>
      <c r="O205" s="408"/>
      <c r="P205" s="408"/>
      <c r="Q205" s="408"/>
      <c r="R205" s="408"/>
      <c r="S205" s="408"/>
    </row>
    <row r="206" spans="1:19" x14ac:dyDescent="0.2">
      <c r="A206" s="408"/>
      <c r="B206" s="408"/>
      <c r="C206" s="408"/>
      <c r="D206" s="408"/>
      <c r="E206" s="408"/>
      <c r="F206" s="408"/>
      <c r="G206" s="408"/>
      <c r="H206" s="408"/>
      <c r="I206" s="408"/>
      <c r="J206" s="408"/>
      <c r="K206" s="408"/>
      <c r="L206" s="408"/>
      <c r="M206" s="408"/>
      <c r="N206" s="408"/>
      <c r="O206" s="408"/>
      <c r="P206" s="408"/>
      <c r="Q206" s="408"/>
      <c r="R206" s="408"/>
      <c r="S206" s="408"/>
    </row>
    <row r="207" spans="1:19" x14ac:dyDescent="0.2">
      <c r="A207" s="408"/>
      <c r="B207" s="408"/>
      <c r="C207" s="408"/>
      <c r="D207" s="408"/>
      <c r="E207" s="408"/>
      <c r="F207" s="408"/>
      <c r="G207" s="408"/>
      <c r="H207" s="408"/>
      <c r="I207" s="408"/>
      <c r="J207" s="408"/>
      <c r="K207" s="408"/>
      <c r="L207" s="408"/>
      <c r="M207" s="408"/>
      <c r="N207" s="408"/>
      <c r="O207" s="408"/>
      <c r="P207" s="408"/>
      <c r="Q207" s="408"/>
      <c r="R207" s="408"/>
      <c r="S207" s="408"/>
    </row>
    <row r="208" spans="1:19" x14ac:dyDescent="0.2">
      <c r="A208" s="408"/>
      <c r="B208" s="408"/>
      <c r="C208" s="408"/>
      <c r="D208" s="408"/>
      <c r="E208" s="408"/>
      <c r="F208" s="408"/>
      <c r="G208" s="408"/>
      <c r="H208" s="408"/>
      <c r="I208" s="408"/>
      <c r="J208" s="408"/>
      <c r="K208" s="408"/>
      <c r="L208" s="408"/>
      <c r="M208" s="408"/>
      <c r="N208" s="408"/>
      <c r="O208" s="408"/>
      <c r="P208" s="408"/>
      <c r="Q208" s="408"/>
      <c r="R208" s="408"/>
      <c r="S208" s="408"/>
    </row>
    <row r="209" spans="1:19" x14ac:dyDescent="0.2">
      <c r="A209" s="408"/>
      <c r="B209" s="408"/>
      <c r="C209" s="408"/>
      <c r="D209" s="408"/>
      <c r="E209" s="408"/>
      <c r="F209" s="408"/>
      <c r="G209" s="408"/>
      <c r="H209" s="408"/>
      <c r="I209" s="408"/>
      <c r="J209" s="408"/>
      <c r="K209" s="408"/>
      <c r="L209" s="408"/>
      <c r="M209" s="408"/>
      <c r="N209" s="408"/>
      <c r="O209" s="408"/>
      <c r="P209" s="408"/>
      <c r="Q209" s="408"/>
      <c r="R209" s="408"/>
      <c r="S209" s="408"/>
    </row>
    <row r="210" spans="1:19" x14ac:dyDescent="0.2">
      <c r="A210" s="408"/>
      <c r="B210" s="408"/>
      <c r="C210" s="408"/>
      <c r="D210" s="408"/>
      <c r="E210" s="408"/>
      <c r="F210" s="408"/>
      <c r="G210" s="408"/>
      <c r="H210" s="408"/>
      <c r="I210" s="408"/>
      <c r="J210" s="408"/>
      <c r="K210" s="408"/>
      <c r="L210" s="408"/>
      <c r="M210" s="408"/>
      <c r="N210" s="408"/>
      <c r="O210" s="408"/>
      <c r="P210" s="408"/>
      <c r="Q210" s="408"/>
      <c r="R210" s="408"/>
      <c r="S210" s="408"/>
    </row>
    <row r="211" spans="1:19" x14ac:dyDescent="0.2">
      <c r="A211" s="408"/>
      <c r="B211" s="408"/>
      <c r="C211" s="408"/>
      <c r="D211" s="408"/>
      <c r="E211" s="408"/>
      <c r="F211" s="408"/>
      <c r="G211" s="408"/>
      <c r="H211" s="408"/>
      <c r="I211" s="408"/>
      <c r="J211" s="408"/>
      <c r="K211" s="408"/>
      <c r="L211" s="408"/>
      <c r="M211" s="408"/>
      <c r="N211" s="408"/>
      <c r="O211" s="408"/>
      <c r="P211" s="408"/>
      <c r="Q211" s="408"/>
      <c r="R211" s="408"/>
      <c r="S211" s="408"/>
    </row>
    <row r="212" spans="1:19" x14ac:dyDescent="0.2">
      <c r="A212" s="408"/>
      <c r="B212" s="408"/>
      <c r="C212" s="408"/>
      <c r="D212" s="408"/>
      <c r="E212" s="408"/>
      <c r="F212" s="408"/>
      <c r="G212" s="408"/>
      <c r="H212" s="408"/>
      <c r="I212" s="408"/>
      <c r="J212" s="408"/>
      <c r="K212" s="408"/>
      <c r="L212" s="408"/>
      <c r="M212" s="408"/>
      <c r="N212" s="408"/>
      <c r="O212" s="408"/>
      <c r="P212" s="408"/>
      <c r="Q212" s="408"/>
      <c r="R212" s="408"/>
      <c r="S212" s="408"/>
    </row>
    <row r="213" spans="1:19" x14ac:dyDescent="0.2">
      <c r="A213" s="408"/>
      <c r="B213" s="408"/>
      <c r="C213" s="408"/>
      <c r="D213" s="408"/>
      <c r="E213" s="408"/>
      <c r="F213" s="408"/>
      <c r="G213" s="408"/>
      <c r="H213" s="408"/>
      <c r="I213" s="408"/>
      <c r="J213" s="408"/>
      <c r="K213" s="408"/>
      <c r="L213" s="408"/>
      <c r="M213" s="408"/>
      <c r="N213" s="408"/>
      <c r="O213" s="408"/>
      <c r="P213" s="408"/>
      <c r="Q213" s="408"/>
      <c r="R213" s="408"/>
      <c r="S213" s="408"/>
    </row>
    <row r="214" spans="1:19" x14ac:dyDescent="0.2">
      <c r="A214" s="408"/>
      <c r="B214" s="408"/>
      <c r="C214" s="408"/>
      <c r="D214" s="408"/>
      <c r="E214" s="408"/>
      <c r="F214" s="408"/>
      <c r="G214" s="408"/>
      <c r="H214" s="408"/>
      <c r="I214" s="408"/>
      <c r="J214" s="408"/>
      <c r="K214" s="408"/>
      <c r="L214" s="408"/>
      <c r="M214" s="408"/>
      <c r="N214" s="408"/>
      <c r="O214" s="408"/>
      <c r="P214" s="408"/>
      <c r="Q214" s="408"/>
      <c r="R214" s="408"/>
      <c r="S214" s="408"/>
    </row>
    <row r="215" spans="1:19" x14ac:dyDescent="0.2">
      <c r="A215" s="408"/>
      <c r="B215" s="408"/>
      <c r="C215" s="408"/>
      <c r="D215" s="408"/>
      <c r="E215" s="408"/>
      <c r="F215" s="408"/>
      <c r="G215" s="408"/>
      <c r="H215" s="408"/>
      <c r="I215" s="408"/>
      <c r="J215" s="408"/>
      <c r="K215" s="408"/>
      <c r="L215" s="408"/>
      <c r="M215" s="408"/>
      <c r="N215" s="408"/>
      <c r="O215" s="408"/>
      <c r="P215" s="408"/>
      <c r="Q215" s="408"/>
      <c r="R215" s="408"/>
      <c r="S215" s="408"/>
    </row>
    <row r="216" spans="1:19" x14ac:dyDescent="0.2">
      <c r="A216" s="408"/>
      <c r="B216" s="408"/>
      <c r="C216" s="408"/>
      <c r="D216" s="408"/>
      <c r="E216" s="408"/>
      <c r="F216" s="408"/>
      <c r="G216" s="408"/>
      <c r="H216" s="408"/>
      <c r="I216" s="408"/>
      <c r="J216" s="408"/>
      <c r="K216" s="408"/>
      <c r="L216" s="408"/>
      <c r="M216" s="408"/>
      <c r="N216" s="408"/>
      <c r="O216" s="408"/>
      <c r="P216" s="408"/>
      <c r="Q216" s="408"/>
      <c r="R216" s="408"/>
      <c r="S216" s="408"/>
    </row>
    <row r="217" spans="1:19" x14ac:dyDescent="0.2">
      <c r="A217" s="408"/>
      <c r="B217" s="408"/>
      <c r="C217" s="408"/>
      <c r="D217" s="408"/>
      <c r="E217" s="408"/>
      <c r="F217" s="408"/>
      <c r="G217" s="408"/>
      <c r="H217" s="408"/>
      <c r="I217" s="408"/>
      <c r="J217" s="408"/>
      <c r="K217" s="408"/>
      <c r="L217" s="408"/>
      <c r="M217" s="408"/>
      <c r="N217" s="408"/>
      <c r="O217" s="408"/>
      <c r="P217" s="408"/>
      <c r="Q217" s="408"/>
      <c r="R217" s="408"/>
      <c r="S217" s="408"/>
    </row>
    <row r="218" spans="1:19" x14ac:dyDescent="0.2">
      <c r="A218" s="408"/>
      <c r="B218" s="408"/>
      <c r="C218" s="408"/>
      <c r="D218" s="408"/>
      <c r="E218" s="408"/>
      <c r="F218" s="408"/>
      <c r="G218" s="408"/>
      <c r="H218" s="408"/>
      <c r="I218" s="408"/>
      <c r="J218" s="408"/>
      <c r="K218" s="408"/>
      <c r="L218" s="408"/>
      <c r="M218" s="408"/>
      <c r="N218" s="408"/>
      <c r="O218" s="408"/>
      <c r="P218" s="408"/>
      <c r="Q218" s="408"/>
      <c r="R218" s="408"/>
      <c r="S218" s="408"/>
    </row>
    <row r="219" spans="1:19" x14ac:dyDescent="0.2">
      <c r="A219" s="408"/>
      <c r="B219" s="408"/>
      <c r="C219" s="408"/>
      <c r="D219" s="408"/>
      <c r="E219" s="408"/>
      <c r="F219" s="408"/>
      <c r="G219" s="408"/>
      <c r="H219" s="408"/>
      <c r="I219" s="408"/>
      <c r="J219" s="408"/>
      <c r="K219" s="408"/>
      <c r="L219" s="408"/>
      <c r="M219" s="408"/>
      <c r="N219" s="408"/>
      <c r="O219" s="408"/>
      <c r="P219" s="408"/>
      <c r="Q219" s="408"/>
      <c r="R219" s="408"/>
      <c r="S219" s="408"/>
    </row>
    <row r="220" spans="1:19" x14ac:dyDescent="0.2">
      <c r="A220" s="408"/>
      <c r="B220" s="408"/>
      <c r="C220" s="408"/>
      <c r="D220" s="408"/>
      <c r="E220" s="408"/>
      <c r="F220" s="408"/>
      <c r="G220" s="408"/>
      <c r="H220" s="408"/>
      <c r="I220" s="408"/>
      <c r="J220" s="408"/>
      <c r="K220" s="408"/>
      <c r="L220" s="408"/>
      <c r="M220" s="408"/>
      <c r="N220" s="408"/>
      <c r="O220" s="408"/>
      <c r="P220" s="408"/>
      <c r="Q220" s="408"/>
      <c r="R220" s="408"/>
      <c r="S220" s="408"/>
    </row>
    <row r="221" spans="1:19" x14ac:dyDescent="0.2">
      <c r="A221" s="408"/>
      <c r="B221" s="408"/>
      <c r="C221" s="408"/>
      <c r="D221" s="408"/>
      <c r="E221" s="408"/>
      <c r="F221" s="408"/>
      <c r="G221" s="408"/>
      <c r="H221" s="408"/>
      <c r="I221" s="408"/>
      <c r="J221" s="408"/>
      <c r="K221" s="408"/>
      <c r="L221" s="408"/>
      <c r="M221" s="408"/>
      <c r="N221" s="408"/>
      <c r="O221" s="408"/>
      <c r="P221" s="408"/>
      <c r="Q221" s="408"/>
      <c r="R221" s="408"/>
      <c r="S221" s="408"/>
    </row>
    <row r="222" spans="1:19" x14ac:dyDescent="0.2">
      <c r="A222" s="408"/>
      <c r="B222" s="408"/>
      <c r="C222" s="408"/>
      <c r="D222" s="408"/>
      <c r="E222" s="408"/>
      <c r="F222" s="408"/>
      <c r="G222" s="408"/>
      <c r="H222" s="408"/>
      <c r="I222" s="408"/>
      <c r="J222" s="408"/>
      <c r="K222" s="408"/>
      <c r="L222" s="408"/>
      <c r="M222" s="408"/>
      <c r="N222" s="408"/>
      <c r="O222" s="408"/>
      <c r="P222" s="408"/>
      <c r="Q222" s="408"/>
      <c r="R222" s="408"/>
      <c r="S222" s="408"/>
    </row>
    <row r="223" spans="1:19" x14ac:dyDescent="0.2">
      <c r="A223" s="408"/>
      <c r="B223" s="408"/>
      <c r="C223" s="408"/>
      <c r="D223" s="408"/>
      <c r="E223" s="408"/>
      <c r="F223" s="408"/>
      <c r="G223" s="408"/>
      <c r="H223" s="408"/>
      <c r="I223" s="408"/>
      <c r="J223" s="408"/>
      <c r="K223" s="408"/>
      <c r="L223" s="408"/>
      <c r="M223" s="408"/>
      <c r="N223" s="408"/>
      <c r="O223" s="408"/>
      <c r="P223" s="408"/>
      <c r="Q223" s="408"/>
      <c r="R223" s="408"/>
      <c r="S223" s="408"/>
    </row>
    <row r="224" spans="1:19" x14ac:dyDescent="0.2">
      <c r="A224" s="408"/>
      <c r="B224" s="408"/>
      <c r="C224" s="408"/>
      <c r="D224" s="408"/>
      <c r="E224" s="408"/>
      <c r="F224" s="408"/>
      <c r="G224" s="408"/>
      <c r="H224" s="408"/>
      <c r="I224" s="408"/>
      <c r="J224" s="408"/>
      <c r="K224" s="408"/>
      <c r="L224" s="408"/>
      <c r="M224" s="408"/>
      <c r="N224" s="408"/>
      <c r="O224" s="408"/>
      <c r="P224" s="408"/>
      <c r="Q224" s="408"/>
      <c r="R224" s="408"/>
      <c r="S224" s="408"/>
    </row>
    <row r="225" spans="1:19" x14ac:dyDescent="0.2">
      <c r="A225" s="408"/>
      <c r="B225" s="408"/>
      <c r="C225" s="408"/>
      <c r="D225" s="408"/>
      <c r="E225" s="408"/>
      <c r="F225" s="408"/>
      <c r="G225" s="408"/>
      <c r="H225" s="408"/>
      <c r="I225" s="408"/>
      <c r="J225" s="408"/>
      <c r="K225" s="408"/>
      <c r="L225" s="408"/>
      <c r="M225" s="408"/>
      <c r="N225" s="408"/>
      <c r="O225" s="408"/>
      <c r="P225" s="408"/>
      <c r="Q225" s="408"/>
      <c r="R225" s="408"/>
      <c r="S225" s="408"/>
    </row>
    <row r="226" spans="1:19" x14ac:dyDescent="0.2">
      <c r="A226" s="408"/>
      <c r="B226" s="408"/>
      <c r="C226" s="408"/>
      <c r="D226" s="408"/>
      <c r="E226" s="408"/>
      <c r="F226" s="408"/>
      <c r="G226" s="408"/>
      <c r="H226" s="408"/>
      <c r="I226" s="408"/>
      <c r="J226" s="408"/>
      <c r="K226" s="408"/>
      <c r="L226" s="408"/>
      <c r="M226" s="408"/>
      <c r="N226" s="408"/>
      <c r="O226" s="408"/>
      <c r="P226" s="408"/>
      <c r="Q226" s="408"/>
      <c r="R226" s="408"/>
      <c r="S226" s="408"/>
    </row>
    <row r="227" spans="1:19" x14ac:dyDescent="0.2">
      <c r="A227" s="408"/>
      <c r="B227" s="408"/>
      <c r="C227" s="408"/>
      <c r="D227" s="408"/>
      <c r="E227" s="408"/>
      <c r="F227" s="408"/>
      <c r="G227" s="408"/>
      <c r="H227" s="408"/>
      <c r="I227" s="408"/>
      <c r="J227" s="408"/>
      <c r="K227" s="408"/>
      <c r="L227" s="408"/>
      <c r="M227" s="408"/>
      <c r="N227" s="408"/>
      <c r="O227" s="408"/>
      <c r="P227" s="408"/>
      <c r="Q227" s="408"/>
      <c r="R227" s="408"/>
      <c r="S227" s="408"/>
    </row>
    <row r="228" spans="1:19" x14ac:dyDescent="0.2">
      <c r="A228" s="408"/>
      <c r="B228" s="408"/>
      <c r="C228" s="408"/>
      <c r="D228" s="408"/>
      <c r="E228" s="408"/>
      <c r="F228" s="408"/>
      <c r="G228" s="408"/>
      <c r="H228" s="408"/>
      <c r="I228" s="408"/>
      <c r="J228" s="408"/>
      <c r="K228" s="408"/>
      <c r="L228" s="408"/>
      <c r="M228" s="408"/>
      <c r="N228" s="408"/>
      <c r="O228" s="408"/>
      <c r="P228" s="408"/>
      <c r="Q228" s="408"/>
      <c r="R228" s="408"/>
      <c r="S228" s="408"/>
    </row>
    <row r="229" spans="1:19" x14ac:dyDescent="0.2">
      <c r="A229" s="408"/>
      <c r="B229" s="408"/>
      <c r="C229" s="408"/>
      <c r="D229" s="408"/>
      <c r="E229" s="408"/>
      <c r="F229" s="408"/>
      <c r="G229" s="408"/>
      <c r="H229" s="408"/>
      <c r="I229" s="408"/>
      <c r="J229" s="408"/>
      <c r="K229" s="408"/>
      <c r="L229" s="408"/>
      <c r="M229" s="408"/>
      <c r="N229" s="408"/>
      <c r="O229" s="408"/>
      <c r="P229" s="408"/>
      <c r="Q229" s="408"/>
      <c r="R229" s="408"/>
      <c r="S229" s="408"/>
    </row>
    <row r="230" spans="1:19" x14ac:dyDescent="0.2">
      <c r="A230" s="408"/>
      <c r="B230" s="408"/>
      <c r="C230" s="408"/>
      <c r="D230" s="408"/>
      <c r="E230" s="408"/>
      <c r="F230" s="408"/>
      <c r="G230" s="408"/>
      <c r="H230" s="408"/>
      <c r="I230" s="408"/>
      <c r="J230" s="408"/>
      <c r="K230" s="408"/>
      <c r="L230" s="408"/>
      <c r="M230" s="408"/>
      <c r="N230" s="408"/>
      <c r="O230" s="408"/>
      <c r="P230" s="408"/>
      <c r="Q230" s="408"/>
      <c r="R230" s="408"/>
      <c r="S230" s="408"/>
    </row>
    <row r="231" spans="1:19" x14ac:dyDescent="0.2">
      <c r="A231" s="408"/>
      <c r="B231" s="408"/>
      <c r="C231" s="408"/>
      <c r="D231" s="408"/>
      <c r="E231" s="408"/>
      <c r="F231" s="408"/>
      <c r="G231" s="408"/>
      <c r="H231" s="408"/>
      <c r="I231" s="408"/>
      <c r="J231" s="408"/>
      <c r="K231" s="408"/>
      <c r="L231" s="408"/>
      <c r="M231" s="408"/>
      <c r="N231" s="408"/>
      <c r="O231" s="408"/>
      <c r="P231" s="408"/>
      <c r="Q231" s="408"/>
      <c r="R231" s="408"/>
      <c r="S231" s="408"/>
    </row>
    <row r="232" spans="1:19" x14ac:dyDescent="0.2">
      <c r="A232" s="408"/>
      <c r="B232" s="408"/>
      <c r="C232" s="408"/>
      <c r="D232" s="408"/>
      <c r="E232" s="408"/>
      <c r="F232" s="408"/>
      <c r="G232" s="408"/>
      <c r="H232" s="408"/>
      <c r="I232" s="408"/>
      <c r="J232" s="408"/>
      <c r="K232" s="408"/>
      <c r="L232" s="408"/>
      <c r="M232" s="408"/>
      <c r="N232" s="408"/>
      <c r="O232" s="408"/>
      <c r="P232" s="408"/>
      <c r="Q232" s="408"/>
      <c r="R232" s="408"/>
      <c r="S232" s="408"/>
    </row>
    <row r="233" spans="1:19" x14ac:dyDescent="0.2">
      <c r="A233" s="408"/>
      <c r="B233" s="408"/>
      <c r="C233" s="408"/>
      <c r="D233" s="408"/>
      <c r="E233" s="408"/>
      <c r="F233" s="408"/>
      <c r="G233" s="408"/>
      <c r="H233" s="408"/>
      <c r="I233" s="408"/>
      <c r="J233" s="408"/>
      <c r="K233" s="408"/>
      <c r="L233" s="408"/>
      <c r="M233" s="408"/>
      <c r="N233" s="408"/>
      <c r="O233" s="408"/>
      <c r="P233" s="408"/>
      <c r="Q233" s="408"/>
      <c r="R233" s="408"/>
      <c r="S233" s="408"/>
    </row>
    <row r="234" spans="1:19" x14ac:dyDescent="0.2">
      <c r="A234" s="408"/>
      <c r="B234" s="408"/>
      <c r="C234" s="408"/>
      <c r="D234" s="408"/>
      <c r="E234" s="408"/>
      <c r="F234" s="408"/>
      <c r="G234" s="408"/>
      <c r="H234" s="408"/>
      <c r="I234" s="408"/>
      <c r="J234" s="408"/>
      <c r="K234" s="408"/>
      <c r="L234" s="408"/>
      <c r="M234" s="408"/>
      <c r="N234" s="408"/>
      <c r="O234" s="408"/>
      <c r="P234" s="408"/>
      <c r="Q234" s="408"/>
      <c r="R234" s="408"/>
      <c r="S234" s="408"/>
    </row>
    <row r="235" spans="1:19" x14ac:dyDescent="0.2">
      <c r="A235" s="408"/>
      <c r="B235" s="408"/>
      <c r="C235" s="408"/>
      <c r="D235" s="408"/>
      <c r="E235" s="408"/>
      <c r="F235" s="408"/>
      <c r="G235" s="408"/>
      <c r="H235" s="408"/>
      <c r="I235" s="408"/>
      <c r="J235" s="408"/>
      <c r="K235" s="408"/>
      <c r="L235" s="408"/>
      <c r="M235" s="408"/>
      <c r="N235" s="408"/>
      <c r="O235" s="408"/>
      <c r="P235" s="408"/>
      <c r="Q235" s="408"/>
      <c r="R235" s="408"/>
      <c r="S235" s="408"/>
    </row>
    <row r="236" spans="1:19" x14ac:dyDescent="0.2">
      <c r="A236" s="408"/>
      <c r="B236" s="408"/>
      <c r="C236" s="408"/>
      <c r="D236" s="408"/>
      <c r="E236" s="408"/>
      <c r="F236" s="408"/>
      <c r="G236" s="408"/>
      <c r="H236" s="408"/>
      <c r="I236" s="408"/>
      <c r="J236" s="408"/>
      <c r="K236" s="408"/>
      <c r="L236" s="408"/>
      <c r="M236" s="408"/>
      <c r="N236" s="408"/>
      <c r="O236" s="408"/>
      <c r="P236" s="408"/>
      <c r="Q236" s="408"/>
      <c r="R236" s="408"/>
      <c r="S236" s="408"/>
    </row>
    <row r="237" spans="1:19" x14ac:dyDescent="0.2">
      <c r="A237" s="408"/>
      <c r="B237" s="408"/>
      <c r="C237" s="408"/>
      <c r="D237" s="408"/>
      <c r="E237" s="408"/>
      <c r="F237" s="408"/>
      <c r="G237" s="408"/>
      <c r="H237" s="408"/>
      <c r="I237" s="408"/>
      <c r="J237" s="408"/>
      <c r="K237" s="408"/>
      <c r="L237" s="408"/>
      <c r="M237" s="408"/>
      <c r="N237" s="408"/>
      <c r="O237" s="408"/>
      <c r="P237" s="408"/>
      <c r="Q237" s="408"/>
      <c r="R237" s="408"/>
      <c r="S237" s="408"/>
    </row>
    <row r="238" spans="1:19" x14ac:dyDescent="0.2">
      <c r="A238" s="408"/>
      <c r="B238" s="408"/>
      <c r="C238" s="408"/>
      <c r="D238" s="408"/>
      <c r="E238" s="408"/>
      <c r="F238" s="408"/>
      <c r="G238" s="408"/>
      <c r="H238" s="408"/>
      <c r="I238" s="408"/>
      <c r="J238" s="408"/>
      <c r="K238" s="408"/>
      <c r="L238" s="408"/>
      <c r="M238" s="408"/>
      <c r="N238" s="408"/>
      <c r="O238" s="408"/>
      <c r="P238" s="408"/>
      <c r="Q238" s="408"/>
      <c r="R238" s="408"/>
      <c r="S238" s="408"/>
    </row>
    <row r="239" spans="1:19" x14ac:dyDescent="0.2">
      <c r="A239" s="408"/>
      <c r="B239" s="408"/>
      <c r="C239" s="408"/>
      <c r="D239" s="408"/>
      <c r="E239" s="408"/>
      <c r="F239" s="408"/>
      <c r="G239" s="408"/>
      <c r="H239" s="408"/>
      <c r="I239" s="408"/>
      <c r="J239" s="408"/>
      <c r="K239" s="408"/>
      <c r="L239" s="408"/>
      <c r="M239" s="408"/>
      <c r="N239" s="408"/>
      <c r="O239" s="408"/>
      <c r="P239" s="408"/>
      <c r="Q239" s="408"/>
      <c r="R239" s="408"/>
      <c r="S239" s="408"/>
    </row>
    <row r="240" spans="1:19" x14ac:dyDescent="0.2">
      <c r="A240" s="408"/>
      <c r="B240" s="408"/>
      <c r="C240" s="408"/>
      <c r="D240" s="408"/>
      <c r="E240" s="408"/>
      <c r="F240" s="408"/>
      <c r="G240" s="408"/>
      <c r="H240" s="408"/>
      <c r="I240" s="408"/>
      <c r="J240" s="408"/>
      <c r="K240" s="408"/>
      <c r="L240" s="408"/>
      <c r="M240" s="408"/>
      <c r="N240" s="408"/>
      <c r="O240" s="408"/>
      <c r="P240" s="408"/>
      <c r="Q240" s="408"/>
      <c r="R240" s="408"/>
      <c r="S240" s="408"/>
    </row>
    <row r="241" spans="1:19" x14ac:dyDescent="0.2">
      <c r="A241" s="408"/>
      <c r="B241" s="408"/>
      <c r="C241" s="408"/>
      <c r="D241" s="408"/>
      <c r="E241" s="408"/>
      <c r="F241" s="408"/>
      <c r="G241" s="408"/>
      <c r="H241" s="408"/>
      <c r="I241" s="408"/>
      <c r="J241" s="408"/>
      <c r="K241" s="408"/>
      <c r="L241" s="408"/>
      <c r="M241" s="408"/>
      <c r="N241" s="408"/>
      <c r="O241" s="408"/>
      <c r="P241" s="408"/>
      <c r="Q241" s="408"/>
      <c r="R241" s="408"/>
      <c r="S241" s="408"/>
    </row>
    <row r="242" spans="1:19" x14ac:dyDescent="0.2">
      <c r="A242" s="408"/>
      <c r="B242" s="408"/>
      <c r="C242" s="408"/>
      <c r="D242" s="408"/>
      <c r="E242" s="408"/>
      <c r="F242" s="408"/>
      <c r="G242" s="408"/>
      <c r="H242" s="408"/>
      <c r="I242" s="408"/>
      <c r="J242" s="408"/>
      <c r="K242" s="408"/>
      <c r="L242" s="408"/>
      <c r="M242" s="408"/>
      <c r="N242" s="408"/>
      <c r="O242" s="408"/>
      <c r="P242" s="408"/>
      <c r="Q242" s="408"/>
      <c r="R242" s="408"/>
      <c r="S242" s="408"/>
    </row>
    <row r="243" spans="1:19" x14ac:dyDescent="0.2">
      <c r="A243" s="408"/>
      <c r="B243" s="408"/>
      <c r="C243" s="408"/>
      <c r="D243" s="408"/>
      <c r="E243" s="408"/>
      <c r="F243" s="408"/>
      <c r="G243" s="408"/>
      <c r="H243" s="408"/>
      <c r="I243" s="408"/>
      <c r="J243" s="408"/>
      <c r="K243" s="408"/>
      <c r="L243" s="408"/>
      <c r="M243" s="408"/>
      <c r="N243" s="408"/>
      <c r="O243" s="408"/>
      <c r="P243" s="408"/>
      <c r="Q243" s="408"/>
      <c r="R243" s="408"/>
      <c r="S243" s="408"/>
    </row>
    <row r="244" spans="1:19" x14ac:dyDescent="0.2">
      <c r="A244" s="408"/>
      <c r="B244" s="408"/>
      <c r="C244" s="408"/>
      <c r="D244" s="408"/>
      <c r="E244" s="408"/>
      <c r="F244" s="408"/>
      <c r="G244" s="408"/>
      <c r="H244" s="408"/>
      <c r="I244" s="408"/>
      <c r="J244" s="408"/>
      <c r="K244" s="408"/>
      <c r="L244" s="408"/>
      <c r="M244" s="408"/>
      <c r="N244" s="408"/>
      <c r="O244" s="408"/>
      <c r="P244" s="408"/>
      <c r="Q244" s="408"/>
      <c r="R244" s="408"/>
      <c r="S244" s="408"/>
    </row>
    <row r="245" spans="1:19" x14ac:dyDescent="0.2">
      <c r="A245" s="408"/>
      <c r="B245" s="408"/>
      <c r="C245" s="408"/>
      <c r="D245" s="408"/>
      <c r="E245" s="408"/>
      <c r="F245" s="408"/>
      <c r="G245" s="408"/>
      <c r="H245" s="408"/>
      <c r="I245" s="408"/>
      <c r="J245" s="408"/>
      <c r="K245" s="408"/>
      <c r="L245" s="408"/>
      <c r="M245" s="408"/>
      <c r="N245" s="408"/>
      <c r="O245" s="408"/>
      <c r="P245" s="408"/>
      <c r="Q245" s="408"/>
      <c r="R245" s="408"/>
      <c r="S245" s="408"/>
    </row>
    <row r="246" spans="1:19" x14ac:dyDescent="0.2">
      <c r="A246" s="408"/>
      <c r="B246" s="408"/>
      <c r="C246" s="408"/>
      <c r="D246" s="408"/>
      <c r="E246" s="408"/>
      <c r="F246" s="408"/>
      <c r="G246" s="408"/>
      <c r="H246" s="408"/>
      <c r="I246" s="408"/>
      <c r="J246" s="408"/>
      <c r="K246" s="408"/>
      <c r="L246" s="408"/>
      <c r="M246" s="408"/>
      <c r="N246" s="408"/>
      <c r="O246" s="408"/>
      <c r="P246" s="408"/>
      <c r="Q246" s="408"/>
      <c r="R246" s="408"/>
      <c r="S246" s="408"/>
    </row>
    <row r="247" spans="1:19" x14ac:dyDescent="0.2">
      <c r="A247" s="408"/>
      <c r="B247" s="408"/>
      <c r="C247" s="408"/>
      <c r="D247" s="408"/>
      <c r="E247" s="408"/>
      <c r="F247" s="408"/>
      <c r="G247" s="408"/>
      <c r="H247" s="408"/>
      <c r="I247" s="408"/>
      <c r="J247" s="408"/>
      <c r="K247" s="408"/>
      <c r="L247" s="408"/>
      <c r="M247" s="408"/>
      <c r="N247" s="408"/>
      <c r="O247" s="408"/>
      <c r="P247" s="408"/>
      <c r="Q247" s="408"/>
      <c r="R247" s="408"/>
      <c r="S247" s="408"/>
    </row>
    <row r="248" spans="1:19" x14ac:dyDescent="0.2">
      <c r="A248" s="408"/>
      <c r="B248" s="408"/>
      <c r="C248" s="408"/>
      <c r="D248" s="408"/>
      <c r="E248" s="408"/>
      <c r="F248" s="408"/>
      <c r="G248" s="408"/>
      <c r="H248" s="408"/>
      <c r="I248" s="408"/>
      <c r="J248" s="408"/>
      <c r="K248" s="408"/>
      <c r="L248" s="408"/>
      <c r="M248" s="408"/>
      <c r="N248" s="408"/>
      <c r="O248" s="408"/>
      <c r="P248" s="408"/>
      <c r="Q248" s="408"/>
      <c r="R248" s="408"/>
      <c r="S248" s="408"/>
    </row>
    <row r="249" spans="1:19" x14ac:dyDescent="0.2">
      <c r="A249" s="408"/>
      <c r="B249" s="408"/>
      <c r="C249" s="408"/>
      <c r="D249" s="408"/>
      <c r="E249" s="408"/>
      <c r="F249" s="408"/>
      <c r="G249" s="408"/>
      <c r="H249" s="408"/>
      <c r="I249" s="408"/>
      <c r="J249" s="408"/>
      <c r="K249" s="408"/>
      <c r="L249" s="408"/>
      <c r="M249" s="408"/>
      <c r="N249" s="408"/>
      <c r="O249" s="408"/>
      <c r="P249" s="408"/>
      <c r="Q249" s="408"/>
      <c r="R249" s="408"/>
      <c r="S249" s="408"/>
    </row>
    <row r="250" spans="1:19" x14ac:dyDescent="0.2">
      <c r="A250" s="408"/>
      <c r="B250" s="408"/>
      <c r="C250" s="408"/>
      <c r="D250" s="408"/>
      <c r="E250" s="408"/>
      <c r="F250" s="408"/>
      <c r="G250" s="408"/>
      <c r="H250" s="408"/>
      <c r="I250" s="408"/>
      <c r="J250" s="408"/>
      <c r="K250" s="408"/>
      <c r="L250" s="408"/>
      <c r="M250" s="408"/>
      <c r="N250" s="408"/>
      <c r="O250" s="408"/>
      <c r="P250" s="408"/>
      <c r="Q250" s="408"/>
      <c r="R250" s="408"/>
      <c r="S250" s="408"/>
    </row>
    <row r="251" spans="1:19" x14ac:dyDescent="0.2">
      <c r="A251" s="408"/>
      <c r="B251" s="408"/>
      <c r="C251" s="408"/>
      <c r="D251" s="408"/>
      <c r="E251" s="408"/>
      <c r="F251" s="408"/>
      <c r="G251" s="408"/>
      <c r="H251" s="408"/>
      <c r="I251" s="408"/>
      <c r="J251" s="408"/>
      <c r="K251" s="408"/>
      <c r="L251" s="408"/>
      <c r="M251" s="408"/>
      <c r="N251" s="408"/>
      <c r="O251" s="408"/>
      <c r="P251" s="408"/>
      <c r="Q251" s="408"/>
      <c r="R251" s="408"/>
      <c r="S251" s="408"/>
    </row>
    <row r="252" spans="1:19" x14ac:dyDescent="0.2">
      <c r="A252" s="408"/>
      <c r="B252" s="408"/>
      <c r="C252" s="408"/>
      <c r="D252" s="408"/>
      <c r="E252" s="408"/>
      <c r="F252" s="408"/>
      <c r="G252" s="408"/>
      <c r="H252" s="408"/>
      <c r="I252" s="408"/>
      <c r="J252" s="408"/>
      <c r="K252" s="408"/>
      <c r="L252" s="408"/>
      <c r="M252" s="408"/>
      <c r="N252" s="408"/>
      <c r="O252" s="408"/>
      <c r="P252" s="408"/>
      <c r="Q252" s="408"/>
      <c r="R252" s="408"/>
      <c r="S252" s="408"/>
    </row>
    <row r="253" spans="1:19" x14ac:dyDescent="0.2">
      <c r="A253" s="408"/>
      <c r="B253" s="408"/>
      <c r="C253" s="408"/>
      <c r="D253" s="408"/>
      <c r="E253" s="408"/>
      <c r="F253" s="408"/>
      <c r="G253" s="408"/>
      <c r="H253" s="408"/>
      <c r="I253" s="408"/>
      <c r="J253" s="408"/>
      <c r="K253" s="408"/>
      <c r="L253" s="408"/>
      <c r="M253" s="408"/>
      <c r="N253" s="408"/>
      <c r="O253" s="408"/>
      <c r="P253" s="408"/>
      <c r="Q253" s="408"/>
      <c r="R253" s="408"/>
      <c r="S253" s="408"/>
    </row>
    <row r="254" spans="1:19" x14ac:dyDescent="0.2">
      <c r="A254" s="408"/>
      <c r="B254" s="408"/>
      <c r="C254" s="408"/>
      <c r="D254" s="408"/>
      <c r="E254" s="408"/>
      <c r="F254" s="408"/>
      <c r="G254" s="408"/>
      <c r="H254" s="408"/>
      <c r="I254" s="408"/>
      <c r="J254" s="408"/>
      <c r="K254" s="408"/>
      <c r="L254" s="408"/>
      <c r="M254" s="408"/>
      <c r="N254" s="408"/>
      <c r="O254" s="408"/>
      <c r="P254" s="408"/>
      <c r="Q254" s="408"/>
      <c r="R254" s="408"/>
      <c r="S254" s="408"/>
    </row>
    <row r="255" spans="1:19" x14ac:dyDescent="0.2">
      <c r="A255" s="408"/>
      <c r="B255" s="408"/>
      <c r="C255" s="408"/>
      <c r="D255" s="408"/>
      <c r="E255" s="408"/>
      <c r="F255" s="408"/>
      <c r="G255" s="408"/>
      <c r="H255" s="408"/>
      <c r="I255" s="408"/>
      <c r="J255" s="408"/>
      <c r="K255" s="408"/>
      <c r="L255" s="408"/>
      <c r="M255" s="408"/>
      <c r="N255" s="408"/>
      <c r="O255" s="408"/>
      <c r="P255" s="408"/>
      <c r="Q255" s="408"/>
      <c r="R255" s="408"/>
      <c r="S255" s="408"/>
    </row>
    <row r="256" spans="1:19" x14ac:dyDescent="0.2">
      <c r="A256" s="408"/>
      <c r="B256" s="408"/>
      <c r="C256" s="408"/>
      <c r="D256" s="408"/>
      <c r="E256" s="408"/>
      <c r="F256" s="408"/>
      <c r="G256" s="408"/>
      <c r="H256" s="408"/>
      <c r="I256" s="408"/>
      <c r="J256" s="408"/>
      <c r="K256" s="408"/>
      <c r="L256" s="408"/>
      <c r="M256" s="408"/>
      <c r="N256" s="408"/>
      <c r="O256" s="408"/>
      <c r="P256" s="408"/>
      <c r="Q256" s="408"/>
      <c r="R256" s="408"/>
      <c r="S256" s="408"/>
    </row>
    <row r="257" spans="1:19" x14ac:dyDescent="0.2">
      <c r="A257" s="408"/>
      <c r="B257" s="408"/>
      <c r="C257" s="408"/>
      <c r="D257" s="408"/>
      <c r="E257" s="408"/>
      <c r="F257" s="408"/>
      <c r="G257" s="408"/>
      <c r="H257" s="408"/>
      <c r="I257" s="408"/>
      <c r="J257" s="408"/>
      <c r="K257" s="408"/>
      <c r="L257" s="408"/>
      <c r="M257" s="408"/>
      <c r="N257" s="408"/>
      <c r="O257" s="408"/>
      <c r="P257" s="408"/>
      <c r="Q257" s="408"/>
      <c r="R257" s="408"/>
      <c r="S257" s="408"/>
    </row>
    <row r="258" spans="1:19" x14ac:dyDescent="0.2">
      <c r="A258" s="408"/>
      <c r="B258" s="408"/>
      <c r="C258" s="408"/>
      <c r="D258" s="408"/>
      <c r="E258" s="408"/>
      <c r="F258" s="408"/>
      <c r="G258" s="408"/>
      <c r="H258" s="408"/>
      <c r="I258" s="408"/>
      <c r="J258" s="408"/>
      <c r="K258" s="408"/>
      <c r="L258" s="408"/>
      <c r="M258" s="408"/>
      <c r="N258" s="408"/>
      <c r="O258" s="408"/>
      <c r="P258" s="408"/>
      <c r="Q258" s="408"/>
      <c r="R258" s="408"/>
      <c r="S258" s="408"/>
    </row>
    <row r="259" spans="1:19" x14ac:dyDescent="0.2">
      <c r="A259" s="408"/>
      <c r="B259" s="408"/>
      <c r="C259" s="408"/>
      <c r="D259" s="408"/>
      <c r="E259" s="408"/>
      <c r="F259" s="408"/>
      <c r="G259" s="408"/>
      <c r="H259" s="408"/>
      <c r="I259" s="408"/>
      <c r="J259" s="408"/>
      <c r="K259" s="408"/>
      <c r="L259" s="408"/>
      <c r="M259" s="408"/>
      <c r="N259" s="408"/>
      <c r="O259" s="408"/>
      <c r="P259" s="408"/>
      <c r="Q259" s="408"/>
      <c r="R259" s="408"/>
      <c r="S259" s="408"/>
    </row>
    <row r="260" spans="1:19" x14ac:dyDescent="0.2">
      <c r="A260" s="408"/>
      <c r="B260" s="408"/>
      <c r="C260" s="408"/>
      <c r="D260" s="408"/>
      <c r="E260" s="408"/>
      <c r="F260" s="408"/>
      <c r="G260" s="408"/>
      <c r="H260" s="408"/>
      <c r="I260" s="408"/>
      <c r="J260" s="408"/>
      <c r="K260" s="408"/>
      <c r="L260" s="408"/>
      <c r="M260" s="408"/>
      <c r="N260" s="408"/>
      <c r="O260" s="408"/>
      <c r="P260" s="408"/>
      <c r="Q260" s="408"/>
      <c r="R260" s="408"/>
      <c r="S260" s="408"/>
    </row>
    <row r="261" spans="1:19" x14ac:dyDescent="0.2">
      <c r="A261" s="408"/>
      <c r="B261" s="408"/>
      <c r="C261" s="408"/>
      <c r="D261" s="408"/>
      <c r="E261" s="408"/>
      <c r="F261" s="408"/>
      <c r="G261" s="408"/>
      <c r="H261" s="408"/>
      <c r="I261" s="408"/>
      <c r="J261" s="408"/>
      <c r="K261" s="408"/>
      <c r="L261" s="408"/>
      <c r="M261" s="408"/>
      <c r="N261" s="408"/>
      <c r="O261" s="408"/>
      <c r="P261" s="408"/>
      <c r="Q261" s="408"/>
      <c r="R261" s="408"/>
      <c r="S261" s="408"/>
    </row>
    <row r="262" spans="1:19" x14ac:dyDescent="0.2">
      <c r="A262" s="408"/>
      <c r="B262" s="408"/>
      <c r="C262" s="408"/>
      <c r="D262" s="408"/>
      <c r="E262" s="408"/>
      <c r="F262" s="408"/>
      <c r="G262" s="408"/>
      <c r="H262" s="408"/>
      <c r="I262" s="408"/>
      <c r="J262" s="408"/>
      <c r="K262" s="408"/>
      <c r="L262" s="408"/>
      <c r="M262" s="408"/>
      <c r="N262" s="408"/>
      <c r="O262" s="408"/>
      <c r="P262" s="408"/>
      <c r="Q262" s="408"/>
      <c r="R262" s="408"/>
      <c r="S262" s="408"/>
    </row>
    <row r="263" spans="1:19" x14ac:dyDescent="0.2">
      <c r="A263" s="408"/>
      <c r="B263" s="408"/>
      <c r="C263" s="408"/>
      <c r="D263" s="408"/>
      <c r="E263" s="408"/>
      <c r="F263" s="408"/>
      <c r="G263" s="408"/>
      <c r="H263" s="408"/>
      <c r="I263" s="408"/>
      <c r="J263" s="408"/>
      <c r="K263" s="408"/>
      <c r="L263" s="408"/>
      <c r="M263" s="408"/>
      <c r="N263" s="408"/>
      <c r="O263" s="408"/>
      <c r="P263" s="408"/>
      <c r="Q263" s="408"/>
      <c r="R263" s="408"/>
      <c r="S263" s="408"/>
    </row>
    <row r="264" spans="1:19" x14ac:dyDescent="0.2">
      <c r="A264" s="408"/>
      <c r="B264" s="408"/>
      <c r="C264" s="408"/>
      <c r="D264" s="408"/>
      <c r="E264" s="408"/>
      <c r="F264" s="408"/>
      <c r="G264" s="408"/>
      <c r="H264" s="408"/>
      <c r="I264" s="408"/>
      <c r="J264" s="408"/>
      <c r="K264" s="408"/>
      <c r="L264" s="408"/>
      <c r="M264" s="408"/>
      <c r="N264" s="408"/>
      <c r="O264" s="408"/>
      <c r="P264" s="408"/>
      <c r="Q264" s="408"/>
      <c r="R264" s="408"/>
      <c r="S264" s="408"/>
    </row>
    <row r="265" spans="1:19" x14ac:dyDescent="0.2">
      <c r="A265" s="408"/>
      <c r="B265" s="408"/>
      <c r="C265" s="408"/>
      <c r="D265" s="408"/>
      <c r="E265" s="408"/>
      <c r="F265" s="408"/>
      <c r="G265" s="408"/>
      <c r="H265" s="408"/>
      <c r="I265" s="408"/>
      <c r="J265" s="408"/>
      <c r="K265" s="408"/>
      <c r="L265" s="408"/>
      <c r="M265" s="408"/>
      <c r="N265" s="408"/>
      <c r="O265" s="408"/>
      <c r="P265" s="408"/>
      <c r="Q265" s="408"/>
      <c r="R265" s="408"/>
      <c r="S265" s="408"/>
    </row>
    <row r="266" spans="1:19" x14ac:dyDescent="0.2">
      <c r="A266" s="408"/>
      <c r="B266" s="408"/>
      <c r="C266" s="408"/>
      <c r="D266" s="408"/>
      <c r="E266" s="408"/>
      <c r="F266" s="408"/>
      <c r="G266" s="408"/>
      <c r="H266" s="408"/>
      <c r="I266" s="408"/>
      <c r="J266" s="408"/>
      <c r="K266" s="408"/>
      <c r="L266" s="408"/>
      <c r="M266" s="408"/>
      <c r="N266" s="408"/>
      <c r="O266" s="408"/>
      <c r="P266" s="408"/>
      <c r="Q266" s="408"/>
      <c r="R266" s="408"/>
      <c r="S266" s="408"/>
    </row>
    <row r="267" spans="1:19" x14ac:dyDescent="0.2">
      <c r="A267" s="408"/>
      <c r="B267" s="408"/>
      <c r="C267" s="408"/>
      <c r="D267" s="408"/>
      <c r="E267" s="408"/>
      <c r="F267" s="408"/>
      <c r="G267" s="408"/>
      <c r="H267" s="408"/>
      <c r="I267" s="408"/>
      <c r="J267" s="408"/>
      <c r="K267" s="408"/>
      <c r="L267" s="408"/>
      <c r="M267" s="408"/>
      <c r="N267" s="408"/>
      <c r="O267" s="408"/>
      <c r="P267" s="408"/>
      <c r="Q267" s="408"/>
      <c r="R267" s="408"/>
      <c r="S267" s="408"/>
    </row>
    <row r="268" spans="1:19" x14ac:dyDescent="0.2">
      <c r="A268" s="408"/>
      <c r="B268" s="408"/>
      <c r="C268" s="408"/>
      <c r="D268" s="408"/>
      <c r="E268" s="408"/>
      <c r="F268" s="408"/>
      <c r="G268" s="408"/>
      <c r="H268" s="408"/>
      <c r="I268" s="408"/>
      <c r="J268" s="408"/>
      <c r="K268" s="408"/>
      <c r="L268" s="408"/>
      <c r="M268" s="408"/>
      <c r="N268" s="408"/>
      <c r="O268" s="408"/>
      <c r="P268" s="408"/>
      <c r="Q268" s="408"/>
      <c r="R268" s="408"/>
      <c r="S268" s="408"/>
    </row>
    <row r="269" spans="1:19" x14ac:dyDescent="0.2">
      <c r="A269" s="408"/>
      <c r="B269" s="408"/>
      <c r="C269" s="408"/>
      <c r="D269" s="408"/>
      <c r="E269" s="408"/>
      <c r="F269" s="408"/>
      <c r="G269" s="408"/>
      <c r="H269" s="408"/>
      <c r="I269" s="408"/>
      <c r="J269" s="408"/>
      <c r="K269" s="408"/>
      <c r="L269" s="408"/>
      <c r="M269" s="408"/>
      <c r="N269" s="408"/>
      <c r="O269" s="408"/>
      <c r="P269" s="408"/>
      <c r="Q269" s="408"/>
      <c r="R269" s="408"/>
      <c r="S269" s="408"/>
    </row>
    <row r="270" spans="1:19" x14ac:dyDescent="0.2">
      <c r="A270" s="408"/>
      <c r="B270" s="408"/>
      <c r="C270" s="408"/>
      <c r="D270" s="408"/>
      <c r="E270" s="408"/>
      <c r="F270" s="408"/>
      <c r="G270" s="408"/>
      <c r="H270" s="408"/>
      <c r="I270" s="408"/>
      <c r="J270" s="408"/>
      <c r="K270" s="408"/>
      <c r="L270" s="408"/>
      <c r="M270" s="408"/>
      <c r="N270" s="408"/>
      <c r="O270" s="408"/>
      <c r="P270" s="408"/>
      <c r="Q270" s="408"/>
      <c r="R270" s="408"/>
      <c r="S270" s="408"/>
    </row>
    <row r="271" spans="1:19" x14ac:dyDescent="0.2">
      <c r="A271" s="408"/>
      <c r="B271" s="408"/>
      <c r="C271" s="408"/>
      <c r="D271" s="408"/>
      <c r="E271" s="408"/>
      <c r="F271" s="408"/>
      <c r="G271" s="408"/>
      <c r="H271" s="408"/>
      <c r="I271" s="408"/>
      <c r="J271" s="408"/>
      <c r="K271" s="408"/>
      <c r="L271" s="408"/>
      <c r="M271" s="408"/>
      <c r="N271" s="408"/>
      <c r="O271" s="408"/>
      <c r="P271" s="408"/>
      <c r="Q271" s="408"/>
      <c r="R271" s="408"/>
      <c r="S271" s="408"/>
    </row>
    <row r="272" spans="1:19" x14ac:dyDescent="0.2">
      <c r="A272" s="408"/>
      <c r="B272" s="408"/>
      <c r="C272" s="408"/>
      <c r="D272" s="408"/>
      <c r="E272" s="408"/>
      <c r="F272" s="408"/>
      <c r="G272" s="408"/>
      <c r="H272" s="408"/>
      <c r="I272" s="408"/>
      <c r="J272" s="408"/>
      <c r="K272" s="408"/>
      <c r="L272" s="408"/>
      <c r="M272" s="408"/>
      <c r="N272" s="408"/>
      <c r="O272" s="408"/>
      <c r="P272" s="408"/>
      <c r="Q272" s="408"/>
      <c r="R272" s="408"/>
      <c r="S272" s="408"/>
    </row>
    <row r="273" spans="1:19" x14ac:dyDescent="0.2">
      <c r="A273" s="408"/>
      <c r="B273" s="408"/>
      <c r="C273" s="408"/>
      <c r="D273" s="408"/>
      <c r="E273" s="408"/>
      <c r="F273" s="408"/>
      <c r="G273" s="408"/>
      <c r="H273" s="408"/>
      <c r="I273" s="408"/>
      <c r="J273" s="408"/>
      <c r="K273" s="408"/>
      <c r="L273" s="408"/>
      <c r="M273" s="408"/>
      <c r="N273" s="408"/>
      <c r="O273" s="408"/>
      <c r="P273" s="408"/>
      <c r="Q273" s="408"/>
      <c r="R273" s="408"/>
      <c r="S273" s="408"/>
    </row>
    <row r="274" spans="1:19" x14ac:dyDescent="0.2">
      <c r="A274" s="408"/>
      <c r="B274" s="408"/>
      <c r="C274" s="408"/>
      <c r="D274" s="408"/>
      <c r="E274" s="408"/>
      <c r="F274" s="408"/>
      <c r="G274" s="408"/>
      <c r="H274" s="408"/>
      <c r="I274" s="408"/>
      <c r="J274" s="408"/>
      <c r="K274" s="408"/>
      <c r="L274" s="408"/>
      <c r="M274" s="408"/>
      <c r="N274" s="408"/>
      <c r="O274" s="408"/>
      <c r="P274" s="408"/>
      <c r="Q274" s="408"/>
      <c r="R274" s="408"/>
      <c r="S274" s="408"/>
    </row>
    <row r="275" spans="1:19" x14ac:dyDescent="0.2">
      <c r="A275" s="408"/>
      <c r="B275" s="408"/>
      <c r="C275" s="408"/>
      <c r="D275" s="408"/>
      <c r="E275" s="408"/>
      <c r="F275" s="408"/>
      <c r="G275" s="408"/>
      <c r="H275" s="408"/>
      <c r="I275" s="408"/>
      <c r="J275" s="408"/>
      <c r="K275" s="408"/>
      <c r="L275" s="408"/>
      <c r="M275" s="408"/>
      <c r="N275" s="408"/>
      <c r="O275" s="408"/>
      <c r="P275" s="408"/>
      <c r="Q275" s="408"/>
      <c r="R275" s="408"/>
      <c r="S275" s="408"/>
    </row>
    <row r="276" spans="1:19" x14ac:dyDescent="0.2">
      <c r="A276" s="408"/>
      <c r="B276" s="408"/>
      <c r="C276" s="408"/>
      <c r="D276" s="408"/>
      <c r="E276" s="408"/>
      <c r="F276" s="408"/>
      <c r="G276" s="408"/>
      <c r="H276" s="408"/>
      <c r="I276" s="408"/>
      <c r="J276" s="408"/>
      <c r="K276" s="408"/>
      <c r="L276" s="408"/>
      <c r="M276" s="408"/>
      <c r="N276" s="408"/>
      <c r="O276" s="408"/>
      <c r="P276" s="408"/>
      <c r="Q276" s="408"/>
      <c r="R276" s="408"/>
      <c r="S276" s="408"/>
    </row>
    <row r="277" spans="1:19" x14ac:dyDescent="0.2">
      <c r="A277" s="408"/>
      <c r="B277" s="408"/>
      <c r="C277" s="408"/>
      <c r="D277" s="408"/>
      <c r="E277" s="408"/>
      <c r="F277" s="408"/>
      <c r="G277" s="408"/>
      <c r="H277" s="408"/>
      <c r="I277" s="408"/>
      <c r="J277" s="408"/>
      <c r="K277" s="408"/>
      <c r="L277" s="408"/>
      <c r="M277" s="408"/>
      <c r="N277" s="408"/>
      <c r="O277" s="408"/>
      <c r="P277" s="408"/>
      <c r="Q277" s="408"/>
      <c r="R277" s="408"/>
      <c r="S277" s="408"/>
    </row>
    <row r="278" spans="1:19" x14ac:dyDescent="0.2">
      <c r="A278" s="408"/>
      <c r="B278" s="408"/>
      <c r="C278" s="408"/>
      <c r="D278" s="408"/>
      <c r="E278" s="408"/>
      <c r="F278" s="408"/>
      <c r="G278" s="408"/>
      <c r="H278" s="408"/>
      <c r="I278" s="408"/>
      <c r="J278" s="408"/>
      <c r="K278" s="408"/>
      <c r="L278" s="408"/>
      <c r="M278" s="408"/>
      <c r="N278" s="408"/>
      <c r="O278" s="408"/>
      <c r="P278" s="408"/>
      <c r="Q278" s="408"/>
      <c r="R278" s="408"/>
      <c r="S278" s="408"/>
    </row>
    <row r="279" spans="1:19" x14ac:dyDescent="0.2">
      <c r="A279" s="408"/>
      <c r="B279" s="408"/>
      <c r="C279" s="408"/>
      <c r="D279" s="408"/>
      <c r="E279" s="408"/>
      <c r="F279" s="408"/>
      <c r="G279" s="408"/>
      <c r="H279" s="408"/>
      <c r="I279" s="408"/>
      <c r="J279" s="408"/>
      <c r="K279" s="408"/>
      <c r="L279" s="408"/>
      <c r="M279" s="408"/>
      <c r="N279" s="408"/>
      <c r="O279" s="408"/>
      <c r="P279" s="408"/>
      <c r="Q279" s="408"/>
      <c r="R279" s="408"/>
      <c r="S279" s="408"/>
    </row>
    <row r="280" spans="1:19" x14ac:dyDescent="0.2">
      <c r="A280" s="408"/>
      <c r="B280" s="408"/>
      <c r="C280" s="408"/>
      <c r="D280" s="408"/>
      <c r="E280" s="408"/>
      <c r="F280" s="408"/>
      <c r="G280" s="408"/>
      <c r="H280" s="408"/>
      <c r="I280" s="408"/>
      <c r="J280" s="408"/>
      <c r="K280" s="408"/>
      <c r="L280" s="408"/>
      <c r="M280" s="408"/>
      <c r="N280" s="408"/>
      <c r="O280" s="408"/>
      <c r="P280" s="408"/>
      <c r="Q280" s="408"/>
      <c r="R280" s="408"/>
      <c r="S280" s="408"/>
    </row>
    <row r="281" spans="1:19" x14ac:dyDescent="0.2">
      <c r="A281" s="408"/>
      <c r="B281" s="408"/>
      <c r="C281" s="408"/>
      <c r="D281" s="408"/>
      <c r="E281" s="408"/>
      <c r="F281" s="408"/>
      <c r="G281" s="408"/>
      <c r="H281" s="408"/>
      <c r="I281" s="408"/>
      <c r="J281" s="408"/>
      <c r="K281" s="408"/>
      <c r="L281" s="408"/>
      <c r="M281" s="408"/>
      <c r="N281" s="408"/>
      <c r="O281" s="408"/>
      <c r="P281" s="408"/>
      <c r="Q281" s="408"/>
      <c r="R281" s="408"/>
      <c r="S281" s="408"/>
    </row>
    <row r="282" spans="1:19" x14ac:dyDescent="0.2">
      <c r="A282" s="408"/>
      <c r="B282" s="408"/>
      <c r="C282" s="408"/>
      <c r="D282" s="408"/>
      <c r="E282" s="408"/>
      <c r="F282" s="408"/>
      <c r="G282" s="408"/>
      <c r="H282" s="408"/>
      <c r="I282" s="408"/>
      <c r="J282" s="408"/>
      <c r="K282" s="408"/>
      <c r="L282" s="408"/>
      <c r="M282" s="408"/>
      <c r="N282" s="408"/>
      <c r="O282" s="408"/>
      <c r="P282" s="408"/>
      <c r="Q282" s="408"/>
      <c r="R282" s="408"/>
      <c r="S282" s="408"/>
    </row>
    <row r="283" spans="1:19" x14ac:dyDescent="0.2">
      <c r="A283" s="408"/>
      <c r="B283" s="408"/>
      <c r="C283" s="408"/>
      <c r="D283" s="408"/>
      <c r="E283" s="408"/>
      <c r="F283" s="408"/>
      <c r="G283" s="408"/>
      <c r="H283" s="408"/>
      <c r="I283" s="408"/>
      <c r="J283" s="408"/>
      <c r="K283" s="408"/>
      <c r="L283" s="408"/>
      <c r="M283" s="408"/>
      <c r="N283" s="408"/>
      <c r="O283" s="408"/>
      <c r="P283" s="408"/>
      <c r="Q283" s="408"/>
      <c r="R283" s="408"/>
      <c r="S283" s="408"/>
    </row>
    <row r="284" spans="1:19" x14ac:dyDescent="0.2">
      <c r="A284" s="408"/>
      <c r="B284" s="408"/>
      <c r="C284" s="408"/>
      <c r="D284" s="408"/>
      <c r="E284" s="408"/>
      <c r="F284" s="408"/>
      <c r="G284" s="408"/>
      <c r="H284" s="408"/>
      <c r="I284" s="408"/>
      <c r="J284" s="408"/>
      <c r="K284" s="408"/>
      <c r="L284" s="408"/>
      <c r="M284" s="408"/>
      <c r="N284" s="408"/>
      <c r="O284" s="408"/>
      <c r="P284" s="408"/>
      <c r="Q284" s="408"/>
      <c r="R284" s="408"/>
      <c r="S284" s="408"/>
    </row>
    <row r="285" spans="1:19" x14ac:dyDescent="0.2">
      <c r="A285" s="408"/>
      <c r="B285" s="408"/>
      <c r="C285" s="408"/>
      <c r="D285" s="408"/>
      <c r="E285" s="408"/>
      <c r="F285" s="408"/>
      <c r="G285" s="408"/>
      <c r="H285" s="408"/>
      <c r="I285" s="408"/>
      <c r="J285" s="408"/>
      <c r="K285" s="408"/>
      <c r="L285" s="408"/>
      <c r="M285" s="408"/>
      <c r="N285" s="408"/>
      <c r="O285" s="408"/>
      <c r="P285" s="408"/>
      <c r="Q285" s="408"/>
      <c r="R285" s="408"/>
      <c r="S285" s="408"/>
    </row>
    <row r="286" spans="1:19" x14ac:dyDescent="0.2">
      <c r="A286" s="408"/>
      <c r="B286" s="408"/>
      <c r="C286" s="408"/>
      <c r="D286" s="408"/>
      <c r="E286" s="408"/>
      <c r="F286" s="408"/>
      <c r="G286" s="408"/>
      <c r="H286" s="408"/>
      <c r="I286" s="408"/>
      <c r="J286" s="408"/>
      <c r="K286" s="408"/>
      <c r="L286" s="408"/>
      <c r="M286" s="408"/>
      <c r="N286" s="408"/>
      <c r="O286" s="408"/>
      <c r="P286" s="408"/>
      <c r="Q286" s="408"/>
      <c r="R286" s="408"/>
      <c r="S286" s="408"/>
    </row>
    <row r="287" spans="1:19" x14ac:dyDescent="0.2">
      <c r="A287" s="408"/>
      <c r="B287" s="408"/>
      <c r="C287" s="408"/>
      <c r="D287" s="408"/>
      <c r="E287" s="408"/>
      <c r="F287" s="408"/>
      <c r="G287" s="408"/>
      <c r="H287" s="408"/>
      <c r="I287" s="408"/>
      <c r="J287" s="408"/>
      <c r="K287" s="408"/>
      <c r="L287" s="408"/>
      <c r="M287" s="408"/>
      <c r="N287" s="408"/>
      <c r="O287" s="408"/>
      <c r="P287" s="408"/>
      <c r="Q287" s="408"/>
      <c r="R287" s="408"/>
      <c r="S287" s="408"/>
    </row>
    <row r="288" spans="1:19" x14ac:dyDescent="0.2">
      <c r="A288" s="408"/>
      <c r="B288" s="408"/>
      <c r="C288" s="408"/>
      <c r="D288" s="408"/>
      <c r="E288" s="408"/>
      <c r="F288" s="408"/>
      <c r="G288" s="408"/>
      <c r="H288" s="408"/>
      <c r="I288" s="408"/>
      <c r="J288" s="408"/>
      <c r="K288" s="408"/>
      <c r="L288" s="408"/>
      <c r="M288" s="408"/>
      <c r="N288" s="408"/>
      <c r="O288" s="408"/>
      <c r="P288" s="408"/>
      <c r="Q288" s="408"/>
      <c r="R288" s="408"/>
      <c r="S288" s="408"/>
    </row>
    <row r="289" spans="1:19" x14ac:dyDescent="0.2">
      <c r="A289" s="408"/>
      <c r="B289" s="408"/>
      <c r="C289" s="408"/>
      <c r="D289" s="408"/>
      <c r="E289" s="408"/>
      <c r="F289" s="408"/>
      <c r="G289" s="408"/>
      <c r="H289" s="408"/>
      <c r="I289" s="408"/>
      <c r="J289" s="408"/>
      <c r="K289" s="408"/>
      <c r="L289" s="408"/>
      <c r="M289" s="408"/>
      <c r="N289" s="408"/>
      <c r="O289" s="408"/>
      <c r="P289" s="408"/>
      <c r="Q289" s="408"/>
      <c r="R289" s="408"/>
      <c r="S289" s="408"/>
    </row>
    <row r="290" spans="1:19" x14ac:dyDescent="0.2">
      <c r="A290" s="408"/>
      <c r="B290" s="408"/>
      <c r="C290" s="408"/>
      <c r="D290" s="408"/>
      <c r="E290" s="408"/>
      <c r="F290" s="408"/>
      <c r="G290" s="408"/>
      <c r="H290" s="408"/>
      <c r="I290" s="408"/>
      <c r="J290" s="408"/>
      <c r="K290" s="408"/>
      <c r="L290" s="408"/>
      <c r="M290" s="408"/>
      <c r="N290" s="408"/>
      <c r="O290" s="408"/>
      <c r="P290" s="408"/>
      <c r="Q290" s="408"/>
      <c r="R290" s="408"/>
      <c r="S290" s="408"/>
    </row>
    <row r="291" spans="1:19" x14ac:dyDescent="0.2">
      <c r="I291" s="408"/>
      <c r="J291" s="408"/>
      <c r="K291" s="408"/>
      <c r="L291" s="408"/>
      <c r="M291" s="408"/>
      <c r="N291" s="408"/>
      <c r="O291" s="408"/>
      <c r="P291" s="408"/>
      <c r="Q291" s="408"/>
      <c r="R291" s="408"/>
      <c r="S291" s="408"/>
    </row>
    <row r="292" spans="1:19" x14ac:dyDescent="0.2">
      <c r="I292" s="408"/>
      <c r="J292" s="408"/>
      <c r="K292" s="408"/>
    </row>
  </sheetData>
  <mergeCells count="8">
    <mergeCell ref="L42:Z42"/>
    <mergeCell ref="L50:Z50"/>
    <mergeCell ref="AB1:AC1"/>
    <mergeCell ref="A1:H1"/>
    <mergeCell ref="I1:K1"/>
    <mergeCell ref="L1:Z1"/>
    <mergeCell ref="L23:Z23"/>
    <mergeCell ref="L31:Z31"/>
  </mergeCells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Voed">
    <tabColor rgb="FFFFC000"/>
  </sheetPr>
  <dimension ref="A1:R76"/>
  <sheetViews>
    <sheetView topLeftCell="A32" workbookViewId="0">
      <selection activeCell="C32" sqref="C32"/>
    </sheetView>
  </sheetViews>
  <sheetFormatPr defaultColWidth="9.140625" defaultRowHeight="15" x14ac:dyDescent="0.25"/>
  <cols>
    <col min="1" max="1" width="10.85546875" style="423" bestFit="1" customWidth="1"/>
    <col min="2" max="2" width="32.28515625" style="423" bestFit="1" customWidth="1"/>
    <col min="3" max="14" width="8.28515625" style="423" customWidth="1"/>
    <col min="15" max="15" width="6.7109375" style="423" customWidth="1"/>
    <col min="16" max="16384" width="9.140625" style="423"/>
  </cols>
  <sheetData>
    <row r="1" spans="1:18" x14ac:dyDescent="0.25">
      <c r="B1" s="449"/>
      <c r="C1" s="450" t="s">
        <v>1105</v>
      </c>
      <c r="D1" s="451"/>
      <c r="E1" s="451"/>
      <c r="F1" s="451"/>
      <c r="G1" s="451"/>
      <c r="H1" s="451"/>
      <c r="I1" s="451"/>
      <c r="J1" s="452"/>
    </row>
    <row r="2" spans="1:18" x14ac:dyDescent="0.25">
      <c r="C2" s="453" t="s">
        <v>61</v>
      </c>
      <c r="D2" s="454" t="s">
        <v>160</v>
      </c>
      <c r="E2" s="454" t="s">
        <v>160</v>
      </c>
      <c r="F2" s="454" t="s">
        <v>160</v>
      </c>
      <c r="G2" s="455" t="s">
        <v>160</v>
      </c>
      <c r="H2" s="455" t="s">
        <v>160</v>
      </c>
      <c r="I2" s="455" t="s">
        <v>1106</v>
      </c>
      <c r="J2" s="456" t="s">
        <v>1107</v>
      </c>
    </row>
    <row r="3" spans="1:18" x14ac:dyDescent="0.25">
      <c r="C3" s="457" t="s">
        <v>239</v>
      </c>
      <c r="D3" s="458" t="s">
        <v>240</v>
      </c>
      <c r="E3" s="458" t="s">
        <v>241</v>
      </c>
      <c r="F3" s="458" t="s">
        <v>248</v>
      </c>
      <c r="G3" s="458" t="s">
        <v>242</v>
      </c>
      <c r="H3" s="458" t="s">
        <v>968</v>
      </c>
      <c r="I3" s="458" t="s">
        <v>969</v>
      </c>
      <c r="J3" s="459" t="s">
        <v>622</v>
      </c>
    </row>
    <row r="4" spans="1:18" ht="15.75" thickBot="1" x14ac:dyDescent="0.3">
      <c r="C4" s="460">
        <v>4.3478000000000003E-2</v>
      </c>
      <c r="D4" s="461">
        <v>2.5641000000000001E-2</v>
      </c>
      <c r="E4" s="461">
        <v>2.4899999999999999E-2</v>
      </c>
      <c r="F4" s="461">
        <v>3.2288999999999998E-2</v>
      </c>
      <c r="G4" s="461">
        <v>4.1140999999999997E-2</v>
      </c>
      <c r="H4" s="462">
        <v>1.7899999999999999E-2</v>
      </c>
      <c r="I4" s="463">
        <v>40</v>
      </c>
      <c r="J4" s="464">
        <v>2.8205999999999998E-2</v>
      </c>
    </row>
    <row r="7" spans="1:18" x14ac:dyDescent="0.25">
      <c r="A7" s="513" t="s">
        <v>1049</v>
      </c>
      <c r="B7" s="424" t="s">
        <v>513</v>
      </c>
    </row>
    <row r="8" spans="1:18" x14ac:dyDescent="0.25">
      <c r="C8" s="424"/>
      <c r="D8" s="419" t="s">
        <v>31</v>
      </c>
      <c r="E8" s="419" t="s">
        <v>31</v>
      </c>
      <c r="F8" s="419" t="s">
        <v>31</v>
      </c>
      <c r="G8" s="419" t="s">
        <v>170</v>
      </c>
      <c r="H8" s="419" t="s">
        <v>170</v>
      </c>
      <c r="I8" s="419" t="s">
        <v>170</v>
      </c>
      <c r="J8" s="419" t="s">
        <v>170</v>
      </c>
      <c r="K8" s="419" t="s">
        <v>170</v>
      </c>
      <c r="L8" s="419" t="s">
        <v>170</v>
      </c>
      <c r="M8" s="419" t="s">
        <v>970</v>
      </c>
      <c r="N8" s="419" t="s">
        <v>170</v>
      </c>
      <c r="O8" s="419"/>
    </row>
    <row r="9" spans="1:18" x14ac:dyDescent="0.25">
      <c r="A9" s="413" t="s">
        <v>1050</v>
      </c>
      <c r="B9" s="419"/>
      <c r="C9" s="419" t="s">
        <v>246</v>
      </c>
      <c r="D9" s="419" t="s">
        <v>237</v>
      </c>
      <c r="E9" s="419" t="s">
        <v>569</v>
      </c>
      <c r="F9" s="419" t="s">
        <v>570</v>
      </c>
      <c r="G9" s="419" t="s">
        <v>239</v>
      </c>
      <c r="H9" s="419" t="s">
        <v>240</v>
      </c>
      <c r="I9" s="419" t="s">
        <v>241</v>
      </c>
      <c r="J9" s="419" t="s">
        <v>568</v>
      </c>
      <c r="K9" s="419" t="s">
        <v>242</v>
      </c>
      <c r="L9" s="419" t="s">
        <v>968</v>
      </c>
      <c r="M9" s="419" t="s">
        <v>969</v>
      </c>
      <c r="N9" s="419" t="s">
        <v>622</v>
      </c>
      <c r="O9" s="419"/>
    </row>
    <row r="10" spans="1:18" x14ac:dyDescent="0.25">
      <c r="A10" s="419" t="s">
        <v>1051</v>
      </c>
      <c r="B10" s="419"/>
      <c r="C10" s="419" t="s">
        <v>246</v>
      </c>
      <c r="D10" s="419" t="s">
        <v>205</v>
      </c>
      <c r="E10" s="419" t="s">
        <v>247</v>
      </c>
      <c r="F10" s="419" t="s">
        <v>206</v>
      </c>
      <c r="G10" s="419" t="s">
        <v>239</v>
      </c>
      <c r="H10" s="419" t="s">
        <v>240</v>
      </c>
      <c r="I10" s="419" t="s">
        <v>241</v>
      </c>
      <c r="J10" s="419" t="s">
        <v>248</v>
      </c>
      <c r="K10" s="419" t="s">
        <v>242</v>
      </c>
      <c r="L10" s="419" t="s">
        <v>968</v>
      </c>
      <c r="M10" s="419" t="s">
        <v>969</v>
      </c>
      <c r="N10" s="419" t="s">
        <v>622</v>
      </c>
      <c r="O10" s="419"/>
    </row>
    <row r="11" spans="1:18" x14ac:dyDescent="0.25">
      <c r="A11" s="419"/>
      <c r="B11" s="419"/>
      <c r="C11" s="419">
        <v>2</v>
      </c>
      <c r="D11" s="419">
        <v>3</v>
      </c>
      <c r="E11" s="419">
        <v>4</v>
      </c>
      <c r="F11" s="419">
        <v>5</v>
      </c>
      <c r="G11" s="419">
        <v>6</v>
      </c>
      <c r="H11" s="419">
        <v>7</v>
      </c>
      <c r="I11" s="419">
        <v>8</v>
      </c>
      <c r="J11" s="419">
        <v>9</v>
      </c>
      <c r="K11" s="419">
        <v>10</v>
      </c>
      <c r="L11" s="419">
        <v>11</v>
      </c>
      <c r="M11" s="419">
        <v>12</v>
      </c>
      <c r="N11" s="419">
        <v>13</v>
      </c>
      <c r="O11" s="419"/>
    </row>
    <row r="12" spans="1:18" x14ac:dyDescent="0.25">
      <c r="A12" s="419"/>
      <c r="B12" s="419" t="s">
        <v>173</v>
      </c>
      <c r="C12" s="419">
        <v>68</v>
      </c>
      <c r="D12" s="419">
        <v>1</v>
      </c>
      <c r="E12" s="415">
        <v>7.0000000000000009</v>
      </c>
      <c r="F12" s="415">
        <v>4</v>
      </c>
      <c r="G12" s="419">
        <v>20</v>
      </c>
      <c r="H12" s="419">
        <v>50.000000000000007</v>
      </c>
      <c r="I12" s="419">
        <v>30</v>
      </c>
      <c r="J12" s="419">
        <v>15</v>
      </c>
      <c r="K12" s="419">
        <v>3.0000000000000004</v>
      </c>
      <c r="L12" s="415">
        <v>0.1</v>
      </c>
      <c r="M12" s="419">
        <v>0</v>
      </c>
      <c r="N12" s="420">
        <v>43</v>
      </c>
      <c r="O12" s="425"/>
    </row>
    <row r="13" spans="1:18" x14ac:dyDescent="0.25">
      <c r="A13" s="419"/>
      <c r="B13" s="419" t="s">
        <v>973</v>
      </c>
      <c r="C13" s="419">
        <v>80</v>
      </c>
      <c r="D13" s="419">
        <v>2.6</v>
      </c>
      <c r="E13" s="415">
        <v>8.4</v>
      </c>
      <c r="F13" s="415">
        <v>3.9</v>
      </c>
      <c r="G13" s="419">
        <v>70</v>
      </c>
      <c r="H13" s="419">
        <v>80</v>
      </c>
      <c r="I13" s="419">
        <v>100</v>
      </c>
      <c r="J13" s="419">
        <v>56</v>
      </c>
      <c r="K13" s="419">
        <v>8</v>
      </c>
      <c r="L13" s="412">
        <v>1.6</v>
      </c>
      <c r="M13" s="420">
        <v>3</v>
      </c>
      <c r="N13" s="420">
        <v>85</v>
      </c>
      <c r="O13" s="425"/>
      <c r="R13" s="419"/>
    </row>
    <row r="14" spans="1:18" x14ac:dyDescent="0.25">
      <c r="A14" s="419"/>
      <c r="B14" s="419" t="s">
        <v>974</v>
      </c>
      <c r="C14" s="419">
        <v>75</v>
      </c>
      <c r="D14" s="419">
        <v>2</v>
      </c>
      <c r="E14" s="415">
        <v>7.5</v>
      </c>
      <c r="F14" s="415">
        <v>4</v>
      </c>
      <c r="G14" s="419">
        <v>28</v>
      </c>
      <c r="H14" s="419">
        <v>77</v>
      </c>
      <c r="I14" s="419">
        <v>87</v>
      </c>
      <c r="J14" s="419">
        <v>47</v>
      </c>
      <c r="K14" s="419">
        <v>7</v>
      </c>
      <c r="L14" s="412">
        <v>1.2</v>
      </c>
      <c r="M14" s="420">
        <v>1.7</v>
      </c>
      <c r="N14" s="420">
        <v>55</v>
      </c>
      <c r="O14" s="425"/>
      <c r="R14" s="420"/>
    </row>
    <row r="15" spans="1:18" x14ac:dyDescent="0.25">
      <c r="A15" s="419"/>
      <c r="B15" s="419" t="s">
        <v>975</v>
      </c>
      <c r="C15" s="427">
        <v>66</v>
      </c>
      <c r="D15" s="427">
        <v>1.5</v>
      </c>
      <c r="E15" s="428">
        <v>7.2</v>
      </c>
      <c r="F15" s="428">
        <v>3.4</v>
      </c>
      <c r="G15" s="427">
        <v>25</v>
      </c>
      <c r="H15" s="427">
        <v>73</v>
      </c>
      <c r="I15" s="427">
        <v>46</v>
      </c>
      <c r="J15" s="427">
        <v>26</v>
      </c>
      <c r="K15" s="427">
        <v>5.0999999999999996</v>
      </c>
      <c r="L15" s="416">
        <v>0.53</v>
      </c>
      <c r="M15" s="427">
        <v>1.2</v>
      </c>
      <c r="N15" s="420">
        <v>41</v>
      </c>
      <c r="O15" s="429"/>
      <c r="R15" s="420"/>
    </row>
    <row r="16" spans="1:18" x14ac:dyDescent="0.25">
      <c r="A16" s="419"/>
      <c r="B16" s="419" t="s">
        <v>627</v>
      </c>
      <c r="C16" s="419">
        <v>66</v>
      </c>
      <c r="D16" s="419">
        <v>1.3</v>
      </c>
      <c r="E16" s="415">
        <v>7.3</v>
      </c>
      <c r="F16" s="415">
        <v>3.4</v>
      </c>
      <c r="G16" s="419">
        <v>17</v>
      </c>
      <c r="H16" s="419">
        <v>68</v>
      </c>
      <c r="I16" s="419">
        <v>57</v>
      </c>
      <c r="J16" s="419">
        <v>32</v>
      </c>
      <c r="K16" s="419">
        <v>5.0999999999999996</v>
      </c>
      <c r="L16" s="415">
        <v>3.9</v>
      </c>
      <c r="M16" s="419">
        <v>8.6999999999999993</v>
      </c>
      <c r="N16" s="420">
        <v>42</v>
      </c>
      <c r="O16" s="425"/>
      <c r="R16" s="420"/>
    </row>
    <row r="17" spans="1:18" x14ac:dyDescent="0.25">
      <c r="A17" s="413"/>
      <c r="B17" s="419" t="s">
        <v>1038</v>
      </c>
      <c r="C17" s="419">
        <v>68</v>
      </c>
      <c r="D17" s="419">
        <v>1.4</v>
      </c>
      <c r="E17" s="415">
        <v>8.6</v>
      </c>
      <c r="F17" s="415">
        <v>3</v>
      </c>
      <c r="G17" s="419">
        <v>23</v>
      </c>
      <c r="H17" s="419">
        <v>74</v>
      </c>
      <c r="I17" s="419">
        <v>65</v>
      </c>
      <c r="J17" s="419">
        <v>36</v>
      </c>
      <c r="K17" s="419">
        <v>4.8</v>
      </c>
      <c r="L17" s="415">
        <v>7</v>
      </c>
      <c r="M17" s="419">
        <v>1.4</v>
      </c>
      <c r="N17" s="420">
        <v>47</v>
      </c>
      <c r="O17" s="425"/>
      <c r="R17" s="420"/>
    </row>
    <row r="18" spans="1:18" x14ac:dyDescent="0.25">
      <c r="A18" s="419"/>
      <c r="B18" s="419" t="s">
        <v>17</v>
      </c>
      <c r="C18" s="419">
        <v>100</v>
      </c>
      <c r="D18" s="419">
        <v>2.6</v>
      </c>
      <c r="E18" s="415">
        <v>10.3</v>
      </c>
      <c r="F18" s="415">
        <v>5.4</v>
      </c>
      <c r="G18" s="419">
        <v>37</v>
      </c>
      <c r="H18" s="419">
        <v>95</v>
      </c>
      <c r="I18" s="419">
        <v>100</v>
      </c>
      <c r="J18" s="419">
        <v>50</v>
      </c>
      <c r="K18" s="419">
        <v>9</v>
      </c>
      <c r="L18" s="415">
        <v>1.2</v>
      </c>
      <c r="M18" s="419">
        <v>1.9</v>
      </c>
      <c r="N18" s="420">
        <v>62</v>
      </c>
      <c r="O18" s="425"/>
      <c r="R18" s="420"/>
    </row>
    <row r="19" spans="1:18" x14ac:dyDescent="0.25">
      <c r="A19" s="419"/>
      <c r="B19" s="419" t="s">
        <v>1064</v>
      </c>
      <c r="C19" s="419">
        <v>100</v>
      </c>
      <c r="D19" s="419">
        <v>2.6</v>
      </c>
      <c r="E19" s="415">
        <v>10.3</v>
      </c>
      <c r="F19" s="415">
        <v>5.4</v>
      </c>
      <c r="G19" s="419">
        <v>32</v>
      </c>
      <c r="H19" s="419">
        <v>108</v>
      </c>
      <c r="I19" s="419">
        <v>80</v>
      </c>
      <c r="J19" s="419">
        <v>40</v>
      </c>
      <c r="K19" s="419">
        <v>8</v>
      </c>
      <c r="L19" s="415">
        <v>1</v>
      </c>
      <c r="M19" s="419">
        <v>1.7</v>
      </c>
      <c r="N19" s="420">
        <v>64</v>
      </c>
      <c r="O19" s="425"/>
      <c r="R19" s="420"/>
    </row>
    <row r="20" spans="1:18" x14ac:dyDescent="0.25">
      <c r="A20" s="419"/>
      <c r="B20" s="419" t="s">
        <v>1055</v>
      </c>
      <c r="C20" s="419">
        <v>67</v>
      </c>
      <c r="D20" s="419">
        <v>1.6</v>
      </c>
      <c r="E20" s="415">
        <v>7</v>
      </c>
      <c r="F20" s="415">
        <v>3.5</v>
      </c>
      <c r="G20" s="419">
        <v>20</v>
      </c>
      <c r="H20" s="419">
        <v>81</v>
      </c>
      <c r="I20" s="419">
        <v>47</v>
      </c>
      <c r="J20" s="419">
        <v>26</v>
      </c>
      <c r="K20" s="419">
        <v>5.3</v>
      </c>
      <c r="L20" s="416">
        <v>0.53</v>
      </c>
      <c r="M20" s="419">
        <v>1.3</v>
      </c>
      <c r="N20" s="420">
        <v>40</v>
      </c>
      <c r="O20" s="425"/>
      <c r="R20" s="419"/>
    </row>
    <row r="21" spans="1:18" x14ac:dyDescent="0.25">
      <c r="A21" s="419"/>
      <c r="B21" s="419" t="s">
        <v>515</v>
      </c>
      <c r="C21" s="419">
        <v>101</v>
      </c>
      <c r="D21" s="419">
        <v>2.7</v>
      </c>
      <c r="E21" s="415">
        <v>12.3</v>
      </c>
      <c r="F21" s="415">
        <v>4.4000000000000004</v>
      </c>
      <c r="G21" s="419">
        <v>60</v>
      </c>
      <c r="H21" s="419">
        <v>110</v>
      </c>
      <c r="I21" s="419">
        <v>60</v>
      </c>
      <c r="J21" s="419">
        <v>50</v>
      </c>
      <c r="K21" s="419">
        <v>11</v>
      </c>
      <c r="L21" s="430">
        <v>1</v>
      </c>
      <c r="M21" s="419">
        <v>1</v>
      </c>
      <c r="N21" s="420">
        <v>95</v>
      </c>
      <c r="O21" s="425"/>
      <c r="R21" s="419"/>
    </row>
    <row r="22" spans="1:18" x14ac:dyDescent="0.25">
      <c r="A22" s="419"/>
      <c r="B22" s="419" t="s">
        <v>516</v>
      </c>
      <c r="C22" s="419">
        <v>151</v>
      </c>
      <c r="D22" s="419">
        <v>4</v>
      </c>
      <c r="E22" s="415">
        <v>18.5</v>
      </c>
      <c r="F22" s="415">
        <v>6.7</v>
      </c>
      <c r="G22" s="419">
        <v>90</v>
      </c>
      <c r="H22" s="419">
        <v>165</v>
      </c>
      <c r="I22" s="419">
        <v>90</v>
      </c>
      <c r="J22" s="419">
        <v>75</v>
      </c>
      <c r="K22" s="419">
        <v>17</v>
      </c>
      <c r="L22" s="415">
        <v>1.5</v>
      </c>
      <c r="M22" s="419">
        <v>1.5</v>
      </c>
      <c r="N22" s="420">
        <v>143</v>
      </c>
      <c r="O22" s="425"/>
    </row>
    <row r="23" spans="1:18" x14ac:dyDescent="0.25">
      <c r="A23" s="419"/>
      <c r="B23" s="419" t="s">
        <v>1065</v>
      </c>
      <c r="C23" s="419">
        <v>100</v>
      </c>
      <c r="D23" s="419">
        <v>2.8</v>
      </c>
      <c r="E23" s="415">
        <v>13.7</v>
      </c>
      <c r="F23" s="415">
        <v>3.9</v>
      </c>
      <c r="G23" s="419">
        <v>60</v>
      </c>
      <c r="H23" s="419">
        <v>110</v>
      </c>
      <c r="I23" s="419">
        <v>60</v>
      </c>
      <c r="J23" s="419">
        <v>50</v>
      </c>
      <c r="K23" s="419">
        <v>11</v>
      </c>
      <c r="L23" s="430">
        <v>1</v>
      </c>
      <c r="M23" s="430">
        <v>1</v>
      </c>
      <c r="N23" s="420">
        <v>95</v>
      </c>
      <c r="O23" s="431"/>
    </row>
    <row r="24" spans="1:18" x14ac:dyDescent="0.25">
      <c r="A24" s="419"/>
      <c r="B24" s="419" t="s">
        <v>1102</v>
      </c>
      <c r="C24" s="419">
        <v>68</v>
      </c>
      <c r="D24" s="419">
        <v>1.6</v>
      </c>
      <c r="E24" s="415">
        <v>8.1</v>
      </c>
      <c r="F24" s="415">
        <v>3.1</v>
      </c>
      <c r="G24" s="419">
        <v>25</v>
      </c>
      <c r="H24" s="419">
        <v>78</v>
      </c>
      <c r="I24" s="419">
        <v>63</v>
      </c>
      <c r="J24" s="419">
        <v>37</v>
      </c>
      <c r="K24" s="419">
        <v>5.5</v>
      </c>
      <c r="L24" s="415">
        <v>1</v>
      </c>
      <c r="M24" s="419">
        <v>1.4</v>
      </c>
      <c r="N24" s="420">
        <v>42</v>
      </c>
      <c r="O24" s="425"/>
    </row>
    <row r="25" spans="1:18" x14ac:dyDescent="0.25">
      <c r="A25" s="419"/>
      <c r="B25" s="419" t="s">
        <v>518</v>
      </c>
      <c r="C25" s="419">
        <v>102</v>
      </c>
      <c r="D25" s="419">
        <v>3.3</v>
      </c>
      <c r="E25" s="415">
        <v>12.3</v>
      </c>
      <c r="F25" s="415">
        <v>4.2</v>
      </c>
      <c r="G25" s="419">
        <v>80</v>
      </c>
      <c r="H25" s="419">
        <v>138</v>
      </c>
      <c r="I25" s="419">
        <v>70</v>
      </c>
      <c r="J25" s="419">
        <v>60</v>
      </c>
      <c r="K25" s="419">
        <v>17</v>
      </c>
      <c r="L25" s="415">
        <v>1.3</v>
      </c>
      <c r="M25" s="419">
        <v>0.7</v>
      </c>
      <c r="N25" s="420">
        <v>125</v>
      </c>
      <c r="O25" s="425"/>
    </row>
    <row r="26" spans="1:18" x14ac:dyDescent="0.25">
      <c r="A26" s="419"/>
      <c r="B26" s="419" t="s">
        <v>519</v>
      </c>
      <c r="C26" s="419">
        <v>152</v>
      </c>
      <c r="D26" s="419">
        <v>4.8</v>
      </c>
      <c r="E26" s="415">
        <v>18.5</v>
      </c>
      <c r="F26" s="415">
        <v>6.3</v>
      </c>
      <c r="G26" s="419">
        <v>107</v>
      </c>
      <c r="H26" s="419">
        <v>186</v>
      </c>
      <c r="I26" s="419">
        <v>95</v>
      </c>
      <c r="J26" s="419">
        <v>90</v>
      </c>
      <c r="K26" s="419">
        <v>26</v>
      </c>
      <c r="L26" s="415">
        <v>2</v>
      </c>
      <c r="M26" s="419">
        <v>1.1000000000000001</v>
      </c>
      <c r="N26" s="420">
        <v>147</v>
      </c>
      <c r="O26" s="425"/>
    </row>
    <row r="27" spans="1:18" x14ac:dyDescent="0.25">
      <c r="A27" s="419"/>
      <c r="B27" s="419" t="s">
        <v>521</v>
      </c>
      <c r="C27" s="419">
        <v>103</v>
      </c>
      <c r="D27" s="419">
        <v>4</v>
      </c>
      <c r="E27" s="415">
        <v>12.3</v>
      </c>
      <c r="F27" s="415">
        <v>3.9</v>
      </c>
      <c r="G27" s="419">
        <v>100</v>
      </c>
      <c r="H27" s="419">
        <v>150</v>
      </c>
      <c r="I27" s="419">
        <v>80</v>
      </c>
      <c r="J27" s="419">
        <v>72</v>
      </c>
      <c r="K27" s="419">
        <v>23</v>
      </c>
      <c r="L27" s="428">
        <v>1.6</v>
      </c>
      <c r="M27" s="427">
        <v>1</v>
      </c>
      <c r="N27" s="420">
        <v>125</v>
      </c>
      <c r="O27" s="429"/>
    </row>
    <row r="28" spans="1:18" x14ac:dyDescent="0.25">
      <c r="A28" s="419"/>
      <c r="B28" s="419" t="s">
        <v>522</v>
      </c>
      <c r="C28" s="419">
        <v>153</v>
      </c>
      <c r="D28" s="419">
        <v>6</v>
      </c>
      <c r="E28" s="415">
        <v>18.399999999999999</v>
      </c>
      <c r="F28" s="415">
        <v>5.8</v>
      </c>
      <c r="G28" s="419">
        <v>134</v>
      </c>
      <c r="H28" s="419">
        <v>201</v>
      </c>
      <c r="I28" s="419">
        <v>84</v>
      </c>
      <c r="J28" s="419">
        <v>84</v>
      </c>
      <c r="K28" s="419">
        <v>30</v>
      </c>
      <c r="L28" s="428">
        <v>2.4</v>
      </c>
      <c r="M28" s="427">
        <v>1.5</v>
      </c>
      <c r="N28" s="420">
        <v>100</v>
      </c>
      <c r="O28" s="429"/>
    </row>
    <row r="29" spans="1:18" x14ac:dyDescent="0.25">
      <c r="A29" s="419"/>
      <c r="B29" s="419" t="s">
        <v>1066</v>
      </c>
      <c r="C29" s="419">
        <v>100</v>
      </c>
      <c r="D29" s="419">
        <v>4</v>
      </c>
      <c r="E29" s="415">
        <v>17.600000000000001</v>
      </c>
      <c r="F29" s="415">
        <v>1.7</v>
      </c>
      <c r="G29" s="419">
        <v>100</v>
      </c>
      <c r="H29" s="419">
        <v>150</v>
      </c>
      <c r="I29" s="419">
        <v>80</v>
      </c>
      <c r="J29" s="419">
        <v>72</v>
      </c>
      <c r="K29" s="419">
        <v>23</v>
      </c>
      <c r="L29" s="428">
        <v>1.6</v>
      </c>
      <c r="M29" s="427">
        <v>0.7</v>
      </c>
      <c r="N29" s="420">
        <v>125</v>
      </c>
      <c r="O29" s="429"/>
      <c r="R29" s="426"/>
    </row>
    <row r="30" spans="1:18" x14ac:dyDescent="0.25">
      <c r="A30" s="419"/>
      <c r="B30" s="419" t="s">
        <v>976</v>
      </c>
      <c r="C30" s="419">
        <v>67</v>
      </c>
      <c r="D30" s="419">
        <v>1.8</v>
      </c>
      <c r="E30" s="415">
        <v>7.2</v>
      </c>
      <c r="F30" s="415">
        <v>3.4</v>
      </c>
      <c r="G30" s="419">
        <v>26.1</v>
      </c>
      <c r="H30" s="419">
        <v>72.5</v>
      </c>
      <c r="I30" s="419">
        <v>65.599999999999994</v>
      </c>
      <c r="J30" s="419">
        <v>47.1</v>
      </c>
      <c r="K30" s="419">
        <v>7</v>
      </c>
      <c r="L30" s="428">
        <v>1</v>
      </c>
      <c r="M30" s="427">
        <v>1.2</v>
      </c>
      <c r="N30" s="420">
        <v>53.3</v>
      </c>
      <c r="O30" s="429"/>
      <c r="R30" s="419"/>
    </row>
    <row r="31" spans="1:18" x14ac:dyDescent="0.25">
      <c r="A31" s="419"/>
      <c r="B31" s="419" t="s">
        <v>977</v>
      </c>
      <c r="C31" s="419">
        <v>66</v>
      </c>
      <c r="D31" s="419">
        <v>1.8</v>
      </c>
      <c r="E31" s="415">
        <v>6.8</v>
      </c>
      <c r="F31" s="415">
        <v>3.5</v>
      </c>
      <c r="G31" s="419">
        <v>18</v>
      </c>
      <c r="H31" s="419">
        <v>65</v>
      </c>
      <c r="I31" s="419">
        <v>50</v>
      </c>
      <c r="J31" s="419">
        <v>28</v>
      </c>
      <c r="K31" s="419">
        <v>5.0999999999999996</v>
      </c>
      <c r="L31" s="428">
        <v>0.77</v>
      </c>
      <c r="M31" s="427">
        <v>1.3</v>
      </c>
      <c r="N31" s="420">
        <v>40</v>
      </c>
      <c r="O31" s="429"/>
      <c r="R31" s="419"/>
    </row>
    <row r="32" spans="1:18" x14ac:dyDescent="0.25">
      <c r="B32" s="423" t="s">
        <v>1039</v>
      </c>
      <c r="C32" s="419">
        <v>68</v>
      </c>
      <c r="D32" s="419">
        <v>1</v>
      </c>
      <c r="E32" s="415">
        <v>7.0000000000000009</v>
      </c>
      <c r="F32" s="415">
        <v>4</v>
      </c>
      <c r="G32" s="419">
        <v>20</v>
      </c>
      <c r="H32" s="419">
        <v>50.000000000000007</v>
      </c>
      <c r="I32" s="419">
        <v>30</v>
      </c>
      <c r="J32" s="419">
        <v>15</v>
      </c>
      <c r="K32" s="419">
        <v>3.0000000000000004</v>
      </c>
      <c r="L32" s="415">
        <v>0.1</v>
      </c>
      <c r="M32" s="419">
        <v>0</v>
      </c>
      <c r="N32" s="420">
        <v>43</v>
      </c>
      <c r="O32" s="425"/>
      <c r="R32" s="419"/>
    </row>
    <row r="33" spans="1:18" x14ac:dyDescent="0.25">
      <c r="B33" s="423" t="s">
        <v>1040</v>
      </c>
      <c r="C33" s="419">
        <v>68</v>
      </c>
      <c r="D33" s="419">
        <v>1</v>
      </c>
      <c r="E33" s="415">
        <v>7.0000000000000009</v>
      </c>
      <c r="F33" s="415">
        <v>4</v>
      </c>
      <c r="G33" s="419">
        <v>20</v>
      </c>
      <c r="H33" s="419">
        <v>50.000000000000007</v>
      </c>
      <c r="I33" s="419">
        <v>30</v>
      </c>
      <c r="J33" s="419">
        <v>15</v>
      </c>
      <c r="K33" s="419">
        <v>3.0000000000000004</v>
      </c>
      <c r="L33" s="415">
        <v>0.1</v>
      </c>
      <c r="M33" s="419">
        <v>0</v>
      </c>
      <c r="N33" s="420">
        <v>43</v>
      </c>
      <c r="O33" s="425"/>
      <c r="R33" s="419"/>
    </row>
    <row r="34" spans="1:18" x14ac:dyDescent="0.25">
      <c r="B34" s="423" t="s">
        <v>1041</v>
      </c>
      <c r="C34" s="419">
        <v>68</v>
      </c>
      <c r="D34" s="419">
        <v>1</v>
      </c>
      <c r="E34" s="415">
        <v>7.0000000000000009</v>
      </c>
      <c r="F34" s="415">
        <v>4</v>
      </c>
      <c r="G34" s="419">
        <v>20</v>
      </c>
      <c r="H34" s="419">
        <v>50.000000000000007</v>
      </c>
      <c r="I34" s="419">
        <v>30</v>
      </c>
      <c r="J34" s="419">
        <v>15</v>
      </c>
      <c r="K34" s="419">
        <v>3.0000000000000004</v>
      </c>
      <c r="L34" s="415">
        <v>0.1</v>
      </c>
      <c r="M34" s="419">
        <v>0</v>
      </c>
      <c r="N34" s="420">
        <v>43</v>
      </c>
      <c r="O34" s="425"/>
      <c r="R34" s="419"/>
    </row>
    <row r="35" spans="1:18" x14ac:dyDescent="0.25">
      <c r="B35" s="423" t="s">
        <v>1042</v>
      </c>
      <c r="C35" s="419">
        <v>68</v>
      </c>
      <c r="D35" s="419">
        <v>1</v>
      </c>
      <c r="E35" s="415">
        <v>7.0000000000000009</v>
      </c>
      <c r="F35" s="415">
        <v>4</v>
      </c>
      <c r="G35" s="419">
        <v>20</v>
      </c>
      <c r="H35" s="419">
        <v>50.000000000000007</v>
      </c>
      <c r="I35" s="419">
        <v>30</v>
      </c>
      <c r="J35" s="419">
        <v>15</v>
      </c>
      <c r="K35" s="419">
        <v>3.0000000000000004</v>
      </c>
      <c r="L35" s="415">
        <v>0.1</v>
      </c>
      <c r="M35" s="419">
        <v>0</v>
      </c>
      <c r="N35" s="420">
        <v>43</v>
      </c>
      <c r="O35" s="425"/>
      <c r="R35" s="419"/>
    </row>
    <row r="36" spans="1:18" x14ac:dyDescent="0.25">
      <c r="B36" s="423" t="s">
        <v>1043</v>
      </c>
      <c r="C36" s="419">
        <v>68</v>
      </c>
      <c r="D36" s="419">
        <v>1</v>
      </c>
      <c r="E36" s="415">
        <v>7.0000000000000009</v>
      </c>
      <c r="F36" s="415">
        <v>4</v>
      </c>
      <c r="G36" s="419">
        <v>20</v>
      </c>
      <c r="H36" s="419">
        <v>50.000000000000007</v>
      </c>
      <c r="I36" s="419">
        <v>30</v>
      </c>
      <c r="J36" s="419">
        <v>15</v>
      </c>
      <c r="K36" s="419">
        <v>3.0000000000000004</v>
      </c>
      <c r="L36" s="415">
        <v>0.1</v>
      </c>
      <c r="M36" s="419">
        <v>0</v>
      </c>
      <c r="N36" s="420">
        <v>43</v>
      </c>
      <c r="O36" s="425"/>
      <c r="R36" s="419"/>
    </row>
    <row r="37" spans="1:18" x14ac:dyDescent="0.25">
      <c r="B37" s="423" t="s">
        <v>1044</v>
      </c>
      <c r="C37" s="419">
        <v>68</v>
      </c>
      <c r="D37" s="419">
        <v>1</v>
      </c>
      <c r="E37" s="415">
        <v>7.0000000000000009</v>
      </c>
      <c r="F37" s="415">
        <v>4</v>
      </c>
      <c r="G37" s="419">
        <v>20</v>
      </c>
      <c r="H37" s="419">
        <v>50.000000000000007</v>
      </c>
      <c r="I37" s="419">
        <v>30</v>
      </c>
      <c r="J37" s="419">
        <v>15</v>
      </c>
      <c r="K37" s="419">
        <v>3.0000000000000004</v>
      </c>
      <c r="L37" s="415">
        <v>0.1</v>
      </c>
      <c r="M37" s="419">
        <v>0</v>
      </c>
      <c r="N37" s="420">
        <v>43</v>
      </c>
      <c r="O37" s="425"/>
      <c r="R37" s="419"/>
    </row>
    <row r="38" spans="1:18" x14ac:dyDescent="0.25">
      <c r="B38" s="423" t="s">
        <v>1052</v>
      </c>
      <c r="C38" s="433">
        <v>66.3</v>
      </c>
      <c r="D38" s="433">
        <v>1.5</v>
      </c>
      <c r="E38" s="433">
        <v>7</v>
      </c>
      <c r="F38" s="433">
        <v>3.6</v>
      </c>
      <c r="G38" s="433">
        <v>20.3</v>
      </c>
      <c r="H38" s="433">
        <v>67</v>
      </c>
      <c r="I38" s="433">
        <v>53.3</v>
      </c>
      <c r="J38" s="433">
        <v>29.2</v>
      </c>
      <c r="K38" s="433">
        <v>0.08</v>
      </c>
      <c r="L38" s="433">
        <v>0.51</v>
      </c>
      <c r="M38" s="433">
        <v>1.9</v>
      </c>
      <c r="N38" s="420">
        <v>40</v>
      </c>
      <c r="O38" s="434"/>
      <c r="R38" s="419"/>
    </row>
    <row r="39" spans="1:18" x14ac:dyDescent="0.25">
      <c r="B39" s="420" t="s">
        <v>978</v>
      </c>
      <c r="C39" s="433">
        <v>66</v>
      </c>
      <c r="D39" s="433">
        <v>1.4</v>
      </c>
      <c r="E39" s="433">
        <v>7.2</v>
      </c>
      <c r="F39" s="433">
        <v>3.5</v>
      </c>
      <c r="G39" s="433">
        <v>20</v>
      </c>
      <c r="H39" s="433">
        <v>65</v>
      </c>
      <c r="I39" s="433">
        <v>50</v>
      </c>
      <c r="J39" s="433">
        <v>30</v>
      </c>
      <c r="K39" s="433">
        <v>6</v>
      </c>
      <c r="L39" s="433">
        <v>0.78</v>
      </c>
      <c r="M39" s="433">
        <v>1.2</v>
      </c>
      <c r="N39" s="433">
        <v>42</v>
      </c>
      <c r="O39" s="433"/>
      <c r="R39" s="419"/>
    </row>
    <row r="40" spans="1:18" x14ac:dyDescent="0.25">
      <c r="B40" s="420" t="s">
        <v>979</v>
      </c>
      <c r="C40" s="433">
        <v>70</v>
      </c>
      <c r="D40" s="433">
        <v>1.6</v>
      </c>
      <c r="E40" s="433">
        <v>9.1999999999999993</v>
      </c>
      <c r="F40" s="433">
        <v>2.9</v>
      </c>
      <c r="G40" s="433">
        <v>24</v>
      </c>
      <c r="H40" s="433">
        <v>83</v>
      </c>
      <c r="I40" s="433">
        <v>72</v>
      </c>
      <c r="J40" s="433">
        <v>53</v>
      </c>
      <c r="K40" s="433">
        <v>7.8</v>
      </c>
      <c r="L40" s="433">
        <v>1.1000000000000001</v>
      </c>
      <c r="M40" s="433">
        <v>1.3</v>
      </c>
      <c r="N40" s="433">
        <v>45</v>
      </c>
      <c r="O40" s="433"/>
      <c r="R40" s="419"/>
    </row>
    <row r="41" spans="1:18" x14ac:dyDescent="0.25">
      <c r="B41" s="420" t="s">
        <v>980</v>
      </c>
      <c r="C41" s="433">
        <v>65</v>
      </c>
      <c r="D41" s="433">
        <v>1.4</v>
      </c>
      <c r="E41" s="433">
        <v>6.8</v>
      </c>
      <c r="F41" s="433">
        <v>3.5</v>
      </c>
      <c r="G41" s="433">
        <v>16</v>
      </c>
      <c r="H41" s="433">
        <v>60.1</v>
      </c>
      <c r="I41" s="433">
        <v>43.9</v>
      </c>
      <c r="J41" s="433">
        <v>26</v>
      </c>
      <c r="K41" s="433">
        <v>4</v>
      </c>
      <c r="L41" s="433">
        <v>0.4</v>
      </c>
      <c r="M41" s="433">
        <v>1.2</v>
      </c>
      <c r="N41" s="433">
        <v>40</v>
      </c>
      <c r="O41" s="433"/>
      <c r="R41" s="419"/>
    </row>
    <row r="42" spans="1:18" x14ac:dyDescent="0.25">
      <c r="B42" s="420" t="s">
        <v>981</v>
      </c>
      <c r="C42" s="433">
        <v>62</v>
      </c>
      <c r="D42" s="433">
        <v>1.3</v>
      </c>
      <c r="E42" s="433">
        <v>6.4</v>
      </c>
      <c r="F42" s="433">
        <v>3.3</v>
      </c>
      <c r="G42" s="433">
        <v>15</v>
      </c>
      <c r="H42" s="433">
        <v>56.8</v>
      </c>
      <c r="I42" s="433">
        <v>41.6</v>
      </c>
      <c r="J42" s="433">
        <v>25</v>
      </c>
      <c r="K42" s="433">
        <v>3.79</v>
      </c>
      <c r="L42" s="433">
        <v>1</v>
      </c>
      <c r="M42" s="433">
        <v>1.1000000000000001</v>
      </c>
      <c r="N42" s="433">
        <v>37.9</v>
      </c>
      <c r="O42" s="433"/>
      <c r="R42" s="419"/>
    </row>
    <row r="43" spans="1:18" x14ac:dyDescent="0.25">
      <c r="A43" s="419"/>
      <c r="B43" s="420" t="s">
        <v>1053</v>
      </c>
      <c r="C43" s="433">
        <v>66</v>
      </c>
      <c r="D43" s="433">
        <v>2</v>
      </c>
      <c r="E43" s="433">
        <v>6.6</v>
      </c>
      <c r="F43" s="433">
        <v>3.5</v>
      </c>
      <c r="G43" s="433">
        <v>22</v>
      </c>
      <c r="H43" s="433">
        <v>69.3</v>
      </c>
      <c r="I43" s="433">
        <v>66.3</v>
      </c>
      <c r="J43" s="433">
        <v>39</v>
      </c>
      <c r="K43" s="433">
        <v>6.58</v>
      </c>
      <c r="L43" s="433">
        <v>0.87</v>
      </c>
      <c r="M43" s="433">
        <v>1.3</v>
      </c>
      <c r="N43" s="433">
        <v>45.2</v>
      </c>
      <c r="O43" s="433"/>
      <c r="R43" s="419"/>
    </row>
    <row r="44" spans="1:18" x14ac:dyDescent="0.25">
      <c r="B44" s="420" t="s">
        <v>1054</v>
      </c>
      <c r="C44" s="433">
        <v>79</v>
      </c>
      <c r="D44" s="433">
        <v>2.6</v>
      </c>
      <c r="E44" s="433">
        <v>8.3000000000000007</v>
      </c>
      <c r="F44" s="433">
        <v>4</v>
      </c>
      <c r="G44" s="433">
        <v>51</v>
      </c>
      <c r="H44" s="433">
        <v>88</v>
      </c>
      <c r="I44" s="433">
        <v>96</v>
      </c>
      <c r="J44" s="433">
        <v>54.4</v>
      </c>
      <c r="K44" s="433">
        <v>8.9</v>
      </c>
      <c r="L44" s="433">
        <v>1.8</v>
      </c>
      <c r="M44" s="433">
        <v>1.9</v>
      </c>
      <c r="N44" s="433">
        <v>76.8</v>
      </c>
      <c r="O44" s="433"/>
      <c r="R44" s="419"/>
    </row>
    <row r="45" spans="1:18" x14ac:dyDescent="0.25">
      <c r="B45" s="420"/>
      <c r="C45" s="433"/>
      <c r="D45" s="433"/>
      <c r="E45" s="433"/>
      <c r="F45" s="433"/>
      <c r="G45" s="433"/>
      <c r="H45" s="433"/>
      <c r="I45" s="433"/>
      <c r="J45" s="433"/>
      <c r="K45" s="433"/>
      <c r="L45" s="433"/>
      <c r="M45" s="433"/>
      <c r="N45" s="433"/>
      <c r="O45" s="433"/>
      <c r="R45" s="419"/>
    </row>
    <row r="46" spans="1:18" x14ac:dyDescent="0.25">
      <c r="B46" s="420"/>
      <c r="C46" s="433"/>
      <c r="D46" s="433"/>
      <c r="E46" s="433"/>
      <c r="F46" s="433"/>
      <c r="G46" s="433"/>
      <c r="H46" s="433"/>
      <c r="I46" s="433"/>
      <c r="J46" s="433"/>
      <c r="K46" s="433"/>
      <c r="L46" s="433"/>
      <c r="M46" s="433"/>
      <c r="N46" s="433"/>
      <c r="O46" s="433"/>
    </row>
    <row r="47" spans="1:18" x14ac:dyDescent="0.25">
      <c r="B47" s="420"/>
      <c r="C47" s="433"/>
      <c r="D47" s="433"/>
      <c r="E47" s="433"/>
      <c r="F47" s="433"/>
      <c r="G47" s="433"/>
      <c r="H47" s="433"/>
      <c r="I47" s="433"/>
      <c r="J47" s="433"/>
      <c r="K47" s="433"/>
      <c r="L47" s="433"/>
      <c r="M47" s="433"/>
      <c r="N47" s="433"/>
      <c r="O47" s="433"/>
    </row>
    <row r="48" spans="1:18" x14ac:dyDescent="0.25">
      <c r="A48" s="424" t="s">
        <v>1067</v>
      </c>
      <c r="B48" s="424" t="s">
        <v>1045</v>
      </c>
    </row>
    <row r="49" spans="1:15" x14ac:dyDescent="0.25">
      <c r="C49" s="424"/>
      <c r="D49" s="419" t="s">
        <v>31</v>
      </c>
      <c r="E49" s="419" t="s">
        <v>31</v>
      </c>
      <c r="F49" s="419" t="s">
        <v>31</v>
      </c>
      <c r="G49" s="419" t="s">
        <v>170</v>
      </c>
      <c r="H49" s="419" t="s">
        <v>170</v>
      </c>
      <c r="I49" s="419" t="s">
        <v>170</v>
      </c>
      <c r="J49" s="419" t="s">
        <v>170</v>
      </c>
      <c r="K49" s="419" t="s">
        <v>170</v>
      </c>
      <c r="L49" s="419" t="s">
        <v>170</v>
      </c>
      <c r="M49" s="419" t="s">
        <v>970</v>
      </c>
      <c r="N49" s="419" t="s">
        <v>170</v>
      </c>
    </row>
    <row r="50" spans="1:15" x14ac:dyDescent="0.25">
      <c r="A50" s="413" t="s">
        <v>1050</v>
      </c>
      <c r="B50" s="419"/>
      <c r="C50" s="419" t="s">
        <v>246</v>
      </c>
      <c r="D50" s="419" t="s">
        <v>237</v>
      </c>
      <c r="E50" s="419" t="s">
        <v>569</v>
      </c>
      <c r="F50" s="419" t="s">
        <v>570</v>
      </c>
      <c r="G50" s="419" t="s">
        <v>239</v>
      </c>
      <c r="H50" s="419" t="s">
        <v>240</v>
      </c>
      <c r="I50" s="419" t="s">
        <v>241</v>
      </c>
      <c r="J50" s="419" t="s">
        <v>568</v>
      </c>
      <c r="K50" s="419" t="s">
        <v>242</v>
      </c>
      <c r="L50" s="419" t="s">
        <v>968</v>
      </c>
      <c r="M50" s="419" t="s">
        <v>969</v>
      </c>
      <c r="N50" s="419" t="s">
        <v>622</v>
      </c>
    </row>
    <row r="51" spans="1:15" x14ac:dyDescent="0.25">
      <c r="A51" s="419" t="s">
        <v>1051</v>
      </c>
      <c r="B51" s="419"/>
      <c r="C51" s="419" t="s">
        <v>246</v>
      </c>
      <c r="D51" s="419" t="s">
        <v>205</v>
      </c>
      <c r="E51" s="419" t="s">
        <v>247</v>
      </c>
      <c r="F51" s="419" t="s">
        <v>206</v>
      </c>
      <c r="G51" s="419" t="s">
        <v>239</v>
      </c>
      <c r="H51" s="419" t="s">
        <v>240</v>
      </c>
      <c r="I51" s="419" t="s">
        <v>241</v>
      </c>
      <c r="J51" s="419" t="s">
        <v>248</v>
      </c>
      <c r="K51" s="419" t="s">
        <v>242</v>
      </c>
      <c r="L51" s="419" t="s">
        <v>968</v>
      </c>
      <c r="M51" s="419" t="s">
        <v>969</v>
      </c>
      <c r="N51" s="419" t="s">
        <v>622</v>
      </c>
    </row>
    <row r="52" spans="1:15" x14ac:dyDescent="0.25">
      <c r="A52" s="419"/>
      <c r="B52" s="419"/>
    </row>
    <row r="53" spans="1:15" x14ac:dyDescent="0.25">
      <c r="A53" s="419"/>
      <c r="B53" s="419" t="s">
        <v>634</v>
      </c>
      <c r="C53" s="419">
        <v>347</v>
      </c>
      <c r="D53" s="419">
        <v>25.2</v>
      </c>
      <c r="E53" s="415">
        <v>62.2</v>
      </c>
      <c r="F53" s="415">
        <v>0</v>
      </c>
      <c r="G53" s="419">
        <v>803</v>
      </c>
      <c r="H53" s="419">
        <v>528</v>
      </c>
      <c r="I53" s="419">
        <v>1491</v>
      </c>
      <c r="J53" s="419">
        <v>872</v>
      </c>
      <c r="K53" s="419">
        <v>115</v>
      </c>
      <c r="L53" s="412">
        <v>0</v>
      </c>
      <c r="M53" s="420">
        <v>115</v>
      </c>
      <c r="N53" s="420">
        <v>573</v>
      </c>
      <c r="O53" s="425"/>
    </row>
    <row r="54" spans="1:15" x14ac:dyDescent="0.25">
      <c r="A54" s="419"/>
      <c r="B54" s="420" t="s">
        <v>978</v>
      </c>
      <c r="C54" s="420">
        <v>509</v>
      </c>
      <c r="D54" s="420">
        <v>10</v>
      </c>
      <c r="E54" s="412">
        <v>56</v>
      </c>
      <c r="F54" s="412">
        <v>27</v>
      </c>
      <c r="G54" s="420">
        <v>120</v>
      </c>
      <c r="H54" s="420">
        <v>462</v>
      </c>
      <c r="I54" s="420">
        <v>338</v>
      </c>
      <c r="J54" s="420">
        <v>200</v>
      </c>
      <c r="K54" s="420">
        <v>30.8</v>
      </c>
      <c r="L54" s="435">
        <v>3.1</v>
      </c>
      <c r="M54" s="432">
        <v>9.1999999999999993</v>
      </c>
      <c r="N54" s="432">
        <v>308</v>
      </c>
      <c r="O54" s="429"/>
    </row>
    <row r="55" spans="1:15" x14ac:dyDescent="0.25">
      <c r="A55" s="419"/>
      <c r="B55" s="420" t="s">
        <v>979</v>
      </c>
      <c r="C55" s="420">
        <v>470</v>
      </c>
      <c r="D55" s="420">
        <v>9.5</v>
      </c>
      <c r="E55" s="412">
        <v>64</v>
      </c>
      <c r="F55" s="412">
        <v>19</v>
      </c>
      <c r="G55" s="420">
        <v>160</v>
      </c>
      <c r="H55" s="420">
        <v>554</v>
      </c>
      <c r="I55" s="420">
        <v>405</v>
      </c>
      <c r="J55" s="420">
        <v>243</v>
      </c>
      <c r="K55" s="420">
        <v>52</v>
      </c>
      <c r="L55" s="435">
        <v>8.1999999999999993</v>
      </c>
      <c r="M55" s="432">
        <v>8.6</v>
      </c>
      <c r="N55" s="432">
        <v>297</v>
      </c>
      <c r="O55" s="429"/>
    </row>
    <row r="56" spans="1:15" x14ac:dyDescent="0.25">
      <c r="B56" s="420" t="s">
        <v>980</v>
      </c>
      <c r="C56" s="420">
        <v>503</v>
      </c>
      <c r="D56" s="420">
        <v>11</v>
      </c>
      <c r="E56" s="412">
        <v>52</v>
      </c>
      <c r="F56" s="412">
        <v>27</v>
      </c>
      <c r="G56" s="420">
        <v>120</v>
      </c>
      <c r="H56" s="420">
        <v>462</v>
      </c>
      <c r="I56" s="420">
        <v>338</v>
      </c>
      <c r="J56" s="420">
        <v>200</v>
      </c>
      <c r="K56" s="414">
        <v>30.8</v>
      </c>
      <c r="L56" s="436">
        <v>3.1</v>
      </c>
      <c r="M56" s="437">
        <v>9.1999999999999993</v>
      </c>
      <c r="N56" s="437">
        <v>308</v>
      </c>
      <c r="O56" s="438"/>
    </row>
    <row r="57" spans="1:15" x14ac:dyDescent="0.25">
      <c r="B57" s="420" t="s">
        <v>981</v>
      </c>
      <c r="C57" s="420">
        <v>503</v>
      </c>
      <c r="D57" s="420">
        <v>11</v>
      </c>
      <c r="E57" s="412">
        <v>52</v>
      </c>
      <c r="F57" s="412">
        <v>27</v>
      </c>
      <c r="G57" s="420">
        <v>120</v>
      </c>
      <c r="H57" s="420">
        <v>462</v>
      </c>
      <c r="I57" s="420">
        <v>338</v>
      </c>
      <c r="J57" s="420">
        <v>200</v>
      </c>
      <c r="K57" s="414">
        <v>30.8</v>
      </c>
      <c r="L57" s="436">
        <v>8.5</v>
      </c>
      <c r="M57" s="437">
        <v>9.1999999999999993</v>
      </c>
      <c r="N57" s="437">
        <v>308</v>
      </c>
      <c r="O57" s="438"/>
    </row>
    <row r="58" spans="1:15" x14ac:dyDescent="0.25">
      <c r="B58" s="420" t="s">
        <v>982</v>
      </c>
      <c r="C58" s="420">
        <v>493</v>
      </c>
      <c r="D58" s="420">
        <v>13</v>
      </c>
      <c r="E58" s="412">
        <v>53</v>
      </c>
      <c r="F58" s="412">
        <v>26</v>
      </c>
      <c r="G58" s="420">
        <v>204</v>
      </c>
      <c r="H58" s="420">
        <v>550</v>
      </c>
      <c r="I58" s="420">
        <v>400</v>
      </c>
      <c r="J58" s="420">
        <v>230</v>
      </c>
      <c r="K58" s="420">
        <v>50</v>
      </c>
      <c r="L58" s="436">
        <v>3.5</v>
      </c>
      <c r="M58" s="437">
        <v>7.8</v>
      </c>
      <c r="N58" s="437">
        <v>315</v>
      </c>
      <c r="O58" s="438"/>
    </row>
    <row r="59" spans="1:15" x14ac:dyDescent="0.25">
      <c r="B59" s="420" t="s">
        <v>983</v>
      </c>
      <c r="C59" s="420">
        <v>493</v>
      </c>
      <c r="D59" s="420">
        <v>13</v>
      </c>
      <c r="E59" s="412">
        <v>53</v>
      </c>
      <c r="F59" s="412">
        <v>26</v>
      </c>
      <c r="G59" s="420">
        <v>204</v>
      </c>
      <c r="H59" s="420">
        <v>550</v>
      </c>
      <c r="I59" s="420">
        <v>400</v>
      </c>
      <c r="J59" s="420">
        <v>230</v>
      </c>
      <c r="K59" s="420">
        <v>50</v>
      </c>
      <c r="L59" s="436">
        <v>7.1</v>
      </c>
      <c r="M59" s="437">
        <v>7.8</v>
      </c>
      <c r="N59" s="437">
        <v>315</v>
      </c>
      <c r="O59" s="438"/>
    </row>
    <row r="60" spans="1:15" x14ac:dyDescent="0.25">
      <c r="B60" s="420" t="s">
        <v>984</v>
      </c>
      <c r="C60" s="419">
        <v>500</v>
      </c>
      <c r="D60" s="419">
        <v>14</v>
      </c>
      <c r="E60" s="415">
        <v>55</v>
      </c>
      <c r="F60" s="415">
        <v>25</v>
      </c>
      <c r="G60" s="419">
        <v>240</v>
      </c>
      <c r="H60" s="419">
        <v>610</v>
      </c>
      <c r="I60" s="419">
        <v>565</v>
      </c>
      <c r="J60" s="419">
        <v>390</v>
      </c>
      <c r="K60" s="419">
        <v>50</v>
      </c>
      <c r="L60" s="428">
        <v>9</v>
      </c>
      <c r="M60" s="427">
        <v>7.5</v>
      </c>
      <c r="N60" s="432">
        <v>480</v>
      </c>
      <c r="O60" s="439"/>
    </row>
    <row r="61" spans="1:15" x14ac:dyDescent="0.25">
      <c r="B61" s="420" t="s">
        <v>38</v>
      </c>
      <c r="C61" s="419">
        <v>466</v>
      </c>
      <c r="D61" s="419">
        <v>11.6</v>
      </c>
      <c r="E61" s="415">
        <v>59</v>
      </c>
      <c r="F61" s="415">
        <v>20</v>
      </c>
      <c r="G61" s="419">
        <v>172</v>
      </c>
      <c r="H61" s="419">
        <v>568</v>
      </c>
      <c r="I61" s="419">
        <v>638</v>
      </c>
      <c r="J61" s="419">
        <v>336</v>
      </c>
      <c r="K61" s="419">
        <v>47</v>
      </c>
      <c r="L61" s="428">
        <v>8.1999999999999993</v>
      </c>
      <c r="M61" s="427">
        <v>7.3</v>
      </c>
      <c r="N61" s="432">
        <v>373</v>
      </c>
      <c r="O61" s="439"/>
    </row>
    <row r="62" spans="1:15" x14ac:dyDescent="0.25">
      <c r="B62" s="420" t="s">
        <v>985</v>
      </c>
      <c r="C62" s="419">
        <v>402</v>
      </c>
      <c r="D62" s="419">
        <v>14.7</v>
      </c>
      <c r="E62" s="415">
        <v>71</v>
      </c>
      <c r="F62" s="415">
        <v>6.7</v>
      </c>
      <c r="G62" s="419">
        <v>402</v>
      </c>
      <c r="H62" s="419">
        <v>603</v>
      </c>
      <c r="I62" s="419">
        <v>322</v>
      </c>
      <c r="J62" s="419">
        <v>267</v>
      </c>
      <c r="K62" s="419">
        <v>84</v>
      </c>
      <c r="L62" s="428">
        <v>6.4</v>
      </c>
      <c r="M62" s="427">
        <v>2.8</v>
      </c>
      <c r="N62" s="432">
        <v>503</v>
      </c>
      <c r="O62" s="439"/>
    </row>
    <row r="63" spans="1:15" x14ac:dyDescent="0.25">
      <c r="B63" s="420" t="s">
        <v>986</v>
      </c>
      <c r="C63" s="419">
        <v>515</v>
      </c>
      <c r="D63" s="419">
        <v>14</v>
      </c>
      <c r="E63" s="415">
        <v>53.4</v>
      </c>
      <c r="F63" s="415">
        <v>27.3</v>
      </c>
      <c r="G63" s="419">
        <v>140</v>
      </c>
      <c r="H63" s="419">
        <v>507</v>
      </c>
      <c r="I63" s="419">
        <v>390</v>
      </c>
      <c r="J63" s="419">
        <v>218</v>
      </c>
      <c r="K63" s="419">
        <v>40</v>
      </c>
      <c r="L63" s="428">
        <v>6</v>
      </c>
      <c r="M63" s="427">
        <v>9.8000000000000007</v>
      </c>
      <c r="N63" s="432">
        <v>310</v>
      </c>
      <c r="O63" s="439"/>
    </row>
    <row r="64" spans="1:15" x14ac:dyDescent="0.25">
      <c r="B64" s="420" t="s">
        <v>987</v>
      </c>
      <c r="C64" s="420">
        <v>474</v>
      </c>
      <c r="D64" s="420">
        <v>15.6</v>
      </c>
      <c r="E64" s="412">
        <v>22.9</v>
      </c>
      <c r="F64" s="412">
        <v>49.8</v>
      </c>
      <c r="G64" s="420">
        <v>415</v>
      </c>
      <c r="H64" s="420">
        <v>474</v>
      </c>
      <c r="I64" s="420">
        <v>593</v>
      </c>
      <c r="J64" s="420">
        <v>332</v>
      </c>
      <c r="K64" s="427">
        <v>47</v>
      </c>
      <c r="L64" s="412">
        <v>9.5</v>
      </c>
      <c r="M64" s="420">
        <v>18</v>
      </c>
      <c r="N64" s="420">
        <v>504</v>
      </c>
      <c r="O64" s="425"/>
    </row>
    <row r="65" spans="2:15" x14ac:dyDescent="0.25">
      <c r="B65" s="420" t="s">
        <v>974</v>
      </c>
      <c r="C65" s="420">
        <v>491</v>
      </c>
      <c r="D65" s="420">
        <v>13.4</v>
      </c>
      <c r="E65" s="412">
        <v>49.1</v>
      </c>
      <c r="F65" s="412">
        <v>26</v>
      </c>
      <c r="G65" s="420">
        <v>183</v>
      </c>
      <c r="H65" s="420">
        <v>504</v>
      </c>
      <c r="I65" s="420">
        <v>569</v>
      </c>
      <c r="J65" s="420">
        <v>308</v>
      </c>
      <c r="K65" s="427">
        <v>46</v>
      </c>
      <c r="L65" s="412">
        <v>7.9</v>
      </c>
      <c r="M65" s="420">
        <v>11</v>
      </c>
      <c r="N65" s="420">
        <v>360</v>
      </c>
      <c r="O65" s="425"/>
    </row>
    <row r="66" spans="2:15" x14ac:dyDescent="0.25">
      <c r="B66" s="427" t="s">
        <v>988</v>
      </c>
      <c r="C66" s="419">
        <v>338</v>
      </c>
      <c r="D66" s="419">
        <v>82.1</v>
      </c>
      <c r="E66" s="415">
        <v>2.2000000000000002</v>
      </c>
      <c r="F66" s="415">
        <v>0.1</v>
      </c>
      <c r="G66" s="419">
        <v>776</v>
      </c>
      <c r="H66" s="419">
        <v>1226</v>
      </c>
      <c r="I66" s="419">
        <v>524</v>
      </c>
      <c r="J66" s="419">
        <v>516</v>
      </c>
      <c r="K66" s="419">
        <v>46</v>
      </c>
      <c r="L66" s="412">
        <v>0</v>
      </c>
      <c r="M66" s="420">
        <v>0</v>
      </c>
      <c r="N66" s="420">
        <v>66</v>
      </c>
      <c r="O66" s="425"/>
    </row>
    <row r="67" spans="2:15" x14ac:dyDescent="0.25">
      <c r="B67" s="427" t="s">
        <v>989</v>
      </c>
      <c r="C67" s="427">
        <v>450</v>
      </c>
      <c r="D67" s="427">
        <v>0</v>
      </c>
      <c r="E67" s="428">
        <v>0</v>
      </c>
      <c r="F67" s="428">
        <v>50</v>
      </c>
      <c r="G67" s="427">
        <v>7</v>
      </c>
      <c r="H67" s="427">
        <v>0</v>
      </c>
      <c r="I67" s="427">
        <v>0</v>
      </c>
      <c r="J67" s="427">
        <v>0</v>
      </c>
      <c r="K67" s="427">
        <v>0</v>
      </c>
      <c r="L67" s="428">
        <v>0</v>
      </c>
      <c r="M67" s="427">
        <v>0</v>
      </c>
      <c r="N67" s="432">
        <v>0.1</v>
      </c>
      <c r="O67" s="439"/>
    </row>
    <row r="68" spans="2:15" x14ac:dyDescent="0.25">
      <c r="B68" s="427" t="s">
        <v>990</v>
      </c>
      <c r="C68" s="427">
        <v>450</v>
      </c>
      <c r="D68" s="427">
        <v>0</v>
      </c>
      <c r="E68" s="428">
        <v>0</v>
      </c>
      <c r="F68" s="428">
        <v>50</v>
      </c>
      <c r="G68" s="427">
        <v>5</v>
      </c>
      <c r="H68" s="427">
        <v>0.1</v>
      </c>
      <c r="I68" s="427">
        <v>0.3</v>
      </c>
      <c r="J68" s="427">
        <v>0</v>
      </c>
      <c r="K68" s="427">
        <v>0</v>
      </c>
      <c r="L68" s="428">
        <v>0</v>
      </c>
      <c r="M68" s="427">
        <v>0</v>
      </c>
      <c r="N68" s="432">
        <v>0.01</v>
      </c>
      <c r="O68" s="439"/>
    </row>
    <row r="69" spans="2:15" x14ac:dyDescent="0.25">
      <c r="B69" s="427" t="s">
        <v>572</v>
      </c>
      <c r="C69" s="427">
        <v>384</v>
      </c>
      <c r="D69" s="427">
        <v>0</v>
      </c>
      <c r="E69" s="428">
        <v>96</v>
      </c>
      <c r="F69" s="428">
        <v>0</v>
      </c>
      <c r="G69" s="427">
        <v>2</v>
      </c>
      <c r="H69" s="427">
        <v>0</v>
      </c>
      <c r="I69" s="427">
        <v>0</v>
      </c>
      <c r="J69" s="427">
        <v>0</v>
      </c>
      <c r="K69" s="427">
        <v>0</v>
      </c>
      <c r="L69" s="428">
        <v>0</v>
      </c>
      <c r="M69" s="427">
        <v>0</v>
      </c>
      <c r="N69" s="432">
        <v>0</v>
      </c>
      <c r="O69" s="439"/>
    </row>
    <row r="70" spans="2:15" x14ac:dyDescent="0.25">
      <c r="B70" s="427" t="s">
        <v>991</v>
      </c>
      <c r="C70" s="427">
        <v>493</v>
      </c>
      <c r="D70" s="427">
        <v>11.6</v>
      </c>
      <c r="E70" s="428">
        <v>51.8</v>
      </c>
      <c r="F70" s="440">
        <v>25.7</v>
      </c>
      <c r="G70" s="427">
        <v>150</v>
      </c>
      <c r="H70" s="427">
        <v>598</v>
      </c>
      <c r="I70" s="427">
        <v>346</v>
      </c>
      <c r="J70" s="427">
        <v>191</v>
      </c>
      <c r="K70" s="427">
        <v>39</v>
      </c>
      <c r="L70" s="428">
        <v>3.9</v>
      </c>
      <c r="M70" s="441">
        <v>9.4</v>
      </c>
      <c r="N70" s="437">
        <v>290</v>
      </c>
      <c r="O70" s="442"/>
    </row>
    <row r="71" spans="2:15" x14ac:dyDescent="0.25">
      <c r="B71" s="427" t="s">
        <v>992</v>
      </c>
      <c r="C71" s="427">
        <v>483</v>
      </c>
      <c r="D71" s="427">
        <v>11</v>
      </c>
      <c r="E71" s="428">
        <v>52.5</v>
      </c>
      <c r="F71" s="428">
        <v>24.6</v>
      </c>
      <c r="G71" s="427">
        <v>181</v>
      </c>
      <c r="H71" s="427">
        <v>530</v>
      </c>
      <c r="I71" s="427">
        <v>339</v>
      </c>
      <c r="J71" s="427">
        <v>190</v>
      </c>
      <c r="K71" s="427">
        <v>37</v>
      </c>
      <c r="L71" s="428">
        <v>3.9</v>
      </c>
      <c r="M71" s="441">
        <v>8.8000000000000007</v>
      </c>
      <c r="N71" s="437">
        <v>302</v>
      </c>
      <c r="O71" s="442"/>
    </row>
    <row r="72" spans="2:15" x14ac:dyDescent="0.25">
      <c r="B72" s="427" t="s">
        <v>993</v>
      </c>
      <c r="C72" s="427">
        <v>483</v>
      </c>
      <c r="D72" s="427">
        <v>13</v>
      </c>
      <c r="E72" s="428">
        <v>52.5</v>
      </c>
      <c r="F72" s="428">
        <v>24.5</v>
      </c>
      <c r="G72" s="427">
        <v>189</v>
      </c>
      <c r="H72" s="427">
        <v>525</v>
      </c>
      <c r="I72" s="427">
        <v>475</v>
      </c>
      <c r="J72" s="427">
        <v>341</v>
      </c>
      <c r="K72" s="427">
        <v>51</v>
      </c>
      <c r="L72" s="428">
        <v>7.25</v>
      </c>
      <c r="M72" s="441">
        <v>8.8000000000000007</v>
      </c>
      <c r="N72" s="437">
        <v>386</v>
      </c>
      <c r="O72" s="442"/>
    </row>
    <row r="73" spans="2:15" x14ac:dyDescent="0.25">
      <c r="B73" s="427" t="s">
        <v>994</v>
      </c>
      <c r="C73" s="427">
        <v>475</v>
      </c>
      <c r="D73" s="427">
        <v>13.3</v>
      </c>
      <c r="E73" s="428">
        <v>56</v>
      </c>
      <c r="F73" s="428">
        <v>22</v>
      </c>
      <c r="G73" s="427">
        <v>285</v>
      </c>
      <c r="H73" s="427">
        <v>546</v>
      </c>
      <c r="I73" s="427">
        <v>428</v>
      </c>
      <c r="J73" s="427">
        <v>309</v>
      </c>
      <c r="K73" s="427">
        <v>66.5</v>
      </c>
      <c r="L73" s="428">
        <v>5.7</v>
      </c>
      <c r="M73" s="427">
        <v>6.2</v>
      </c>
      <c r="N73" s="432">
        <v>437</v>
      </c>
      <c r="O73" s="439"/>
    </row>
    <row r="74" spans="2:15" x14ac:dyDescent="0.25">
      <c r="B74" s="432" t="s">
        <v>1103</v>
      </c>
      <c r="C74" s="443">
        <v>484</v>
      </c>
      <c r="D74" s="443">
        <v>9.6999999999999993</v>
      </c>
      <c r="E74" s="443">
        <v>53.8</v>
      </c>
      <c r="F74" s="443">
        <v>24.7</v>
      </c>
      <c r="G74" s="443">
        <v>125</v>
      </c>
      <c r="H74" s="443">
        <v>501</v>
      </c>
      <c r="I74" s="443">
        <v>418</v>
      </c>
      <c r="J74" s="443">
        <v>237</v>
      </c>
      <c r="K74" s="443">
        <v>37</v>
      </c>
      <c r="L74" s="443">
        <v>3.9</v>
      </c>
      <c r="M74" s="443">
        <v>8.6999999999999993</v>
      </c>
      <c r="N74" s="433">
        <v>304</v>
      </c>
    </row>
    <row r="75" spans="2:15" x14ac:dyDescent="0.25">
      <c r="B75" s="432" t="s">
        <v>1048</v>
      </c>
      <c r="C75" s="443">
        <v>318</v>
      </c>
      <c r="D75" s="443">
        <v>0</v>
      </c>
      <c r="E75" s="443">
        <v>66.2</v>
      </c>
      <c r="F75" s="443">
        <v>0.3</v>
      </c>
      <c r="G75" s="443">
        <v>6</v>
      </c>
      <c r="H75" s="443">
        <v>91</v>
      </c>
      <c r="I75" s="443">
        <v>335</v>
      </c>
      <c r="J75" s="443">
        <v>12</v>
      </c>
      <c r="K75" s="443">
        <v>9.1</v>
      </c>
      <c r="L75" s="443">
        <v>8.8000000000000007</v>
      </c>
      <c r="M75" s="443">
        <v>0</v>
      </c>
      <c r="N75" s="433">
        <v>109</v>
      </c>
    </row>
    <row r="76" spans="2:15" x14ac:dyDescent="0.25">
      <c r="B76" s="432"/>
      <c r="C76" s="443"/>
      <c r="D76" s="443"/>
      <c r="E76" s="443"/>
      <c r="F76" s="443"/>
      <c r="G76" s="443"/>
      <c r="H76" s="443"/>
      <c r="I76" s="443"/>
      <c r="J76" s="443"/>
      <c r="K76" s="443"/>
      <c r="L76" s="443"/>
      <c r="M76" s="443"/>
      <c r="N76" s="433"/>
    </row>
  </sheetData>
  <sortState ref="C14:C46">
    <sortCondition ref="C13"/>
  </sortState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G22"/>
  <sheetViews>
    <sheetView zoomScaleNormal="100" workbookViewId="0"/>
  </sheetViews>
  <sheetFormatPr defaultColWidth="9.140625" defaultRowHeight="12.75" x14ac:dyDescent="0.2"/>
  <cols>
    <col min="1" max="1" width="7.140625" style="320" customWidth="1"/>
    <col min="2" max="2" width="6" style="320" customWidth="1"/>
    <col min="3" max="3" width="26.42578125" style="320" customWidth="1"/>
    <col min="4" max="4" width="4.5703125" style="320" customWidth="1"/>
    <col min="5" max="5" width="9.140625" style="320"/>
    <col min="6" max="6" width="4.28515625" style="320" customWidth="1"/>
    <col min="7" max="7" width="11.7109375" style="320" customWidth="1"/>
    <col min="8" max="23" width="2.7109375" style="15" customWidth="1"/>
    <col min="24" max="33" width="2.7109375" style="320" customWidth="1"/>
    <col min="34" max="16384" width="9.140625" style="320"/>
  </cols>
  <sheetData>
    <row r="1" spans="1:33" ht="19.5" customHeight="1" thickBot="1" x14ac:dyDescent="0.25">
      <c r="A1" s="361"/>
      <c r="B1" s="320" t="str">
        <f>"Naam: "&amp;__2_AchterNaam&amp;", "&amp;__3_VoorNaam</f>
        <v xml:space="preserve">Naam: , </v>
      </c>
      <c r="D1" s="320" t="str">
        <f>"Geboortedatum: "</f>
        <v xml:space="preserve">Geboortedatum: </v>
      </c>
      <c r="F1" s="1011">
        <f>__4_GebDatum</f>
        <v>1462</v>
      </c>
      <c r="G1" s="1011"/>
      <c r="I1" s="8" t="str">
        <f>"Gewicht: "&amp;ROUND(_Pat_Gewicht/10,1)&amp;"kg"</f>
        <v>Gewicht: 0kg</v>
      </c>
      <c r="P1" s="8" t="s">
        <v>194</v>
      </c>
      <c r="R1" s="1009"/>
      <c r="S1" s="1009"/>
      <c r="T1" s="1009"/>
      <c r="U1" s="1009"/>
      <c r="V1" s="1009"/>
      <c r="W1" s="1009"/>
      <c r="Y1" s="320" t="s">
        <v>316</v>
      </c>
      <c r="AB1" s="1010">
        <f ca="1">TODAY()</f>
        <v>42748</v>
      </c>
      <c r="AC1" s="1010"/>
      <c r="AD1" s="1010"/>
      <c r="AE1" s="1010"/>
      <c r="AF1" s="1010"/>
    </row>
    <row r="2" spans="1:33" ht="26.1" customHeight="1" x14ac:dyDescent="0.2">
      <c r="B2" s="90"/>
      <c r="C2" s="91" t="s">
        <v>343</v>
      </c>
      <c r="D2" s="92" t="s">
        <v>344</v>
      </c>
      <c r="E2" s="92"/>
      <c r="F2" s="92"/>
      <c r="G2" s="93" t="s">
        <v>323</v>
      </c>
      <c r="H2" s="94">
        <v>9</v>
      </c>
      <c r="I2" s="94">
        <v>10</v>
      </c>
      <c r="J2" s="94">
        <v>11</v>
      </c>
      <c r="K2" s="94">
        <v>12</v>
      </c>
      <c r="L2" s="94">
        <v>13</v>
      </c>
      <c r="M2" s="94">
        <v>14</v>
      </c>
      <c r="N2" s="94">
        <v>15</v>
      </c>
      <c r="O2" s="94">
        <v>16</v>
      </c>
      <c r="P2" s="94">
        <v>17</v>
      </c>
      <c r="Q2" s="94">
        <v>18</v>
      </c>
      <c r="R2" s="94">
        <v>19</v>
      </c>
      <c r="S2" s="94">
        <v>20</v>
      </c>
      <c r="T2" s="94">
        <v>21</v>
      </c>
      <c r="U2" s="94">
        <v>22</v>
      </c>
      <c r="V2" s="94">
        <v>23</v>
      </c>
      <c r="W2" s="94">
        <v>24</v>
      </c>
      <c r="X2" s="94">
        <v>1</v>
      </c>
      <c r="Y2" s="94">
        <v>2</v>
      </c>
      <c r="Z2" s="94">
        <v>3</v>
      </c>
      <c r="AA2" s="94">
        <v>4</v>
      </c>
      <c r="AB2" s="94">
        <v>5</v>
      </c>
      <c r="AC2" s="94">
        <v>6</v>
      </c>
      <c r="AD2" s="94">
        <v>7</v>
      </c>
      <c r="AE2" s="94">
        <v>8</v>
      </c>
      <c r="AF2" s="96"/>
      <c r="AG2" s="96"/>
    </row>
    <row r="3" spans="1:33" ht="26.1" customHeight="1" x14ac:dyDescent="0.2">
      <c r="B3" s="98"/>
      <c r="C3" s="129" t="str">
        <f>IF(GlobBerMedDisc!C2&lt;&gt;"",IF(GlobBerMedDisc!C2&gt;1,TRIM(GlobBerMedDisc!C2)&amp;", "&amp;GlobBerOpm!#REF!&amp;" ("&amp;GlobBerMedDisc!M2&amp;" "&amp;GlobBerMedDisc!F2&amp;"/kg/dag)",TRIM(GlobBerMedDisc!C2)&amp;", "&amp;GlobBerOpm!#REF!),"")</f>
        <v/>
      </c>
      <c r="D3" s="130" t="str">
        <f>IF(GlobGuiMedDisc!I9&lt;&gt;"",GlobGuiMedDisc!I9,"")</f>
        <v/>
      </c>
      <c r="E3" s="131" t="str">
        <f>IF(AND(D3&lt;&gt;"",D3&lt;&gt;"STOP"),GlobBerMedDisc!H2&amp;" "&amp;GlobBerMedDisc!F2,"")</f>
        <v/>
      </c>
      <c r="F3" s="131" t="str">
        <f>IF(AND(D3&lt;&gt;"",D3&lt;&gt;"STOP"),GlobBerMedDisc!L2," ")</f>
        <v xml:space="preserve"> </v>
      </c>
      <c r="G3" s="131" t="str">
        <f>IF(GlobGuiMedDisc!N9&lt;&gt;"",GlobGuiMedDisc!N9&amp;" "&amp;GlobGuiMedDisc!O9&amp;" "&amp;INDEX(GlobBerMedDisc!$B$27:$B$30,GlobBerMedDisc!O2,1)&amp;" in "&amp;GlobGuiMedDisc!$R$9,"")</f>
        <v/>
      </c>
      <c r="H3" s="97" t="str">
        <f>IF(OR($D3="1 dd",$D3="2 dd",$D3="3 dd",$D3="4 dd",$D3="5 dd",$D3="6 dd",$D3="8 dd",$D3="12 dd",$D3="24 dd",$D3="an",$D3="zn"),VLOOKUP($D3,NeoTblTijden!$A$17:$Y$27,NeoTblTijden!B$15,FALSE),"")</f>
        <v/>
      </c>
      <c r="I3" s="383" t="str">
        <f>IF(OR($D3="1 dd",$D3="2 dd",$D3="3 dd",$D3="4 dd",$D3="5 dd",$D3="6 dd",$D3="8 dd",$D3="12 dd",$D3="24 dd",$D3="an",$D3="zn"),VLOOKUP($D3,NeoTblTijden!$A$17:$Y$27,NeoTblTijden!C$15,FALSE),"")</f>
        <v/>
      </c>
      <c r="J3" s="97" t="str">
        <f>IF(OR($D3="1 dd",$D3="2 dd",$D3="3 dd",$D3="4 dd",$D3="5 dd",$D3="6 dd",$D3="8 dd",$D3="12 dd",$D3="24 dd",$D3="an",$D3="zn"),VLOOKUP($D3,NeoTblTijden!$A$17:$Y$27,NeoTblTijden!D$15,FALSE),"")</f>
        <v/>
      </c>
      <c r="K3" s="383" t="str">
        <f>IF(OR($D3="1 dd",$D3="2 dd",$D3="3 dd",$D3="4 dd",$D3="5 dd",$D3="6 dd",$D3="8 dd",$D3="12 dd",$D3="24 dd",$D3="an",$D3="zn"),VLOOKUP($D3,NeoTblTijden!$A$17:$Y$27,NeoTblTijden!E$15,FALSE),"")</f>
        <v/>
      </c>
      <c r="L3" s="97" t="str">
        <f>IF(OR($D3="1 dd",$D3="2 dd",$D3="3 dd",$D3="4 dd",$D3="5 dd",$D3="6 dd",$D3="8 dd",$D3="12 dd",$D3="24 dd",$D3="an",$D3="zn"),VLOOKUP($D3,NeoTblTijden!$A$17:$Y$27,NeoTblTijden!F$15,FALSE),"")</f>
        <v/>
      </c>
      <c r="M3" s="383" t="str">
        <f>IF(OR($D3="1 dd",$D3="2 dd",$D3="3 dd",$D3="4 dd",$D3="5 dd",$D3="6 dd",$D3="8 dd",$D3="12 dd",$D3="24 dd",$D3="an",$D3="zn"),VLOOKUP($D3,NeoTblTijden!$A$17:$Y$27,NeoTblTijden!G$15,FALSE),"")</f>
        <v/>
      </c>
      <c r="N3" s="97" t="str">
        <f>IF(OR($D3="1 dd",$D3="2 dd",$D3="3 dd",$D3="4 dd",$D3="5 dd",$D3="6 dd",$D3="8 dd",$D3="12 dd",$D3="24 dd",$D3="an",$D3="zn"),VLOOKUP($D3,NeoTblTijden!$A$17:$Y$27,NeoTblTijden!H$15,FALSE),"")</f>
        <v/>
      </c>
      <c r="O3" s="383" t="str">
        <f>IF(OR($D3="1 dd",$D3="2 dd",$D3="3 dd",$D3="4 dd",$D3="5 dd",$D3="6 dd",$D3="8 dd",$D3="12 dd",$D3="24 dd",$D3="an",$D3="zn"),VLOOKUP($D3,NeoTblTijden!$A$17:$Y$27,NeoTblTijden!I$15,FALSE),"")</f>
        <v/>
      </c>
      <c r="P3" s="97" t="str">
        <f>IF(OR($D3="1 dd",$D3="2 dd",$D3="3 dd",$D3="4 dd",$D3="5 dd",$D3="6 dd",$D3="8 dd",$D3="12 dd",$D3="24 dd",$D3="an",$D3="zn"),VLOOKUP($D3,NeoTblTijden!$A$17:$Y$27,NeoTblTijden!J$15,FALSE),"")</f>
        <v/>
      </c>
      <c r="Q3" s="383" t="str">
        <f>IF(OR($D3="1 dd",$D3="2 dd",$D3="3 dd",$D3="4 dd",$D3="5 dd",$D3="6 dd",$D3="8 dd",$D3="12 dd",$D3="24 dd",$D3="an",$D3="zn"),VLOOKUP($D3,NeoTblTijden!$A$17:$Y$27,NeoTblTijden!K$15,FALSE),"")</f>
        <v/>
      </c>
      <c r="R3" s="97" t="str">
        <f>IF(OR($D3="1 dd",$D3="2 dd",$D3="3 dd",$D3="4 dd",$D3="5 dd",$D3="6 dd",$D3="8 dd",$D3="12 dd",$D3="24 dd",$D3="an",$D3="zn"),VLOOKUP($D3,NeoTblTijden!$A$17:$Y$27,NeoTblTijden!L$15,FALSE),"")</f>
        <v/>
      </c>
      <c r="S3" s="383" t="str">
        <f>IF(OR($D3="1 dd",$D3="2 dd",$D3="3 dd",$D3="4 dd",$D3="5 dd",$D3="6 dd",$D3="8 dd",$D3="12 dd",$D3="24 dd",$D3="an",$D3="zn"),VLOOKUP($D3,NeoTblTijden!$A$17:$Y$27,NeoTblTijden!M$15,FALSE),"")</f>
        <v/>
      </c>
      <c r="T3" s="97" t="str">
        <f>IF(OR($D3="1 dd",$D3="2 dd",$D3="3 dd",$D3="4 dd",$D3="5 dd",$D3="6 dd",$D3="8 dd",$D3="12 dd",$D3="24 dd",$D3="an",$D3="zn"),VLOOKUP($D3,NeoTblTijden!$A$17:$Y$27,NeoTblTijden!N$15,FALSE),"")</f>
        <v/>
      </c>
      <c r="U3" s="383" t="str">
        <f>IF(OR($D3="1 dd",$D3="2 dd",$D3="3 dd",$D3="4 dd",$D3="5 dd",$D3="6 dd",$D3="8 dd",$D3="12 dd",$D3="24 dd",$D3="an",$D3="zn"),VLOOKUP($D3,NeoTblTijden!$A$17:$Y$27,NeoTblTijden!O$15,FALSE),"")</f>
        <v/>
      </c>
      <c r="V3" s="97" t="str">
        <f>IF(OR($D3="1 dd",$D3="2 dd",$D3="3 dd",$D3="4 dd",$D3="5 dd",$D3="6 dd",$D3="8 dd",$D3="12 dd",$D3="24 dd",$D3="an",$D3="zn"),VLOOKUP($D3,NeoTblTijden!$A$17:$Y$27,NeoTblTijden!P$15,FALSE),"")</f>
        <v/>
      </c>
      <c r="W3" s="383" t="str">
        <f>IF(OR($D3="1 dd",$D3="2 dd",$D3="3 dd",$D3="4 dd",$D3="5 dd",$D3="6 dd",$D3="8 dd",$D3="12 dd",$D3="24 dd",$D3="an",$D3="zn"),VLOOKUP($D3,NeoTblTijden!$A$17:$Y$27,NeoTblTijden!Q$15,FALSE),"")</f>
        <v/>
      </c>
      <c r="X3" s="97" t="str">
        <f>IF(OR($D3="1 dd",$D3="2 dd",$D3="3 dd",$D3="4 dd",$D3="5 dd",$D3="6 dd",$D3="8 dd",$D3="12 dd",$D3="24 dd",$D3="an",$D3="zn"),VLOOKUP($D3,NeoTblTijden!$A$17:$Y$27,NeoTblTijden!R$15,FALSE),"")</f>
        <v/>
      </c>
      <c r="Y3" s="383" t="str">
        <f>IF(OR($D3="1 dd",$D3="2 dd",$D3="3 dd",$D3="4 dd",$D3="5 dd",$D3="6 dd",$D3="8 dd",$D3="12 dd",$D3="24 dd",$D3="an",$D3="zn"),VLOOKUP($D3,NeoTblTijden!$A$17:$Y$27,NeoTblTijden!S$15,FALSE),"")</f>
        <v/>
      </c>
      <c r="Z3" s="97" t="str">
        <f>IF(OR($D3="1 dd",$D3="2 dd",$D3="3 dd",$D3="4 dd",$D3="5 dd",$D3="6 dd",$D3="8 dd",$D3="12 dd",$D3="24 dd",$D3="an",$D3="zn"),VLOOKUP($D3,NeoTblTijden!$A$17:$Y$27,NeoTblTijden!T$15,FALSE),"")</f>
        <v/>
      </c>
      <c r="AA3" s="383" t="str">
        <f>IF(OR($D3="1 dd",$D3="2 dd",$D3="3 dd",$D3="4 dd",$D3="5 dd",$D3="6 dd",$D3="8 dd",$D3="12 dd",$D3="24 dd",$D3="an",$D3="zn"),VLOOKUP($D3,NeoTblTijden!$A$17:$Y$27,NeoTblTijden!U$15,FALSE),"")</f>
        <v/>
      </c>
      <c r="AB3" s="97" t="str">
        <f>IF(OR($D3="1 dd",$D3="2 dd",$D3="3 dd",$D3="4 dd",$D3="5 dd",$D3="6 dd",$D3="8 dd",$D3="12 dd",$D3="24 dd",$D3="an",$D3="zn"),VLOOKUP($D3,NeoTblTijden!$A$17:$Y$27,NeoTblTijden!V$15,FALSE),"")</f>
        <v/>
      </c>
      <c r="AC3" s="383" t="str">
        <f>IF(OR($D3="1 dd",$D3="2 dd",$D3="3 dd",$D3="4 dd",$D3="5 dd",$D3="6 dd",$D3="8 dd",$D3="12 dd",$D3="24 dd",$D3="an",$D3="zn"),VLOOKUP($D3,NeoTblTijden!$A$17:$Y$27,NeoTblTijden!W$15,FALSE),"")</f>
        <v/>
      </c>
      <c r="AD3" s="97" t="str">
        <f>IF(OR($D3="1 dd",$D3="2 dd",$D3="3 dd",$D3="4 dd",$D3="5 dd",$D3="6 dd",$D3="8 dd",$D3="12 dd",$D3="24 dd",$D3="an",$D3="zn"),VLOOKUP($D3,NeoTblTijden!$A$17:$Y$27,NeoTblTijden!X$15,FALSE),"")</f>
        <v/>
      </c>
      <c r="AE3" s="383" t="str">
        <f>IF(OR($D3="1 dd",$D3="2 dd",$D3="3 dd",$D3="4 dd",$D3="5 dd",$D3="6 dd",$D3="8 dd",$D3="12 dd",$D3="24 dd",$D3="an",$D3="zn"),VLOOKUP($D3,NeoTblTijden!$A$17:$Y$27,NeoTblTijden!Y$15,FALSE),"")</f>
        <v/>
      </c>
      <c r="AF3" s="96"/>
      <c r="AG3" s="16"/>
    </row>
    <row r="4" spans="1:33" ht="26.1" customHeight="1" x14ac:dyDescent="0.2">
      <c r="B4" s="98"/>
      <c r="C4" s="129" t="str">
        <f>IF(GlobBerMedDisc!C3&lt;&gt;"",IF(GlobBerMedDisc!C3&gt;1,TRIM(GlobBerMedDisc!C3)&amp;", "&amp;GlobBerOpm!#REF!&amp;" ("&amp;GlobBerMedDisc!M3&amp;" "&amp;GlobBerMedDisc!F3&amp;"/kg/dag)",TRIM(GlobBerMedDisc!C3)&amp;", "&amp;GlobBerOpm!#REF!),"")</f>
        <v/>
      </c>
      <c r="D4" s="130" t="str">
        <f>IF(GlobGuiMedDisc!I10&lt;&gt;"",GlobGuiMedDisc!I10,"")</f>
        <v/>
      </c>
      <c r="E4" s="131" t="str">
        <f>IF(AND(D4&lt;&gt;"",D4&lt;&gt;"STOP"),GlobBerMedDisc!H3&amp;" "&amp;GlobBerMedDisc!F3,"")</f>
        <v/>
      </c>
      <c r="F4" s="131" t="str">
        <f>IF(AND(D4&lt;&gt;"",D4&lt;&gt;"STOP"),GlobBerMedDisc!L3," ")</f>
        <v xml:space="preserve"> </v>
      </c>
      <c r="G4" s="131" t="str">
        <f>IF(GlobGuiMedDisc!N10&lt;&gt;"",GlobGuiMedDisc!N10&amp;" "&amp;GlobGuiMedDisc!O10&amp;" "&amp;INDEX(GlobBerMedDisc!$B$27:$B$30,GlobBerMedDisc!O3,1)&amp;" in "&amp;GlobGuiMedDisc!$R$10,"")</f>
        <v/>
      </c>
      <c r="H4" s="97" t="str">
        <f>IF(OR($D4="1 dd",$D4="2 dd",$D4="3 dd",$D4="4 dd",$D4="5 dd",$D4="6 dd",$D4="8 dd",$D4="12 dd",$D4="24 dd",$D4="an",$D4="zn"),VLOOKUP($D4,NeoTblTijden!$A$17:$Y$27,NeoTblTijden!B$15,FALSE),"")</f>
        <v/>
      </c>
      <c r="I4" s="383" t="str">
        <f>IF(OR($D4="1 dd",$D4="2 dd",$D4="3 dd",$D4="4 dd",$D4="5 dd",$D4="6 dd",$D4="8 dd",$D4="12 dd",$D4="24 dd",$D4="an",$D4="zn"),VLOOKUP($D4,NeoTblTijden!$A$17:$Y$27,NeoTblTijden!C$15,FALSE),"")</f>
        <v/>
      </c>
      <c r="J4" s="97" t="str">
        <f>IF(OR($D4="1 dd",$D4="2 dd",$D4="3 dd",$D4="4 dd",$D4="5 dd",$D4="6 dd",$D4="8 dd",$D4="12 dd",$D4="24 dd",$D4="an",$D4="zn"),VLOOKUP($D4,NeoTblTijden!$A$17:$Y$27,NeoTblTijden!D$15,FALSE),"")</f>
        <v/>
      </c>
      <c r="K4" s="383" t="str">
        <f>IF(OR($D4="1 dd",$D4="2 dd",$D4="3 dd",$D4="4 dd",$D4="5 dd",$D4="6 dd",$D4="8 dd",$D4="12 dd",$D4="24 dd",$D4="an",$D4="zn"),VLOOKUP($D4,NeoTblTijden!$A$17:$Y$27,NeoTblTijden!E$15,FALSE),"")</f>
        <v/>
      </c>
      <c r="L4" s="97" t="str">
        <f>IF(OR($D4="1 dd",$D4="2 dd",$D4="3 dd",$D4="4 dd",$D4="5 dd",$D4="6 dd",$D4="8 dd",$D4="12 dd",$D4="24 dd",$D4="an",$D4="zn"),VLOOKUP($D4,NeoTblTijden!$A$17:$Y$27,NeoTblTijden!F$15,FALSE),"")</f>
        <v/>
      </c>
      <c r="M4" s="383" t="str">
        <f>IF(OR($D4="1 dd",$D4="2 dd",$D4="3 dd",$D4="4 dd",$D4="5 dd",$D4="6 dd",$D4="8 dd",$D4="12 dd",$D4="24 dd",$D4="an",$D4="zn"),VLOOKUP($D4,NeoTblTijden!$A$17:$Y$27,NeoTblTijden!G$15,FALSE),"")</f>
        <v/>
      </c>
      <c r="N4" s="97" t="str">
        <f>IF(OR($D4="1 dd",$D4="2 dd",$D4="3 dd",$D4="4 dd",$D4="5 dd",$D4="6 dd",$D4="8 dd",$D4="12 dd",$D4="24 dd",$D4="an",$D4="zn"),VLOOKUP($D4,NeoTblTijden!$A$17:$Y$27,NeoTblTijden!H$15,FALSE),"")</f>
        <v/>
      </c>
      <c r="O4" s="383" t="str">
        <f>IF(OR($D4="1 dd",$D4="2 dd",$D4="3 dd",$D4="4 dd",$D4="5 dd",$D4="6 dd",$D4="8 dd",$D4="12 dd",$D4="24 dd",$D4="an",$D4="zn"),VLOOKUP($D4,NeoTblTijden!$A$17:$Y$27,NeoTblTijden!I$15,FALSE),"")</f>
        <v/>
      </c>
      <c r="P4" s="97" t="str">
        <f>IF(OR($D4="1 dd",$D4="2 dd",$D4="3 dd",$D4="4 dd",$D4="5 dd",$D4="6 dd",$D4="8 dd",$D4="12 dd",$D4="24 dd",$D4="an",$D4="zn"),VLOOKUP($D4,NeoTblTijden!$A$17:$Y$27,NeoTblTijden!J$15,FALSE),"")</f>
        <v/>
      </c>
      <c r="Q4" s="383" t="str">
        <f>IF(OR($D4="1 dd",$D4="2 dd",$D4="3 dd",$D4="4 dd",$D4="5 dd",$D4="6 dd",$D4="8 dd",$D4="12 dd",$D4="24 dd",$D4="an",$D4="zn"),VLOOKUP($D4,NeoTblTijden!$A$17:$Y$27,NeoTblTijden!K$15,FALSE),"")</f>
        <v/>
      </c>
      <c r="R4" s="97" t="str">
        <f>IF(OR($D4="1 dd",$D4="2 dd",$D4="3 dd",$D4="4 dd",$D4="5 dd",$D4="6 dd",$D4="8 dd",$D4="12 dd",$D4="24 dd",$D4="an",$D4="zn"),VLOOKUP($D4,NeoTblTijden!$A$17:$Y$27,NeoTblTijden!L$15,FALSE),"")</f>
        <v/>
      </c>
      <c r="S4" s="383" t="str">
        <f>IF(OR($D4="1 dd",$D4="2 dd",$D4="3 dd",$D4="4 dd",$D4="5 dd",$D4="6 dd",$D4="8 dd",$D4="12 dd",$D4="24 dd",$D4="an",$D4="zn"),VLOOKUP($D4,NeoTblTijden!$A$17:$Y$27,NeoTblTijden!M$15,FALSE),"")</f>
        <v/>
      </c>
      <c r="T4" s="97" t="str">
        <f>IF(OR($D4="1 dd",$D4="2 dd",$D4="3 dd",$D4="4 dd",$D4="5 dd",$D4="6 dd",$D4="8 dd",$D4="12 dd",$D4="24 dd",$D4="an",$D4="zn"),VLOOKUP($D4,NeoTblTijden!$A$17:$Y$27,NeoTblTijden!N$15,FALSE),"")</f>
        <v/>
      </c>
      <c r="U4" s="383" t="str">
        <f>IF(OR($D4="1 dd",$D4="2 dd",$D4="3 dd",$D4="4 dd",$D4="5 dd",$D4="6 dd",$D4="8 dd",$D4="12 dd",$D4="24 dd",$D4="an",$D4="zn"),VLOOKUP($D4,NeoTblTijden!$A$17:$Y$27,NeoTblTijden!O$15,FALSE),"")</f>
        <v/>
      </c>
      <c r="V4" s="97" t="str">
        <f>IF(OR($D4="1 dd",$D4="2 dd",$D4="3 dd",$D4="4 dd",$D4="5 dd",$D4="6 dd",$D4="8 dd",$D4="12 dd",$D4="24 dd",$D4="an",$D4="zn"),VLOOKUP($D4,NeoTblTijden!$A$17:$Y$27,NeoTblTijden!P$15,FALSE),"")</f>
        <v/>
      </c>
      <c r="W4" s="383" t="str">
        <f>IF(OR($D4="1 dd",$D4="2 dd",$D4="3 dd",$D4="4 dd",$D4="5 dd",$D4="6 dd",$D4="8 dd",$D4="12 dd",$D4="24 dd",$D4="an",$D4="zn"),VLOOKUP($D4,NeoTblTijden!$A$17:$Y$27,NeoTblTijden!Q$15,FALSE),"")</f>
        <v/>
      </c>
      <c r="X4" s="97" t="str">
        <f>IF(OR($D4="1 dd",$D4="2 dd",$D4="3 dd",$D4="4 dd",$D4="5 dd",$D4="6 dd",$D4="8 dd",$D4="12 dd",$D4="24 dd",$D4="an",$D4="zn"),VLOOKUP($D4,NeoTblTijden!$A$17:$Y$27,NeoTblTijden!R$15,FALSE),"")</f>
        <v/>
      </c>
      <c r="Y4" s="383" t="str">
        <f>IF(OR($D4="1 dd",$D4="2 dd",$D4="3 dd",$D4="4 dd",$D4="5 dd",$D4="6 dd",$D4="8 dd",$D4="12 dd",$D4="24 dd",$D4="an",$D4="zn"),VLOOKUP($D4,NeoTblTijden!$A$17:$Y$27,NeoTblTijden!S$15,FALSE),"")</f>
        <v/>
      </c>
      <c r="Z4" s="97" t="str">
        <f>IF(OR($D4="1 dd",$D4="2 dd",$D4="3 dd",$D4="4 dd",$D4="5 dd",$D4="6 dd",$D4="8 dd",$D4="12 dd",$D4="24 dd",$D4="an",$D4="zn"),VLOOKUP($D4,NeoTblTijden!$A$17:$Y$27,NeoTblTijden!T$15,FALSE),"")</f>
        <v/>
      </c>
      <c r="AA4" s="383" t="str">
        <f>IF(OR($D4="1 dd",$D4="2 dd",$D4="3 dd",$D4="4 dd",$D4="5 dd",$D4="6 dd",$D4="8 dd",$D4="12 dd",$D4="24 dd",$D4="an",$D4="zn"),VLOOKUP($D4,NeoTblTijden!$A$17:$Y$27,NeoTblTijden!U$15,FALSE),"")</f>
        <v/>
      </c>
      <c r="AB4" s="97" t="str">
        <f>IF(OR($D4="1 dd",$D4="2 dd",$D4="3 dd",$D4="4 dd",$D4="5 dd",$D4="6 dd",$D4="8 dd",$D4="12 dd",$D4="24 dd",$D4="an",$D4="zn"),VLOOKUP($D4,NeoTblTijden!$A$17:$Y$27,NeoTblTijden!V$15,FALSE),"")</f>
        <v/>
      </c>
      <c r="AC4" s="383" t="str">
        <f>IF(OR($D4="1 dd",$D4="2 dd",$D4="3 dd",$D4="4 dd",$D4="5 dd",$D4="6 dd",$D4="8 dd",$D4="12 dd",$D4="24 dd",$D4="an",$D4="zn"),VLOOKUP($D4,NeoTblTijden!$A$17:$Y$27,NeoTblTijden!W$15,FALSE),"")</f>
        <v/>
      </c>
      <c r="AD4" s="97" t="str">
        <f>IF(OR($D4="1 dd",$D4="2 dd",$D4="3 dd",$D4="4 dd",$D4="5 dd",$D4="6 dd",$D4="8 dd",$D4="12 dd",$D4="24 dd",$D4="an",$D4="zn"),VLOOKUP($D4,NeoTblTijden!$A$17:$Y$27,NeoTblTijden!X$15,FALSE),"")</f>
        <v/>
      </c>
      <c r="AE4" s="383" t="str">
        <f>IF(OR($D4="1 dd",$D4="2 dd",$D4="3 dd",$D4="4 dd",$D4="5 dd",$D4="6 dd",$D4="8 dd",$D4="12 dd",$D4="24 dd",$D4="an",$D4="zn"),VLOOKUP($D4,NeoTblTijden!$A$17:$Y$27,NeoTblTijden!Y$15,FALSE),"")</f>
        <v/>
      </c>
      <c r="AF4" s="96"/>
      <c r="AG4" s="16"/>
    </row>
    <row r="5" spans="1:33" ht="26.1" customHeight="1" x14ac:dyDescent="0.2">
      <c r="B5" s="98"/>
      <c r="C5" s="129" t="str">
        <f>IF(GlobBerMedDisc!C4&lt;&gt;"",IF(GlobBerMedDisc!C4&gt;1,TRIM(GlobBerMedDisc!C4)&amp;", "&amp;GlobBerOpm!#REF!&amp;" ("&amp;GlobBerMedDisc!M4&amp;" "&amp;GlobBerMedDisc!F4&amp;"/kg/dag)",TRIM(GlobBerMedDisc!C4)&amp;", "&amp;GlobBerOpm!#REF!),"")</f>
        <v/>
      </c>
      <c r="D5" s="130" t="str">
        <f>IF(GlobGuiMedDisc!I11&lt;&gt;"",GlobGuiMedDisc!I11,"")</f>
        <v/>
      </c>
      <c r="E5" s="131" t="str">
        <f>IF(AND(D5&lt;&gt;"",D5&lt;&gt;"STOP"),GlobBerMedDisc!H4&amp;" "&amp;GlobBerMedDisc!F4,"")</f>
        <v/>
      </c>
      <c r="F5" s="131" t="str">
        <f>IF(AND(D5&lt;&gt;"",D5&lt;&gt;"STOP"),GlobBerMedDisc!L4," ")</f>
        <v xml:space="preserve"> </v>
      </c>
      <c r="G5" s="131" t="str">
        <f>IF(GlobGuiMedDisc!N11&lt;&gt;"",GlobGuiMedDisc!N11&amp;" "&amp;GlobGuiMedDisc!O11&amp;" "&amp;INDEX(GlobBerMedDisc!$B$27:$B$30,GlobBerMedDisc!O4,1)&amp;" in "&amp;GlobGuiMedDisc!$R$11,"")</f>
        <v/>
      </c>
      <c r="H5" s="97" t="str">
        <f>IF(OR($D5="1 dd",$D5="2 dd",$D5="3 dd",$D5="4 dd",$D5="5 dd",$D5="6 dd",$D5="8 dd",$D5="12 dd",$D5="24 dd",$D5="an",$D5="zn"),VLOOKUP($D5,NeoTblTijden!$A$17:$Y$27,NeoTblTijden!B$15,FALSE),"")</f>
        <v/>
      </c>
      <c r="I5" s="383" t="str">
        <f>IF(OR($D5="1 dd",$D5="2 dd",$D5="3 dd",$D5="4 dd",$D5="5 dd",$D5="6 dd",$D5="8 dd",$D5="12 dd",$D5="24 dd",$D5="an",$D5="zn"),VLOOKUP($D5,NeoTblTijden!$A$17:$Y$27,NeoTblTijden!C$15,FALSE),"")</f>
        <v/>
      </c>
      <c r="J5" s="97" t="str">
        <f>IF(OR($D5="1 dd",$D5="2 dd",$D5="3 dd",$D5="4 dd",$D5="5 dd",$D5="6 dd",$D5="8 dd",$D5="12 dd",$D5="24 dd",$D5="an",$D5="zn"),VLOOKUP($D5,NeoTblTijden!$A$17:$Y$27,NeoTblTijden!D$15,FALSE),"")</f>
        <v/>
      </c>
      <c r="K5" s="383" t="str">
        <f>IF(OR($D5="1 dd",$D5="2 dd",$D5="3 dd",$D5="4 dd",$D5="5 dd",$D5="6 dd",$D5="8 dd",$D5="12 dd",$D5="24 dd",$D5="an",$D5="zn"),VLOOKUP($D5,NeoTblTijden!$A$17:$Y$27,NeoTblTijden!E$15,FALSE),"")</f>
        <v/>
      </c>
      <c r="L5" s="97" t="str">
        <f>IF(OR($D5="1 dd",$D5="2 dd",$D5="3 dd",$D5="4 dd",$D5="5 dd",$D5="6 dd",$D5="8 dd",$D5="12 dd",$D5="24 dd",$D5="an",$D5="zn"),VLOOKUP($D5,NeoTblTijden!$A$17:$Y$27,NeoTblTijden!F$15,FALSE),"")</f>
        <v/>
      </c>
      <c r="M5" s="383" t="str">
        <f>IF(OR($D5="1 dd",$D5="2 dd",$D5="3 dd",$D5="4 dd",$D5="5 dd",$D5="6 dd",$D5="8 dd",$D5="12 dd",$D5="24 dd",$D5="an",$D5="zn"),VLOOKUP($D5,NeoTblTijden!$A$17:$Y$27,NeoTblTijden!G$15,FALSE),"")</f>
        <v/>
      </c>
      <c r="N5" s="97" t="str">
        <f>IF(OR($D5="1 dd",$D5="2 dd",$D5="3 dd",$D5="4 dd",$D5="5 dd",$D5="6 dd",$D5="8 dd",$D5="12 dd",$D5="24 dd",$D5="an",$D5="zn"),VLOOKUP($D5,NeoTblTijden!$A$17:$Y$27,NeoTblTijden!H$15,FALSE),"")</f>
        <v/>
      </c>
      <c r="O5" s="383" t="str">
        <f>IF(OR($D5="1 dd",$D5="2 dd",$D5="3 dd",$D5="4 dd",$D5="5 dd",$D5="6 dd",$D5="8 dd",$D5="12 dd",$D5="24 dd",$D5="an",$D5="zn"),VLOOKUP($D5,NeoTblTijden!$A$17:$Y$27,NeoTblTijden!I$15,FALSE),"")</f>
        <v/>
      </c>
      <c r="P5" s="97" t="str">
        <f>IF(OR($D5="1 dd",$D5="2 dd",$D5="3 dd",$D5="4 dd",$D5="5 dd",$D5="6 dd",$D5="8 dd",$D5="12 dd",$D5="24 dd",$D5="an",$D5="zn"),VLOOKUP($D5,NeoTblTijden!$A$17:$Y$27,NeoTblTijden!J$15,FALSE),"")</f>
        <v/>
      </c>
      <c r="Q5" s="383" t="str">
        <f>IF(OR($D5="1 dd",$D5="2 dd",$D5="3 dd",$D5="4 dd",$D5="5 dd",$D5="6 dd",$D5="8 dd",$D5="12 dd",$D5="24 dd",$D5="an",$D5="zn"),VLOOKUP($D5,NeoTblTijden!$A$17:$Y$27,NeoTblTijden!K$15,FALSE),"")</f>
        <v/>
      </c>
      <c r="R5" s="97" t="str">
        <f>IF(OR($D5="1 dd",$D5="2 dd",$D5="3 dd",$D5="4 dd",$D5="5 dd",$D5="6 dd",$D5="8 dd",$D5="12 dd",$D5="24 dd",$D5="an",$D5="zn"),VLOOKUP($D5,NeoTblTijden!$A$17:$Y$27,NeoTblTijden!L$15,FALSE),"")</f>
        <v/>
      </c>
      <c r="S5" s="383" t="str">
        <f>IF(OR($D5="1 dd",$D5="2 dd",$D5="3 dd",$D5="4 dd",$D5="5 dd",$D5="6 dd",$D5="8 dd",$D5="12 dd",$D5="24 dd",$D5="an",$D5="zn"),VLOOKUP($D5,NeoTblTijden!$A$17:$Y$27,NeoTblTijden!M$15,FALSE),"")</f>
        <v/>
      </c>
      <c r="T5" s="97" t="str">
        <f>IF(OR($D5="1 dd",$D5="2 dd",$D5="3 dd",$D5="4 dd",$D5="5 dd",$D5="6 dd",$D5="8 dd",$D5="12 dd",$D5="24 dd",$D5="an",$D5="zn"),VLOOKUP($D5,NeoTblTijden!$A$17:$Y$27,NeoTblTijden!N$15,FALSE),"")</f>
        <v/>
      </c>
      <c r="U5" s="383" t="str">
        <f>IF(OR($D5="1 dd",$D5="2 dd",$D5="3 dd",$D5="4 dd",$D5="5 dd",$D5="6 dd",$D5="8 dd",$D5="12 dd",$D5="24 dd",$D5="an",$D5="zn"),VLOOKUP($D5,NeoTblTijden!$A$17:$Y$27,NeoTblTijden!O$15,FALSE),"")</f>
        <v/>
      </c>
      <c r="V5" s="97" t="str">
        <f>IF(OR($D5="1 dd",$D5="2 dd",$D5="3 dd",$D5="4 dd",$D5="5 dd",$D5="6 dd",$D5="8 dd",$D5="12 dd",$D5="24 dd",$D5="an",$D5="zn"),VLOOKUP($D5,NeoTblTijden!$A$17:$Y$27,NeoTblTijden!P$15,FALSE),"")</f>
        <v/>
      </c>
      <c r="W5" s="383" t="str">
        <f>IF(OR($D5="1 dd",$D5="2 dd",$D5="3 dd",$D5="4 dd",$D5="5 dd",$D5="6 dd",$D5="8 dd",$D5="12 dd",$D5="24 dd",$D5="an",$D5="zn"),VLOOKUP($D5,NeoTblTijden!$A$17:$Y$27,NeoTblTijden!Q$15,FALSE),"")</f>
        <v/>
      </c>
      <c r="X5" s="97" t="str">
        <f>IF(OR($D5="1 dd",$D5="2 dd",$D5="3 dd",$D5="4 dd",$D5="5 dd",$D5="6 dd",$D5="8 dd",$D5="12 dd",$D5="24 dd",$D5="an",$D5="zn"),VLOOKUP($D5,NeoTblTijden!$A$17:$Y$27,NeoTblTijden!R$15,FALSE),"")</f>
        <v/>
      </c>
      <c r="Y5" s="383" t="str">
        <f>IF(OR($D5="1 dd",$D5="2 dd",$D5="3 dd",$D5="4 dd",$D5="5 dd",$D5="6 dd",$D5="8 dd",$D5="12 dd",$D5="24 dd",$D5="an",$D5="zn"),VLOOKUP($D5,NeoTblTijden!$A$17:$Y$27,NeoTblTijden!S$15,FALSE),"")</f>
        <v/>
      </c>
      <c r="Z5" s="97" t="str">
        <f>IF(OR($D5="1 dd",$D5="2 dd",$D5="3 dd",$D5="4 dd",$D5="5 dd",$D5="6 dd",$D5="8 dd",$D5="12 dd",$D5="24 dd",$D5="an",$D5="zn"),VLOOKUP($D5,NeoTblTijden!$A$17:$Y$27,NeoTblTijden!T$15,FALSE),"")</f>
        <v/>
      </c>
      <c r="AA5" s="383" t="str">
        <f>IF(OR($D5="1 dd",$D5="2 dd",$D5="3 dd",$D5="4 dd",$D5="5 dd",$D5="6 dd",$D5="8 dd",$D5="12 dd",$D5="24 dd",$D5="an",$D5="zn"),VLOOKUP($D5,NeoTblTijden!$A$17:$Y$27,NeoTblTijden!U$15,FALSE),"")</f>
        <v/>
      </c>
      <c r="AB5" s="97" t="str">
        <f>IF(OR($D5="1 dd",$D5="2 dd",$D5="3 dd",$D5="4 dd",$D5="5 dd",$D5="6 dd",$D5="8 dd",$D5="12 dd",$D5="24 dd",$D5="an",$D5="zn"),VLOOKUP($D5,NeoTblTijden!$A$17:$Y$27,NeoTblTijden!V$15,FALSE),"")</f>
        <v/>
      </c>
      <c r="AC5" s="383" t="str">
        <f>IF(OR($D5="1 dd",$D5="2 dd",$D5="3 dd",$D5="4 dd",$D5="5 dd",$D5="6 dd",$D5="8 dd",$D5="12 dd",$D5="24 dd",$D5="an",$D5="zn"),VLOOKUP($D5,NeoTblTijden!$A$17:$Y$27,NeoTblTijden!W$15,FALSE),"")</f>
        <v/>
      </c>
      <c r="AD5" s="97" t="str">
        <f>IF(OR($D5="1 dd",$D5="2 dd",$D5="3 dd",$D5="4 dd",$D5="5 dd",$D5="6 dd",$D5="8 dd",$D5="12 dd",$D5="24 dd",$D5="an",$D5="zn"),VLOOKUP($D5,NeoTblTijden!$A$17:$Y$27,NeoTblTijden!X$15,FALSE),"")</f>
        <v/>
      </c>
      <c r="AE5" s="383" t="str">
        <f>IF(OR($D5="1 dd",$D5="2 dd",$D5="3 dd",$D5="4 dd",$D5="5 dd",$D5="6 dd",$D5="8 dd",$D5="12 dd",$D5="24 dd",$D5="an",$D5="zn"),VLOOKUP($D5,NeoTblTijden!$A$17:$Y$27,NeoTblTijden!Y$15,FALSE),"")</f>
        <v/>
      </c>
      <c r="AF5" s="96"/>
      <c r="AG5" s="16"/>
    </row>
    <row r="6" spans="1:33" ht="26.1" customHeight="1" x14ac:dyDescent="0.2">
      <c r="A6" s="361"/>
      <c r="B6" s="98"/>
      <c r="C6" s="129" t="str">
        <f>IF(GlobBerMedDisc!C5&lt;&gt;"",IF(GlobBerMedDisc!C5&gt;1,TRIM(GlobBerMedDisc!C5)&amp;", "&amp;GlobBerOpm!#REF!&amp;" ("&amp;GlobBerMedDisc!M5&amp;" "&amp;GlobBerMedDisc!F5&amp;"/kg/dag)",TRIM(GlobBerMedDisc!C5)&amp;", "&amp;GlobBerOpm!#REF!),"")</f>
        <v/>
      </c>
      <c r="D6" s="130" t="str">
        <f>IF(GlobGuiMedDisc!I12&lt;&gt;"",GlobGuiMedDisc!I12,"")</f>
        <v/>
      </c>
      <c r="E6" s="131" t="str">
        <f>IF(AND(D6&lt;&gt;"",D6&lt;&gt;"STOP"),GlobBerMedDisc!H5&amp;" "&amp;GlobBerMedDisc!F5,"")</f>
        <v/>
      </c>
      <c r="F6" s="131" t="str">
        <f>IF(AND(D6&lt;&gt;"",D6&lt;&gt;"STOP"),GlobBerMedDisc!L5," ")</f>
        <v xml:space="preserve"> </v>
      </c>
      <c r="G6" s="131" t="str">
        <f>IF(GlobGuiMedDisc!N12&lt;&gt;"",GlobGuiMedDisc!N12&amp;" "&amp;GlobGuiMedDisc!O12&amp;" "&amp;INDEX(GlobBerMedDisc!$B$27:$B$30,GlobBerMedDisc!O5,1)&amp;" in "&amp;GlobGuiMedDisc!$R$12,"")</f>
        <v/>
      </c>
      <c r="H6" s="97" t="str">
        <f>IF(OR($D6="1 dd",$D6="2 dd",$D6="3 dd",$D6="4 dd",$D6="5 dd",$D6="6 dd",$D6="8 dd",$D6="12 dd",$D6="24 dd",$D6="an",$D6="zn"),VLOOKUP($D6,NeoTblTijden!$A$17:$Y$27,NeoTblTijden!B$15,FALSE),"")</f>
        <v/>
      </c>
      <c r="I6" s="383" t="str">
        <f>IF(OR($D6="1 dd",$D6="2 dd",$D6="3 dd",$D6="4 dd",$D6="5 dd",$D6="6 dd",$D6="8 dd",$D6="12 dd",$D6="24 dd",$D6="an",$D6="zn"),VLOOKUP($D6,NeoTblTijden!$A$17:$Y$27,NeoTblTijden!C$15,FALSE),"")</f>
        <v/>
      </c>
      <c r="J6" s="97" t="str">
        <f>IF(OR($D6="1 dd",$D6="2 dd",$D6="3 dd",$D6="4 dd",$D6="5 dd",$D6="6 dd",$D6="8 dd",$D6="12 dd",$D6="24 dd",$D6="an",$D6="zn"),VLOOKUP($D6,NeoTblTijden!$A$17:$Y$27,NeoTblTijden!D$15,FALSE),"")</f>
        <v/>
      </c>
      <c r="K6" s="383" t="str">
        <f>IF(OR($D6="1 dd",$D6="2 dd",$D6="3 dd",$D6="4 dd",$D6="5 dd",$D6="6 dd",$D6="8 dd",$D6="12 dd",$D6="24 dd",$D6="an",$D6="zn"),VLOOKUP($D6,NeoTblTijden!$A$17:$Y$27,NeoTblTijden!E$15,FALSE),"")</f>
        <v/>
      </c>
      <c r="L6" s="97" t="str">
        <f>IF(OR($D6="1 dd",$D6="2 dd",$D6="3 dd",$D6="4 dd",$D6="5 dd",$D6="6 dd",$D6="8 dd",$D6="12 dd",$D6="24 dd",$D6="an",$D6="zn"),VLOOKUP($D6,NeoTblTijden!$A$17:$Y$27,NeoTblTijden!F$15,FALSE),"")</f>
        <v/>
      </c>
      <c r="M6" s="383" t="str">
        <f>IF(OR($D6="1 dd",$D6="2 dd",$D6="3 dd",$D6="4 dd",$D6="5 dd",$D6="6 dd",$D6="8 dd",$D6="12 dd",$D6="24 dd",$D6="an",$D6="zn"),VLOOKUP($D6,NeoTblTijden!$A$17:$Y$27,NeoTblTijden!G$15,FALSE),"")</f>
        <v/>
      </c>
      <c r="N6" s="97" t="str">
        <f>IF(OR($D6="1 dd",$D6="2 dd",$D6="3 dd",$D6="4 dd",$D6="5 dd",$D6="6 dd",$D6="8 dd",$D6="12 dd",$D6="24 dd",$D6="an",$D6="zn"),VLOOKUP($D6,NeoTblTijden!$A$17:$Y$27,NeoTblTijden!H$15,FALSE),"")</f>
        <v/>
      </c>
      <c r="O6" s="383" t="str">
        <f>IF(OR($D6="1 dd",$D6="2 dd",$D6="3 dd",$D6="4 dd",$D6="5 dd",$D6="6 dd",$D6="8 dd",$D6="12 dd",$D6="24 dd",$D6="an",$D6="zn"),VLOOKUP($D6,NeoTblTijden!$A$17:$Y$27,NeoTblTijden!I$15,FALSE),"")</f>
        <v/>
      </c>
      <c r="P6" s="97" t="str">
        <f>IF(OR($D6="1 dd",$D6="2 dd",$D6="3 dd",$D6="4 dd",$D6="5 dd",$D6="6 dd",$D6="8 dd",$D6="12 dd",$D6="24 dd",$D6="an",$D6="zn"),VLOOKUP($D6,NeoTblTijden!$A$17:$Y$27,NeoTblTijden!J$15,FALSE),"")</f>
        <v/>
      </c>
      <c r="Q6" s="383" t="str">
        <f>IF(OR($D6="1 dd",$D6="2 dd",$D6="3 dd",$D6="4 dd",$D6="5 dd",$D6="6 dd",$D6="8 dd",$D6="12 dd",$D6="24 dd",$D6="an",$D6="zn"),VLOOKUP($D6,NeoTblTijden!$A$17:$Y$27,NeoTblTijden!K$15,FALSE),"")</f>
        <v/>
      </c>
      <c r="R6" s="97" t="str">
        <f>IF(OR($D6="1 dd",$D6="2 dd",$D6="3 dd",$D6="4 dd",$D6="5 dd",$D6="6 dd",$D6="8 dd",$D6="12 dd",$D6="24 dd",$D6="an",$D6="zn"),VLOOKUP($D6,NeoTblTijden!$A$17:$Y$27,NeoTblTijden!L$15,FALSE),"")</f>
        <v/>
      </c>
      <c r="S6" s="383" t="str">
        <f>IF(OR($D6="1 dd",$D6="2 dd",$D6="3 dd",$D6="4 dd",$D6="5 dd",$D6="6 dd",$D6="8 dd",$D6="12 dd",$D6="24 dd",$D6="an",$D6="zn"),VLOOKUP($D6,NeoTblTijden!$A$17:$Y$27,NeoTblTijden!M$15,FALSE),"")</f>
        <v/>
      </c>
      <c r="T6" s="97" t="str">
        <f>IF(OR($D6="1 dd",$D6="2 dd",$D6="3 dd",$D6="4 dd",$D6="5 dd",$D6="6 dd",$D6="8 dd",$D6="12 dd",$D6="24 dd",$D6="an",$D6="zn"),VLOOKUP($D6,NeoTblTijden!$A$17:$Y$27,NeoTblTijden!N$15,FALSE),"")</f>
        <v/>
      </c>
      <c r="U6" s="383" t="str">
        <f>IF(OR($D6="1 dd",$D6="2 dd",$D6="3 dd",$D6="4 dd",$D6="5 dd",$D6="6 dd",$D6="8 dd",$D6="12 dd",$D6="24 dd",$D6="an",$D6="zn"),VLOOKUP($D6,NeoTblTijden!$A$17:$Y$27,NeoTblTijden!O$15,FALSE),"")</f>
        <v/>
      </c>
      <c r="V6" s="97" t="str">
        <f>IF(OR($D6="1 dd",$D6="2 dd",$D6="3 dd",$D6="4 dd",$D6="5 dd",$D6="6 dd",$D6="8 dd",$D6="12 dd",$D6="24 dd",$D6="an",$D6="zn"),VLOOKUP($D6,NeoTblTijden!$A$17:$Y$27,NeoTblTijden!P$15,FALSE),"")</f>
        <v/>
      </c>
      <c r="W6" s="383" t="str">
        <f>IF(OR($D6="1 dd",$D6="2 dd",$D6="3 dd",$D6="4 dd",$D6="5 dd",$D6="6 dd",$D6="8 dd",$D6="12 dd",$D6="24 dd",$D6="an",$D6="zn"),VLOOKUP($D6,NeoTblTijden!$A$17:$Y$27,NeoTblTijden!Q$15,FALSE),"")</f>
        <v/>
      </c>
      <c r="X6" s="97" t="str">
        <f>IF(OR($D6="1 dd",$D6="2 dd",$D6="3 dd",$D6="4 dd",$D6="5 dd",$D6="6 dd",$D6="8 dd",$D6="12 dd",$D6="24 dd",$D6="an",$D6="zn"),VLOOKUP($D6,NeoTblTijden!$A$17:$Y$27,NeoTblTijden!R$15,FALSE),"")</f>
        <v/>
      </c>
      <c r="Y6" s="383" t="str">
        <f>IF(OR($D6="1 dd",$D6="2 dd",$D6="3 dd",$D6="4 dd",$D6="5 dd",$D6="6 dd",$D6="8 dd",$D6="12 dd",$D6="24 dd",$D6="an",$D6="zn"),VLOOKUP($D6,NeoTblTijden!$A$17:$Y$27,NeoTblTijden!S$15,FALSE),"")</f>
        <v/>
      </c>
      <c r="Z6" s="97" t="str">
        <f>IF(OR($D6="1 dd",$D6="2 dd",$D6="3 dd",$D6="4 dd",$D6="5 dd",$D6="6 dd",$D6="8 dd",$D6="12 dd",$D6="24 dd",$D6="an",$D6="zn"),VLOOKUP($D6,NeoTblTijden!$A$17:$Y$27,NeoTblTijden!T$15,FALSE),"")</f>
        <v/>
      </c>
      <c r="AA6" s="383" t="str">
        <f>IF(OR($D6="1 dd",$D6="2 dd",$D6="3 dd",$D6="4 dd",$D6="5 dd",$D6="6 dd",$D6="8 dd",$D6="12 dd",$D6="24 dd",$D6="an",$D6="zn"),VLOOKUP($D6,NeoTblTijden!$A$17:$Y$27,NeoTblTijden!U$15,FALSE),"")</f>
        <v/>
      </c>
      <c r="AB6" s="97" t="str">
        <f>IF(OR($D6="1 dd",$D6="2 dd",$D6="3 dd",$D6="4 dd",$D6="5 dd",$D6="6 dd",$D6="8 dd",$D6="12 dd",$D6="24 dd",$D6="an",$D6="zn"),VLOOKUP($D6,NeoTblTijden!$A$17:$Y$27,NeoTblTijden!V$15,FALSE),"")</f>
        <v/>
      </c>
      <c r="AC6" s="383" t="str">
        <f>IF(OR($D6="1 dd",$D6="2 dd",$D6="3 dd",$D6="4 dd",$D6="5 dd",$D6="6 dd",$D6="8 dd",$D6="12 dd",$D6="24 dd",$D6="an",$D6="zn"),VLOOKUP($D6,NeoTblTijden!$A$17:$Y$27,NeoTblTijden!W$15,FALSE),"")</f>
        <v/>
      </c>
      <c r="AD6" s="97" t="str">
        <f>IF(OR($D6="1 dd",$D6="2 dd",$D6="3 dd",$D6="4 dd",$D6="5 dd",$D6="6 dd",$D6="8 dd",$D6="12 dd",$D6="24 dd",$D6="an",$D6="zn"),VLOOKUP($D6,NeoTblTijden!$A$17:$Y$27,NeoTblTijden!X$15,FALSE),"")</f>
        <v/>
      </c>
      <c r="AE6" s="383" t="str">
        <f>IF(OR($D6="1 dd",$D6="2 dd",$D6="3 dd",$D6="4 dd",$D6="5 dd",$D6="6 dd",$D6="8 dd",$D6="12 dd",$D6="24 dd",$D6="an",$D6="zn"),VLOOKUP($D6,NeoTblTijden!$A$17:$Y$27,NeoTblTijden!Y$15,FALSE),"")</f>
        <v/>
      </c>
      <c r="AF6" s="96"/>
      <c r="AG6" s="16"/>
    </row>
    <row r="7" spans="1:33" ht="26.1" customHeight="1" x14ac:dyDescent="0.2">
      <c r="B7" s="98"/>
      <c r="C7" s="129" t="str">
        <f>IF(GlobBerMedDisc!C6&lt;&gt;"",IF(GlobBerMedDisc!C6&gt;1,TRIM(GlobBerMedDisc!C6)&amp;", "&amp;GlobBerOpm!#REF!&amp;" ("&amp;GlobBerMedDisc!M6&amp;" "&amp;GlobBerMedDisc!F6&amp;"/kg/dag)",TRIM(GlobBerMedDisc!C6)&amp;", "&amp;GlobBerOpm!#REF!),"")</f>
        <v/>
      </c>
      <c r="D7" s="130" t="str">
        <f>IF(GlobGuiMedDisc!I13&lt;&gt;"",GlobGuiMedDisc!I13,"")</f>
        <v/>
      </c>
      <c r="E7" s="131" t="str">
        <f>IF(AND(D7&lt;&gt;"",D7&lt;&gt;"STOP"),GlobBerMedDisc!H6&amp;" "&amp;GlobBerMedDisc!F6,"")</f>
        <v/>
      </c>
      <c r="F7" s="131" t="str">
        <f>IF(AND(D7&lt;&gt;"",D7&lt;&gt;"STOP"),GlobBerMedDisc!L6," ")</f>
        <v xml:space="preserve"> </v>
      </c>
      <c r="G7" s="131" t="str">
        <f>IF(GlobGuiMedDisc!N13&lt;&gt;"",GlobGuiMedDisc!N13&amp;" "&amp;GlobGuiMedDisc!O13&amp;" "&amp;INDEX(GlobBerMedDisc!$B$27:$B$30,GlobBerMedDisc!O6,1)&amp;" in "&amp;GlobGuiMedDisc!$R$13,"")</f>
        <v/>
      </c>
      <c r="H7" s="97" t="str">
        <f>IF(OR($D7="1 dd",$D7="2 dd",$D7="3 dd",$D7="4 dd",$D7="5 dd",$D7="6 dd",$D7="8 dd",$D7="12 dd",$D7="24 dd",$D7="an",$D7="zn"),VLOOKUP($D7,NeoTblTijden!$A$17:$Y$27,NeoTblTijden!B$15,FALSE),"")</f>
        <v/>
      </c>
      <c r="I7" s="383" t="str">
        <f>IF(OR($D7="1 dd",$D7="2 dd",$D7="3 dd",$D7="4 dd",$D7="5 dd",$D7="6 dd",$D7="8 dd",$D7="12 dd",$D7="24 dd",$D7="an",$D7="zn"),VLOOKUP($D7,NeoTblTijden!$A$17:$Y$27,NeoTblTijden!C$15,FALSE),"")</f>
        <v/>
      </c>
      <c r="J7" s="97" t="str">
        <f>IF(OR($D7="1 dd",$D7="2 dd",$D7="3 dd",$D7="4 dd",$D7="5 dd",$D7="6 dd",$D7="8 dd",$D7="12 dd",$D7="24 dd",$D7="an",$D7="zn"),VLOOKUP($D7,NeoTblTijden!$A$17:$Y$27,NeoTblTijden!D$15,FALSE),"")</f>
        <v/>
      </c>
      <c r="K7" s="383" t="str">
        <f>IF(OR($D7="1 dd",$D7="2 dd",$D7="3 dd",$D7="4 dd",$D7="5 dd",$D7="6 dd",$D7="8 dd",$D7="12 dd",$D7="24 dd",$D7="an",$D7="zn"),VLOOKUP($D7,NeoTblTijden!$A$17:$Y$27,NeoTblTijden!E$15,FALSE),"")</f>
        <v/>
      </c>
      <c r="L7" s="97" t="str">
        <f>IF(OR($D7="1 dd",$D7="2 dd",$D7="3 dd",$D7="4 dd",$D7="5 dd",$D7="6 dd",$D7="8 dd",$D7="12 dd",$D7="24 dd",$D7="an",$D7="zn"),VLOOKUP($D7,NeoTblTijden!$A$17:$Y$27,NeoTblTijden!F$15,FALSE),"")</f>
        <v/>
      </c>
      <c r="M7" s="383" t="str">
        <f>IF(OR($D7="1 dd",$D7="2 dd",$D7="3 dd",$D7="4 dd",$D7="5 dd",$D7="6 dd",$D7="8 dd",$D7="12 dd",$D7="24 dd",$D7="an",$D7="zn"),VLOOKUP($D7,NeoTblTijden!$A$17:$Y$27,NeoTblTijden!G$15,FALSE),"")</f>
        <v/>
      </c>
      <c r="N7" s="97" t="str">
        <f>IF(OR($D7="1 dd",$D7="2 dd",$D7="3 dd",$D7="4 dd",$D7="5 dd",$D7="6 dd",$D7="8 dd",$D7="12 dd",$D7="24 dd",$D7="an",$D7="zn"),VLOOKUP($D7,NeoTblTijden!$A$17:$Y$27,NeoTblTijden!H$15,FALSE),"")</f>
        <v/>
      </c>
      <c r="O7" s="383" t="str">
        <f>IF(OR($D7="1 dd",$D7="2 dd",$D7="3 dd",$D7="4 dd",$D7="5 dd",$D7="6 dd",$D7="8 dd",$D7="12 dd",$D7="24 dd",$D7="an",$D7="zn"),VLOOKUP($D7,NeoTblTijden!$A$17:$Y$27,NeoTblTijden!I$15,FALSE),"")</f>
        <v/>
      </c>
      <c r="P7" s="97" t="str">
        <f>IF(OR($D7="1 dd",$D7="2 dd",$D7="3 dd",$D7="4 dd",$D7="5 dd",$D7="6 dd",$D7="8 dd",$D7="12 dd",$D7="24 dd",$D7="an",$D7="zn"),VLOOKUP($D7,NeoTblTijden!$A$17:$Y$27,NeoTblTijden!J$15,FALSE),"")</f>
        <v/>
      </c>
      <c r="Q7" s="383" t="str">
        <f>IF(OR($D7="1 dd",$D7="2 dd",$D7="3 dd",$D7="4 dd",$D7="5 dd",$D7="6 dd",$D7="8 dd",$D7="12 dd",$D7="24 dd",$D7="an",$D7="zn"),VLOOKUP($D7,NeoTblTijden!$A$17:$Y$27,NeoTblTijden!K$15,FALSE),"")</f>
        <v/>
      </c>
      <c r="R7" s="97" t="str">
        <f>IF(OR($D7="1 dd",$D7="2 dd",$D7="3 dd",$D7="4 dd",$D7="5 dd",$D7="6 dd",$D7="8 dd",$D7="12 dd",$D7="24 dd",$D7="an",$D7="zn"),VLOOKUP($D7,NeoTblTijden!$A$17:$Y$27,NeoTblTijden!L$15,FALSE),"")</f>
        <v/>
      </c>
      <c r="S7" s="383" t="str">
        <f>IF(OR($D7="1 dd",$D7="2 dd",$D7="3 dd",$D7="4 dd",$D7="5 dd",$D7="6 dd",$D7="8 dd",$D7="12 dd",$D7="24 dd",$D7="an",$D7="zn"),VLOOKUP($D7,NeoTblTijden!$A$17:$Y$27,NeoTblTijden!M$15,FALSE),"")</f>
        <v/>
      </c>
      <c r="T7" s="97" t="str">
        <f>IF(OR($D7="1 dd",$D7="2 dd",$D7="3 dd",$D7="4 dd",$D7="5 dd",$D7="6 dd",$D7="8 dd",$D7="12 dd",$D7="24 dd",$D7="an",$D7="zn"),VLOOKUP($D7,NeoTblTijden!$A$17:$Y$27,NeoTblTijden!N$15,FALSE),"")</f>
        <v/>
      </c>
      <c r="U7" s="383" t="str">
        <f>IF(OR($D7="1 dd",$D7="2 dd",$D7="3 dd",$D7="4 dd",$D7="5 dd",$D7="6 dd",$D7="8 dd",$D7="12 dd",$D7="24 dd",$D7="an",$D7="zn"),VLOOKUP($D7,NeoTblTijden!$A$17:$Y$27,NeoTblTijden!O$15,FALSE),"")</f>
        <v/>
      </c>
      <c r="V7" s="97" t="str">
        <f>IF(OR($D7="1 dd",$D7="2 dd",$D7="3 dd",$D7="4 dd",$D7="5 dd",$D7="6 dd",$D7="8 dd",$D7="12 dd",$D7="24 dd",$D7="an",$D7="zn"),VLOOKUP($D7,NeoTblTijden!$A$17:$Y$27,NeoTblTijden!P$15,FALSE),"")</f>
        <v/>
      </c>
      <c r="W7" s="383" t="str">
        <f>IF(OR($D7="1 dd",$D7="2 dd",$D7="3 dd",$D7="4 dd",$D7="5 dd",$D7="6 dd",$D7="8 dd",$D7="12 dd",$D7="24 dd",$D7="an",$D7="zn"),VLOOKUP($D7,NeoTblTijden!$A$17:$Y$27,NeoTblTijden!Q$15,FALSE),"")</f>
        <v/>
      </c>
      <c r="X7" s="97" t="str">
        <f>IF(OR($D7="1 dd",$D7="2 dd",$D7="3 dd",$D7="4 dd",$D7="5 dd",$D7="6 dd",$D7="8 dd",$D7="12 dd",$D7="24 dd",$D7="an",$D7="zn"),VLOOKUP($D7,NeoTblTijden!$A$17:$Y$27,NeoTblTijden!R$15,FALSE),"")</f>
        <v/>
      </c>
      <c r="Y7" s="383" t="str">
        <f>IF(OR($D7="1 dd",$D7="2 dd",$D7="3 dd",$D7="4 dd",$D7="5 dd",$D7="6 dd",$D7="8 dd",$D7="12 dd",$D7="24 dd",$D7="an",$D7="zn"),VLOOKUP($D7,NeoTblTijden!$A$17:$Y$27,NeoTblTijden!S$15,FALSE),"")</f>
        <v/>
      </c>
      <c r="Z7" s="97" t="str">
        <f>IF(OR($D7="1 dd",$D7="2 dd",$D7="3 dd",$D7="4 dd",$D7="5 dd",$D7="6 dd",$D7="8 dd",$D7="12 dd",$D7="24 dd",$D7="an",$D7="zn"),VLOOKUP($D7,NeoTblTijden!$A$17:$Y$27,NeoTblTijden!T$15,FALSE),"")</f>
        <v/>
      </c>
      <c r="AA7" s="383" t="str">
        <f>IF(OR($D7="1 dd",$D7="2 dd",$D7="3 dd",$D7="4 dd",$D7="5 dd",$D7="6 dd",$D7="8 dd",$D7="12 dd",$D7="24 dd",$D7="an",$D7="zn"),VLOOKUP($D7,NeoTblTijden!$A$17:$Y$27,NeoTblTijden!U$15,FALSE),"")</f>
        <v/>
      </c>
      <c r="AB7" s="97" t="str">
        <f>IF(OR($D7="1 dd",$D7="2 dd",$D7="3 dd",$D7="4 dd",$D7="5 dd",$D7="6 dd",$D7="8 dd",$D7="12 dd",$D7="24 dd",$D7="an",$D7="zn"),VLOOKUP($D7,NeoTblTijden!$A$17:$Y$27,NeoTblTijden!V$15,FALSE),"")</f>
        <v/>
      </c>
      <c r="AC7" s="383" t="str">
        <f>IF(OR($D7="1 dd",$D7="2 dd",$D7="3 dd",$D7="4 dd",$D7="5 dd",$D7="6 dd",$D7="8 dd",$D7="12 dd",$D7="24 dd",$D7="an",$D7="zn"),VLOOKUP($D7,NeoTblTijden!$A$17:$Y$27,NeoTblTijden!W$15,FALSE),"")</f>
        <v/>
      </c>
      <c r="AD7" s="97" t="str">
        <f>IF(OR($D7="1 dd",$D7="2 dd",$D7="3 dd",$D7="4 dd",$D7="5 dd",$D7="6 dd",$D7="8 dd",$D7="12 dd",$D7="24 dd",$D7="an",$D7="zn"),VLOOKUP($D7,NeoTblTijden!$A$17:$Y$27,NeoTblTijden!X$15,FALSE),"")</f>
        <v/>
      </c>
      <c r="AE7" s="383" t="str">
        <f>IF(OR($D7="1 dd",$D7="2 dd",$D7="3 dd",$D7="4 dd",$D7="5 dd",$D7="6 dd",$D7="8 dd",$D7="12 dd",$D7="24 dd",$D7="an",$D7="zn"),VLOOKUP($D7,NeoTblTijden!$A$17:$Y$27,NeoTblTijden!Y$15,FALSE),"")</f>
        <v/>
      </c>
      <c r="AF7" s="96"/>
      <c r="AG7" s="16"/>
    </row>
    <row r="8" spans="1:33" ht="26.1" customHeight="1" x14ac:dyDescent="0.2">
      <c r="B8" s="98"/>
      <c r="C8" s="129" t="str">
        <f>IF(GlobBerMedDisc!C7&lt;&gt;"",IF(GlobBerMedDisc!C7&gt;1,TRIM(GlobBerMedDisc!C7)&amp;", "&amp;GlobBerOpm!#REF!&amp;" ("&amp;GlobBerMedDisc!M7&amp;" "&amp;GlobBerMedDisc!F7&amp;"/kg/dag)",TRIM(GlobBerMedDisc!C7)&amp;", "&amp;GlobBerOpm!#REF!),"")</f>
        <v/>
      </c>
      <c r="D8" s="130" t="str">
        <f>IF(GlobGuiMedDisc!I14&lt;&gt;"",GlobGuiMedDisc!I14,"")</f>
        <v/>
      </c>
      <c r="E8" s="131" t="str">
        <f>IF(AND(D8&lt;&gt;"",D8&lt;&gt;"STOP"),GlobBerMedDisc!H7&amp;" "&amp;GlobBerMedDisc!F7,"")</f>
        <v/>
      </c>
      <c r="F8" s="131" t="str">
        <f>IF(AND(D8&lt;&gt;"",D8&lt;&gt;"STOP"),GlobBerMedDisc!L7," ")</f>
        <v xml:space="preserve"> </v>
      </c>
      <c r="G8" s="131" t="str">
        <f>IF(GlobGuiMedDisc!N14&lt;&gt;"",GlobGuiMedDisc!N14&amp;" "&amp;GlobGuiMedDisc!O14&amp;" "&amp;INDEX(GlobBerMedDisc!$B$27:$B$30,GlobBerMedDisc!O7,1)&amp;" in "&amp;GlobGuiMedDisc!$R$14,"")</f>
        <v/>
      </c>
      <c r="H8" s="97" t="str">
        <f>IF(OR($D8="1 dd",$D8="2 dd",$D8="3 dd",$D8="4 dd",$D8="5 dd",$D8="6 dd",$D8="8 dd",$D8="12 dd",$D8="24 dd",$D8="an",$D8="zn"),VLOOKUP($D8,NeoTblTijden!$A$17:$Y$27,NeoTblTijden!B$15,FALSE),"")</f>
        <v/>
      </c>
      <c r="I8" s="383" t="str">
        <f>IF(OR($D8="1 dd",$D8="2 dd",$D8="3 dd",$D8="4 dd",$D8="5 dd",$D8="6 dd",$D8="8 dd",$D8="12 dd",$D8="24 dd",$D8="an",$D8="zn"),VLOOKUP($D8,NeoTblTijden!$A$17:$Y$27,NeoTblTijden!C$15,FALSE),"")</f>
        <v/>
      </c>
      <c r="J8" s="97" t="str">
        <f>IF(OR($D8="1 dd",$D8="2 dd",$D8="3 dd",$D8="4 dd",$D8="5 dd",$D8="6 dd",$D8="8 dd",$D8="12 dd",$D8="24 dd",$D8="an",$D8="zn"),VLOOKUP($D8,NeoTblTijden!$A$17:$Y$27,NeoTblTijden!D$15,FALSE),"")</f>
        <v/>
      </c>
      <c r="K8" s="383" t="str">
        <f>IF(OR($D8="1 dd",$D8="2 dd",$D8="3 dd",$D8="4 dd",$D8="5 dd",$D8="6 dd",$D8="8 dd",$D8="12 dd",$D8="24 dd",$D8="an",$D8="zn"),VLOOKUP($D8,NeoTblTijden!$A$17:$Y$27,NeoTblTijden!E$15,FALSE),"")</f>
        <v/>
      </c>
      <c r="L8" s="97" t="str">
        <f>IF(OR($D8="1 dd",$D8="2 dd",$D8="3 dd",$D8="4 dd",$D8="5 dd",$D8="6 dd",$D8="8 dd",$D8="12 dd",$D8="24 dd",$D8="an",$D8="zn"),VLOOKUP($D8,NeoTblTijden!$A$17:$Y$27,NeoTblTijden!F$15,FALSE),"")</f>
        <v/>
      </c>
      <c r="M8" s="383" t="str">
        <f>IF(OR($D8="1 dd",$D8="2 dd",$D8="3 dd",$D8="4 dd",$D8="5 dd",$D8="6 dd",$D8="8 dd",$D8="12 dd",$D8="24 dd",$D8="an",$D8="zn"),VLOOKUP($D8,NeoTblTijden!$A$17:$Y$27,NeoTblTijden!G$15,FALSE),"")</f>
        <v/>
      </c>
      <c r="N8" s="97" t="str">
        <f>IF(OR($D8="1 dd",$D8="2 dd",$D8="3 dd",$D8="4 dd",$D8="5 dd",$D8="6 dd",$D8="8 dd",$D8="12 dd",$D8="24 dd",$D8="an",$D8="zn"),VLOOKUP($D8,NeoTblTijden!$A$17:$Y$27,NeoTblTijden!H$15,FALSE),"")</f>
        <v/>
      </c>
      <c r="O8" s="383" t="str">
        <f>IF(OR($D8="1 dd",$D8="2 dd",$D8="3 dd",$D8="4 dd",$D8="5 dd",$D8="6 dd",$D8="8 dd",$D8="12 dd",$D8="24 dd",$D8="an",$D8="zn"),VLOOKUP($D8,NeoTblTijden!$A$17:$Y$27,NeoTblTijden!I$15,FALSE),"")</f>
        <v/>
      </c>
      <c r="P8" s="97" t="str">
        <f>IF(OR($D8="1 dd",$D8="2 dd",$D8="3 dd",$D8="4 dd",$D8="5 dd",$D8="6 dd",$D8="8 dd",$D8="12 dd",$D8="24 dd",$D8="an",$D8="zn"),VLOOKUP($D8,NeoTblTijden!$A$17:$Y$27,NeoTblTijden!J$15,FALSE),"")</f>
        <v/>
      </c>
      <c r="Q8" s="383" t="str">
        <f>IF(OR($D8="1 dd",$D8="2 dd",$D8="3 dd",$D8="4 dd",$D8="5 dd",$D8="6 dd",$D8="8 dd",$D8="12 dd",$D8="24 dd",$D8="an",$D8="zn"),VLOOKUP($D8,NeoTblTijden!$A$17:$Y$27,NeoTblTijden!K$15,FALSE),"")</f>
        <v/>
      </c>
      <c r="R8" s="97" t="str">
        <f>IF(OR($D8="1 dd",$D8="2 dd",$D8="3 dd",$D8="4 dd",$D8="5 dd",$D8="6 dd",$D8="8 dd",$D8="12 dd",$D8="24 dd",$D8="an",$D8="zn"),VLOOKUP($D8,NeoTblTijden!$A$17:$Y$27,NeoTblTijden!L$15,FALSE),"")</f>
        <v/>
      </c>
      <c r="S8" s="383" t="str">
        <f>IF(OR($D8="1 dd",$D8="2 dd",$D8="3 dd",$D8="4 dd",$D8="5 dd",$D8="6 dd",$D8="8 dd",$D8="12 dd",$D8="24 dd",$D8="an",$D8="zn"),VLOOKUP($D8,NeoTblTijden!$A$17:$Y$27,NeoTblTijden!M$15,FALSE),"")</f>
        <v/>
      </c>
      <c r="T8" s="97" t="str">
        <f>IF(OR($D8="1 dd",$D8="2 dd",$D8="3 dd",$D8="4 dd",$D8="5 dd",$D8="6 dd",$D8="8 dd",$D8="12 dd",$D8="24 dd",$D8="an",$D8="zn"),VLOOKUP($D8,NeoTblTijden!$A$17:$Y$27,NeoTblTijden!N$15,FALSE),"")</f>
        <v/>
      </c>
      <c r="U8" s="383" t="str">
        <f>IF(OR($D8="1 dd",$D8="2 dd",$D8="3 dd",$D8="4 dd",$D8="5 dd",$D8="6 dd",$D8="8 dd",$D8="12 dd",$D8="24 dd",$D8="an",$D8="zn"),VLOOKUP($D8,NeoTblTijden!$A$17:$Y$27,NeoTblTijden!O$15,FALSE),"")</f>
        <v/>
      </c>
      <c r="V8" s="97" t="str">
        <f>IF(OR($D8="1 dd",$D8="2 dd",$D8="3 dd",$D8="4 dd",$D8="5 dd",$D8="6 dd",$D8="8 dd",$D8="12 dd",$D8="24 dd",$D8="an",$D8="zn"),VLOOKUP($D8,NeoTblTijden!$A$17:$Y$27,NeoTblTijden!P$15,FALSE),"")</f>
        <v/>
      </c>
      <c r="W8" s="383" t="str">
        <f>IF(OR($D8="1 dd",$D8="2 dd",$D8="3 dd",$D8="4 dd",$D8="5 dd",$D8="6 dd",$D8="8 dd",$D8="12 dd",$D8="24 dd",$D8="an",$D8="zn"),VLOOKUP($D8,NeoTblTijden!$A$17:$Y$27,NeoTblTijden!Q$15,FALSE),"")</f>
        <v/>
      </c>
      <c r="X8" s="97" t="str">
        <f>IF(OR($D8="1 dd",$D8="2 dd",$D8="3 dd",$D8="4 dd",$D8="5 dd",$D8="6 dd",$D8="8 dd",$D8="12 dd",$D8="24 dd",$D8="an",$D8="zn"),VLOOKUP($D8,NeoTblTijden!$A$17:$Y$27,NeoTblTijden!R$15,FALSE),"")</f>
        <v/>
      </c>
      <c r="Y8" s="383" t="str">
        <f>IF(OR($D8="1 dd",$D8="2 dd",$D8="3 dd",$D8="4 dd",$D8="5 dd",$D8="6 dd",$D8="8 dd",$D8="12 dd",$D8="24 dd",$D8="an",$D8="zn"),VLOOKUP($D8,NeoTblTijden!$A$17:$Y$27,NeoTblTijden!S$15,FALSE),"")</f>
        <v/>
      </c>
      <c r="Z8" s="97" t="str">
        <f>IF(OR($D8="1 dd",$D8="2 dd",$D8="3 dd",$D8="4 dd",$D8="5 dd",$D8="6 dd",$D8="8 dd",$D8="12 dd",$D8="24 dd",$D8="an",$D8="zn"),VLOOKUP($D8,NeoTblTijden!$A$17:$Y$27,NeoTblTijden!T$15,FALSE),"")</f>
        <v/>
      </c>
      <c r="AA8" s="383" t="str">
        <f>IF(OR($D8="1 dd",$D8="2 dd",$D8="3 dd",$D8="4 dd",$D8="5 dd",$D8="6 dd",$D8="8 dd",$D8="12 dd",$D8="24 dd",$D8="an",$D8="zn"),VLOOKUP($D8,NeoTblTijden!$A$17:$Y$27,NeoTblTijden!U$15,FALSE),"")</f>
        <v/>
      </c>
      <c r="AB8" s="97" t="str">
        <f>IF(OR($D8="1 dd",$D8="2 dd",$D8="3 dd",$D8="4 dd",$D8="5 dd",$D8="6 dd",$D8="8 dd",$D8="12 dd",$D8="24 dd",$D8="an",$D8="zn"),VLOOKUP($D8,NeoTblTijden!$A$17:$Y$27,NeoTblTijden!V$15,FALSE),"")</f>
        <v/>
      </c>
      <c r="AC8" s="383" t="str">
        <f>IF(OR($D8="1 dd",$D8="2 dd",$D8="3 dd",$D8="4 dd",$D8="5 dd",$D8="6 dd",$D8="8 dd",$D8="12 dd",$D8="24 dd",$D8="an",$D8="zn"),VLOOKUP($D8,NeoTblTijden!$A$17:$Y$27,NeoTblTijden!W$15,FALSE),"")</f>
        <v/>
      </c>
      <c r="AD8" s="97" t="str">
        <f>IF(OR($D8="1 dd",$D8="2 dd",$D8="3 dd",$D8="4 dd",$D8="5 dd",$D8="6 dd",$D8="8 dd",$D8="12 dd",$D8="24 dd",$D8="an",$D8="zn"),VLOOKUP($D8,NeoTblTijden!$A$17:$Y$27,NeoTblTijden!X$15,FALSE),"")</f>
        <v/>
      </c>
      <c r="AE8" s="383" t="str">
        <f>IF(OR($D8="1 dd",$D8="2 dd",$D8="3 dd",$D8="4 dd",$D8="5 dd",$D8="6 dd",$D8="8 dd",$D8="12 dd",$D8="24 dd",$D8="an",$D8="zn"),VLOOKUP($D8,NeoTblTijden!$A$17:$Y$27,NeoTblTijden!Y$15,FALSE),"")</f>
        <v/>
      </c>
      <c r="AF8" s="96"/>
      <c r="AG8" s="16"/>
    </row>
    <row r="9" spans="1:33" ht="26.1" customHeight="1" x14ac:dyDescent="0.2">
      <c r="B9" s="98"/>
      <c r="C9" s="129" t="str">
        <f>IF(GlobBerMedDisc!C8&lt;&gt;"",IF(GlobBerMedDisc!C8&gt;1,TRIM(GlobBerMedDisc!C8)&amp;", "&amp;GlobBerOpm!#REF!&amp;" ("&amp;GlobBerMedDisc!M8&amp;" "&amp;GlobBerMedDisc!F8&amp;"/kg/dag)",TRIM(GlobBerMedDisc!C8)&amp;", "&amp;GlobBerOpm!#REF!),"")</f>
        <v/>
      </c>
      <c r="D9" s="130" t="str">
        <f>IF(GlobGuiMedDisc!I15&lt;&gt;"",GlobGuiMedDisc!I15,"")</f>
        <v/>
      </c>
      <c r="E9" s="131" t="str">
        <f>IF(AND(D9&lt;&gt;"",D9&lt;&gt;"STOP"),GlobBerMedDisc!H8&amp;" "&amp;GlobBerMedDisc!F8,"")</f>
        <v/>
      </c>
      <c r="F9" s="131" t="str">
        <f>IF(AND(D9&lt;&gt;"",D9&lt;&gt;"STOP"),GlobBerMedDisc!L8," ")</f>
        <v xml:space="preserve"> </v>
      </c>
      <c r="G9" s="131" t="str">
        <f>IF(GlobGuiMedDisc!N15&lt;&gt;"",GlobGuiMedDisc!N15&amp;" "&amp;GlobGuiMedDisc!O15&amp;" "&amp;INDEX(GlobBerMedDisc!$B$27:$B$30,GlobBerMedDisc!O8,1)&amp;" in "&amp;GlobGuiMedDisc!$R$15,"")</f>
        <v/>
      </c>
      <c r="H9" s="97" t="str">
        <f>IF(OR($D9="1 dd",$D9="2 dd",$D9="3 dd",$D9="4 dd",$D9="5 dd",$D9="6 dd",$D9="8 dd",$D9="12 dd",$D9="24 dd",$D9="an",$D9="zn"),VLOOKUP($D9,NeoTblTijden!$A$17:$Y$27,NeoTblTijden!B$15,FALSE),"")</f>
        <v/>
      </c>
      <c r="I9" s="383" t="str">
        <f>IF(OR($D9="1 dd",$D9="2 dd",$D9="3 dd",$D9="4 dd",$D9="5 dd",$D9="6 dd",$D9="8 dd",$D9="12 dd",$D9="24 dd",$D9="an",$D9="zn"),VLOOKUP($D9,NeoTblTijden!$A$17:$Y$27,NeoTblTijden!C$15,FALSE),"")</f>
        <v/>
      </c>
      <c r="J9" s="97" t="str">
        <f>IF(OR($D9="1 dd",$D9="2 dd",$D9="3 dd",$D9="4 dd",$D9="5 dd",$D9="6 dd",$D9="8 dd",$D9="12 dd",$D9="24 dd",$D9="an",$D9="zn"),VLOOKUP($D9,NeoTblTijden!$A$17:$Y$27,NeoTblTijden!D$15,FALSE),"")</f>
        <v/>
      </c>
      <c r="K9" s="383" t="str">
        <f>IF(OR($D9="1 dd",$D9="2 dd",$D9="3 dd",$D9="4 dd",$D9="5 dd",$D9="6 dd",$D9="8 dd",$D9="12 dd",$D9="24 dd",$D9="an",$D9="zn"),VLOOKUP($D9,NeoTblTijden!$A$17:$Y$27,NeoTblTijden!E$15,FALSE),"")</f>
        <v/>
      </c>
      <c r="L9" s="97" t="str">
        <f>IF(OR($D9="1 dd",$D9="2 dd",$D9="3 dd",$D9="4 dd",$D9="5 dd",$D9="6 dd",$D9="8 dd",$D9="12 dd",$D9="24 dd",$D9="an",$D9="zn"),VLOOKUP($D9,NeoTblTijden!$A$17:$Y$27,NeoTblTijden!F$15,FALSE),"")</f>
        <v/>
      </c>
      <c r="M9" s="383" t="str">
        <f>IF(OR($D9="1 dd",$D9="2 dd",$D9="3 dd",$D9="4 dd",$D9="5 dd",$D9="6 dd",$D9="8 dd",$D9="12 dd",$D9="24 dd",$D9="an",$D9="zn"),VLOOKUP($D9,NeoTblTijden!$A$17:$Y$27,NeoTblTijden!G$15,FALSE),"")</f>
        <v/>
      </c>
      <c r="N9" s="97" t="str">
        <f>IF(OR($D9="1 dd",$D9="2 dd",$D9="3 dd",$D9="4 dd",$D9="5 dd",$D9="6 dd",$D9="8 dd",$D9="12 dd",$D9="24 dd",$D9="an",$D9="zn"),VLOOKUP($D9,NeoTblTijden!$A$17:$Y$27,NeoTblTijden!H$15,FALSE),"")</f>
        <v/>
      </c>
      <c r="O9" s="383" t="str">
        <f>IF(OR($D9="1 dd",$D9="2 dd",$D9="3 dd",$D9="4 dd",$D9="5 dd",$D9="6 dd",$D9="8 dd",$D9="12 dd",$D9="24 dd",$D9="an",$D9="zn"),VLOOKUP($D9,NeoTblTijden!$A$17:$Y$27,NeoTblTijden!I$15,FALSE),"")</f>
        <v/>
      </c>
      <c r="P9" s="97" t="str">
        <f>IF(OR($D9="1 dd",$D9="2 dd",$D9="3 dd",$D9="4 dd",$D9="5 dd",$D9="6 dd",$D9="8 dd",$D9="12 dd",$D9="24 dd",$D9="an",$D9="zn"),VLOOKUP($D9,NeoTblTijden!$A$17:$Y$27,NeoTblTijden!J$15,FALSE),"")</f>
        <v/>
      </c>
      <c r="Q9" s="383" t="str">
        <f>IF(OR($D9="1 dd",$D9="2 dd",$D9="3 dd",$D9="4 dd",$D9="5 dd",$D9="6 dd",$D9="8 dd",$D9="12 dd",$D9="24 dd",$D9="an",$D9="zn"),VLOOKUP($D9,NeoTblTijden!$A$17:$Y$27,NeoTblTijden!K$15,FALSE),"")</f>
        <v/>
      </c>
      <c r="R9" s="97" t="str">
        <f>IF(OR($D9="1 dd",$D9="2 dd",$D9="3 dd",$D9="4 dd",$D9="5 dd",$D9="6 dd",$D9="8 dd",$D9="12 dd",$D9="24 dd",$D9="an",$D9="zn"),VLOOKUP($D9,NeoTblTijden!$A$17:$Y$27,NeoTblTijden!L$15,FALSE),"")</f>
        <v/>
      </c>
      <c r="S9" s="383" t="str">
        <f>IF(OR($D9="1 dd",$D9="2 dd",$D9="3 dd",$D9="4 dd",$D9="5 dd",$D9="6 dd",$D9="8 dd",$D9="12 dd",$D9="24 dd",$D9="an",$D9="zn"),VLOOKUP($D9,NeoTblTijden!$A$17:$Y$27,NeoTblTijden!M$15,FALSE),"")</f>
        <v/>
      </c>
      <c r="T9" s="97" t="str">
        <f>IF(OR($D9="1 dd",$D9="2 dd",$D9="3 dd",$D9="4 dd",$D9="5 dd",$D9="6 dd",$D9="8 dd",$D9="12 dd",$D9="24 dd",$D9="an",$D9="zn"),VLOOKUP($D9,NeoTblTijden!$A$17:$Y$27,NeoTblTijden!N$15,FALSE),"")</f>
        <v/>
      </c>
      <c r="U9" s="383" t="str">
        <f>IF(OR($D9="1 dd",$D9="2 dd",$D9="3 dd",$D9="4 dd",$D9="5 dd",$D9="6 dd",$D9="8 dd",$D9="12 dd",$D9="24 dd",$D9="an",$D9="zn"),VLOOKUP($D9,NeoTblTijden!$A$17:$Y$27,NeoTblTijden!O$15,FALSE),"")</f>
        <v/>
      </c>
      <c r="V9" s="97" t="str">
        <f>IF(OR($D9="1 dd",$D9="2 dd",$D9="3 dd",$D9="4 dd",$D9="5 dd",$D9="6 dd",$D9="8 dd",$D9="12 dd",$D9="24 dd",$D9="an",$D9="zn"),VLOOKUP($D9,NeoTblTijden!$A$17:$Y$27,NeoTblTijden!P$15,FALSE),"")</f>
        <v/>
      </c>
      <c r="W9" s="383" t="str">
        <f>IF(OR($D9="1 dd",$D9="2 dd",$D9="3 dd",$D9="4 dd",$D9="5 dd",$D9="6 dd",$D9="8 dd",$D9="12 dd",$D9="24 dd",$D9="an",$D9="zn"),VLOOKUP($D9,NeoTblTijden!$A$17:$Y$27,NeoTblTijden!Q$15,FALSE),"")</f>
        <v/>
      </c>
      <c r="X9" s="97" t="str">
        <f>IF(OR($D9="1 dd",$D9="2 dd",$D9="3 dd",$D9="4 dd",$D9="5 dd",$D9="6 dd",$D9="8 dd",$D9="12 dd",$D9="24 dd",$D9="an",$D9="zn"),VLOOKUP($D9,NeoTblTijden!$A$17:$Y$27,NeoTblTijden!R$15,FALSE),"")</f>
        <v/>
      </c>
      <c r="Y9" s="383" t="str">
        <f>IF(OR($D9="1 dd",$D9="2 dd",$D9="3 dd",$D9="4 dd",$D9="5 dd",$D9="6 dd",$D9="8 dd",$D9="12 dd",$D9="24 dd",$D9="an",$D9="zn"),VLOOKUP($D9,NeoTblTijden!$A$17:$Y$27,NeoTblTijden!S$15,FALSE),"")</f>
        <v/>
      </c>
      <c r="Z9" s="97" t="str">
        <f>IF(OR($D9="1 dd",$D9="2 dd",$D9="3 dd",$D9="4 dd",$D9="5 dd",$D9="6 dd",$D9="8 dd",$D9="12 dd",$D9="24 dd",$D9="an",$D9="zn"),VLOOKUP($D9,NeoTblTijden!$A$17:$Y$27,NeoTblTijden!T$15,FALSE),"")</f>
        <v/>
      </c>
      <c r="AA9" s="383" t="str">
        <f>IF(OR($D9="1 dd",$D9="2 dd",$D9="3 dd",$D9="4 dd",$D9="5 dd",$D9="6 dd",$D9="8 dd",$D9="12 dd",$D9="24 dd",$D9="an",$D9="zn"),VLOOKUP($D9,NeoTblTijden!$A$17:$Y$27,NeoTblTijden!U$15,FALSE),"")</f>
        <v/>
      </c>
      <c r="AB9" s="97" t="str">
        <f>IF(OR($D9="1 dd",$D9="2 dd",$D9="3 dd",$D9="4 dd",$D9="5 dd",$D9="6 dd",$D9="8 dd",$D9="12 dd",$D9="24 dd",$D9="an",$D9="zn"),VLOOKUP($D9,NeoTblTijden!$A$17:$Y$27,NeoTblTijden!V$15,FALSE),"")</f>
        <v/>
      </c>
      <c r="AC9" s="383" t="str">
        <f>IF(OR($D9="1 dd",$D9="2 dd",$D9="3 dd",$D9="4 dd",$D9="5 dd",$D9="6 dd",$D9="8 dd",$D9="12 dd",$D9="24 dd",$D9="an",$D9="zn"),VLOOKUP($D9,NeoTblTijden!$A$17:$Y$27,NeoTblTijden!W$15,FALSE),"")</f>
        <v/>
      </c>
      <c r="AD9" s="97" t="str">
        <f>IF(OR($D9="1 dd",$D9="2 dd",$D9="3 dd",$D9="4 dd",$D9="5 dd",$D9="6 dd",$D9="8 dd",$D9="12 dd",$D9="24 dd",$D9="an",$D9="zn"),VLOOKUP($D9,NeoTblTijden!$A$17:$Y$27,NeoTblTijden!X$15,FALSE),"")</f>
        <v/>
      </c>
      <c r="AE9" s="383" t="str">
        <f>IF(OR($D9="1 dd",$D9="2 dd",$D9="3 dd",$D9="4 dd",$D9="5 dd",$D9="6 dd",$D9="8 dd",$D9="12 dd",$D9="24 dd",$D9="an",$D9="zn"),VLOOKUP($D9,NeoTblTijden!$A$17:$Y$27,NeoTblTijden!Y$15,FALSE),"")</f>
        <v/>
      </c>
      <c r="AF9" s="96"/>
      <c r="AG9" s="16"/>
    </row>
    <row r="10" spans="1:33" ht="26.1" customHeight="1" x14ac:dyDescent="0.2">
      <c r="B10" s="98"/>
      <c r="C10" s="129" t="str">
        <f>IF(GlobBerMedDisc!C9&lt;&gt;"",IF(GlobBerMedDisc!C9&gt;1,TRIM(GlobBerMedDisc!C9)&amp;", "&amp;GlobBerOpm!#REF!&amp;" ("&amp;GlobBerMedDisc!M9&amp;" "&amp;GlobBerMedDisc!F9&amp;"/kg/dag)",TRIM(GlobBerMedDisc!C9)&amp;", "&amp;GlobBerOpm!#REF!),"")</f>
        <v/>
      </c>
      <c r="D10" s="130" t="str">
        <f>IF(GlobGuiMedDisc!I16&lt;&gt;"",GlobGuiMedDisc!I16,"")</f>
        <v/>
      </c>
      <c r="E10" s="131" t="str">
        <f>IF(AND(D10&lt;&gt;"",D10&lt;&gt;"STOP"),GlobBerMedDisc!H9&amp;" "&amp;GlobBerMedDisc!F9,"")</f>
        <v/>
      </c>
      <c r="F10" s="131" t="str">
        <f>IF(AND(D10&lt;&gt;"",D10&lt;&gt;"STOP"),GlobBerMedDisc!L9," ")</f>
        <v xml:space="preserve"> </v>
      </c>
      <c r="G10" s="131" t="str">
        <f>IF(GlobGuiMedDisc!N16&lt;&gt;"",GlobGuiMedDisc!N16&amp;" "&amp;GlobGuiMedDisc!O16&amp;" "&amp;INDEX(GlobBerMedDisc!$B$27:$B$30,GlobBerMedDisc!O9,1)&amp;" in "&amp;GlobGuiMedDisc!$R$16,"")</f>
        <v/>
      </c>
      <c r="H10" s="97" t="str">
        <f>IF(OR($D10="1 dd",$D10="2 dd",$D10="3 dd",$D10="4 dd",$D10="5 dd",$D10="6 dd",$D10="8 dd",$D10="12 dd",$D10="24 dd",$D10="an",$D10="zn"),VLOOKUP($D10,NeoTblTijden!$A$17:$Y$27,NeoTblTijden!B$15,FALSE),"")</f>
        <v/>
      </c>
      <c r="I10" s="383" t="str">
        <f>IF(OR($D10="1 dd",$D10="2 dd",$D10="3 dd",$D10="4 dd",$D10="5 dd",$D10="6 dd",$D10="8 dd",$D10="12 dd",$D10="24 dd",$D10="an",$D10="zn"),VLOOKUP($D10,NeoTblTijden!$A$17:$Y$27,NeoTblTijden!C$15,FALSE),"")</f>
        <v/>
      </c>
      <c r="J10" s="97" t="str">
        <f>IF(OR($D10="1 dd",$D10="2 dd",$D10="3 dd",$D10="4 dd",$D10="5 dd",$D10="6 dd",$D10="8 dd",$D10="12 dd",$D10="24 dd",$D10="an",$D10="zn"),VLOOKUP($D10,NeoTblTijden!$A$17:$Y$27,NeoTblTijden!D$15,FALSE),"")</f>
        <v/>
      </c>
      <c r="K10" s="383" t="str">
        <f>IF(OR($D10="1 dd",$D10="2 dd",$D10="3 dd",$D10="4 dd",$D10="5 dd",$D10="6 dd",$D10="8 dd",$D10="12 dd",$D10="24 dd",$D10="an",$D10="zn"),VLOOKUP($D10,NeoTblTijden!$A$17:$Y$27,NeoTblTijden!E$15,FALSE),"")</f>
        <v/>
      </c>
      <c r="L10" s="97" t="str">
        <f>IF(OR($D10="1 dd",$D10="2 dd",$D10="3 dd",$D10="4 dd",$D10="5 dd",$D10="6 dd",$D10="8 dd",$D10="12 dd",$D10="24 dd",$D10="an",$D10="zn"),VLOOKUP($D10,NeoTblTijden!$A$17:$Y$27,NeoTblTijden!F$15,FALSE),"")</f>
        <v/>
      </c>
      <c r="M10" s="383" t="str">
        <f>IF(OR($D10="1 dd",$D10="2 dd",$D10="3 dd",$D10="4 dd",$D10="5 dd",$D10="6 dd",$D10="8 dd",$D10="12 dd",$D10="24 dd",$D10="an",$D10="zn"),VLOOKUP($D10,NeoTblTijden!$A$17:$Y$27,NeoTblTijden!G$15,FALSE),"")</f>
        <v/>
      </c>
      <c r="N10" s="97" t="str">
        <f>IF(OR($D10="1 dd",$D10="2 dd",$D10="3 dd",$D10="4 dd",$D10="5 dd",$D10="6 dd",$D10="8 dd",$D10="12 dd",$D10="24 dd",$D10="an",$D10="zn"),VLOOKUP($D10,NeoTblTijden!$A$17:$Y$27,NeoTblTijden!H$15,FALSE),"")</f>
        <v/>
      </c>
      <c r="O10" s="383" t="str">
        <f>IF(OR($D10="1 dd",$D10="2 dd",$D10="3 dd",$D10="4 dd",$D10="5 dd",$D10="6 dd",$D10="8 dd",$D10="12 dd",$D10="24 dd",$D10="an",$D10="zn"),VLOOKUP($D10,NeoTblTijden!$A$17:$Y$27,NeoTblTijden!I$15,FALSE),"")</f>
        <v/>
      </c>
      <c r="P10" s="97" t="str">
        <f>IF(OR($D10="1 dd",$D10="2 dd",$D10="3 dd",$D10="4 dd",$D10="5 dd",$D10="6 dd",$D10="8 dd",$D10="12 dd",$D10="24 dd",$D10="an",$D10="zn"),VLOOKUP($D10,NeoTblTijden!$A$17:$Y$27,NeoTblTijden!J$15,FALSE),"")</f>
        <v/>
      </c>
      <c r="Q10" s="383" t="str">
        <f>IF(OR($D10="1 dd",$D10="2 dd",$D10="3 dd",$D10="4 dd",$D10="5 dd",$D10="6 dd",$D10="8 dd",$D10="12 dd",$D10="24 dd",$D10="an",$D10="zn"),VLOOKUP($D10,NeoTblTijden!$A$17:$Y$27,NeoTblTijden!K$15,FALSE),"")</f>
        <v/>
      </c>
      <c r="R10" s="97" t="str">
        <f>IF(OR($D10="1 dd",$D10="2 dd",$D10="3 dd",$D10="4 dd",$D10="5 dd",$D10="6 dd",$D10="8 dd",$D10="12 dd",$D10="24 dd",$D10="an",$D10="zn"),VLOOKUP($D10,NeoTblTijden!$A$17:$Y$27,NeoTblTijden!L$15,FALSE),"")</f>
        <v/>
      </c>
      <c r="S10" s="383" t="str">
        <f>IF(OR($D10="1 dd",$D10="2 dd",$D10="3 dd",$D10="4 dd",$D10="5 dd",$D10="6 dd",$D10="8 dd",$D10="12 dd",$D10="24 dd",$D10="an",$D10="zn"),VLOOKUP($D10,NeoTblTijden!$A$17:$Y$27,NeoTblTijden!M$15,FALSE),"")</f>
        <v/>
      </c>
      <c r="T10" s="97" t="str">
        <f>IF(OR($D10="1 dd",$D10="2 dd",$D10="3 dd",$D10="4 dd",$D10="5 dd",$D10="6 dd",$D10="8 dd",$D10="12 dd",$D10="24 dd",$D10="an",$D10="zn"),VLOOKUP($D10,NeoTblTijden!$A$17:$Y$27,NeoTblTijden!N$15,FALSE),"")</f>
        <v/>
      </c>
      <c r="U10" s="383" t="str">
        <f>IF(OR($D10="1 dd",$D10="2 dd",$D10="3 dd",$D10="4 dd",$D10="5 dd",$D10="6 dd",$D10="8 dd",$D10="12 dd",$D10="24 dd",$D10="an",$D10="zn"),VLOOKUP($D10,NeoTblTijden!$A$17:$Y$27,NeoTblTijden!O$15,FALSE),"")</f>
        <v/>
      </c>
      <c r="V10" s="97" t="str">
        <f>IF(OR($D10="1 dd",$D10="2 dd",$D10="3 dd",$D10="4 dd",$D10="5 dd",$D10="6 dd",$D10="8 dd",$D10="12 dd",$D10="24 dd",$D10="an",$D10="zn"),VLOOKUP($D10,NeoTblTijden!$A$17:$Y$27,NeoTblTijden!P$15,FALSE),"")</f>
        <v/>
      </c>
      <c r="W10" s="383" t="str">
        <f>IF(OR($D10="1 dd",$D10="2 dd",$D10="3 dd",$D10="4 dd",$D10="5 dd",$D10="6 dd",$D10="8 dd",$D10="12 dd",$D10="24 dd",$D10="an",$D10="zn"),VLOOKUP($D10,NeoTblTijden!$A$17:$Y$27,NeoTblTijden!Q$15,FALSE),"")</f>
        <v/>
      </c>
      <c r="X10" s="97" t="str">
        <f>IF(OR($D10="1 dd",$D10="2 dd",$D10="3 dd",$D10="4 dd",$D10="5 dd",$D10="6 dd",$D10="8 dd",$D10="12 dd",$D10="24 dd",$D10="an",$D10="zn"),VLOOKUP($D10,NeoTblTijden!$A$17:$Y$27,NeoTblTijden!R$15,FALSE),"")</f>
        <v/>
      </c>
      <c r="Y10" s="383" t="str">
        <f>IF(OR($D10="1 dd",$D10="2 dd",$D10="3 dd",$D10="4 dd",$D10="5 dd",$D10="6 dd",$D10="8 dd",$D10="12 dd",$D10="24 dd",$D10="an",$D10="zn"),VLOOKUP($D10,NeoTblTijden!$A$17:$Y$27,NeoTblTijden!S$15,FALSE),"")</f>
        <v/>
      </c>
      <c r="Z10" s="97" t="str">
        <f>IF(OR($D10="1 dd",$D10="2 dd",$D10="3 dd",$D10="4 dd",$D10="5 dd",$D10="6 dd",$D10="8 dd",$D10="12 dd",$D10="24 dd",$D10="an",$D10="zn"),VLOOKUP($D10,NeoTblTijden!$A$17:$Y$27,NeoTblTijden!T$15,FALSE),"")</f>
        <v/>
      </c>
      <c r="AA10" s="383" t="str">
        <f>IF(OR($D10="1 dd",$D10="2 dd",$D10="3 dd",$D10="4 dd",$D10="5 dd",$D10="6 dd",$D10="8 dd",$D10="12 dd",$D10="24 dd",$D10="an",$D10="zn"),VLOOKUP($D10,NeoTblTijden!$A$17:$Y$27,NeoTblTijden!U$15,FALSE),"")</f>
        <v/>
      </c>
      <c r="AB10" s="97" t="str">
        <f>IF(OR($D10="1 dd",$D10="2 dd",$D10="3 dd",$D10="4 dd",$D10="5 dd",$D10="6 dd",$D10="8 dd",$D10="12 dd",$D10="24 dd",$D10="an",$D10="zn"),VLOOKUP($D10,NeoTblTijden!$A$17:$Y$27,NeoTblTijden!V$15,FALSE),"")</f>
        <v/>
      </c>
      <c r="AC10" s="383" t="str">
        <f>IF(OR($D10="1 dd",$D10="2 dd",$D10="3 dd",$D10="4 dd",$D10="5 dd",$D10="6 dd",$D10="8 dd",$D10="12 dd",$D10="24 dd",$D10="an",$D10="zn"),VLOOKUP($D10,NeoTblTijden!$A$17:$Y$27,NeoTblTijden!W$15,FALSE),"")</f>
        <v/>
      </c>
      <c r="AD10" s="97" t="str">
        <f>IF(OR($D10="1 dd",$D10="2 dd",$D10="3 dd",$D10="4 dd",$D10="5 dd",$D10="6 dd",$D10="8 dd",$D10="12 dd",$D10="24 dd",$D10="an",$D10="zn"),VLOOKUP($D10,NeoTblTijden!$A$17:$Y$27,NeoTblTijden!X$15,FALSE),"")</f>
        <v/>
      </c>
      <c r="AE10" s="383" t="str">
        <f>IF(OR($D10="1 dd",$D10="2 dd",$D10="3 dd",$D10="4 dd",$D10="5 dd",$D10="6 dd",$D10="8 dd",$D10="12 dd",$D10="24 dd",$D10="an",$D10="zn"),VLOOKUP($D10,NeoTblTijden!$A$17:$Y$27,NeoTblTijden!Y$15,FALSE),"")</f>
        <v/>
      </c>
      <c r="AF10" s="96"/>
      <c r="AG10" s="16"/>
    </row>
    <row r="11" spans="1:33" ht="26.1" customHeight="1" x14ac:dyDescent="0.2">
      <c r="B11" s="98"/>
      <c r="C11" s="129" t="str">
        <f>IF(GlobBerMedDisc!C10&lt;&gt;"",IF(GlobBerMedDisc!C10&gt;1,TRIM(GlobBerMedDisc!C10)&amp;", "&amp;GlobBerOpm!#REF!&amp;" ("&amp;GlobBerMedDisc!M10&amp;" "&amp;GlobBerMedDisc!F10&amp;"/kg/dag)",TRIM(GlobBerMedDisc!C10)&amp;", "&amp;GlobBerOpm!#REF!),"")</f>
        <v/>
      </c>
      <c r="D11" s="130" t="str">
        <f>IF(GlobGuiMedDisc!I17&lt;&gt;"",GlobGuiMedDisc!I17,"")</f>
        <v/>
      </c>
      <c r="E11" s="131" t="str">
        <f>IF(AND(D11&lt;&gt;"",D11&lt;&gt;"STOP"),GlobBerMedDisc!H10&amp;" "&amp;GlobBerMedDisc!F10,"")</f>
        <v/>
      </c>
      <c r="F11" s="131" t="str">
        <f>IF(AND(D11&lt;&gt;"",D11&lt;&gt;"STOP"),GlobBerMedDisc!L10," ")</f>
        <v xml:space="preserve"> </v>
      </c>
      <c r="G11" s="131" t="str">
        <f>IF(GlobGuiMedDisc!N17&lt;&gt;"",GlobGuiMedDisc!N17&amp;" "&amp;GlobGuiMedDisc!O17&amp;" "&amp;INDEX(GlobBerMedDisc!$B$27:$B$30,GlobBerMedDisc!O10,1)&amp;" in "&amp;GlobGuiMedDisc!$R$17,"")</f>
        <v/>
      </c>
      <c r="H11" s="97" t="str">
        <f>IF(OR($D11="1 dd",$D11="2 dd",$D11="3 dd",$D11="4 dd",$D11="5 dd",$D11="6 dd",$D11="8 dd",$D11="12 dd",$D11="24 dd",$D11="an",$D11="zn"),VLOOKUP($D11,NeoTblTijden!$A$17:$Y$27,NeoTblTijden!B$15,FALSE),"")</f>
        <v/>
      </c>
      <c r="I11" s="383" t="str">
        <f>IF(OR($D11="1 dd",$D11="2 dd",$D11="3 dd",$D11="4 dd",$D11="5 dd",$D11="6 dd",$D11="8 dd",$D11="12 dd",$D11="24 dd",$D11="an",$D11="zn"),VLOOKUP($D11,NeoTblTijden!$A$17:$Y$27,NeoTblTijden!C$15,FALSE),"")</f>
        <v/>
      </c>
      <c r="J11" s="97" t="str">
        <f>IF(OR($D11="1 dd",$D11="2 dd",$D11="3 dd",$D11="4 dd",$D11="5 dd",$D11="6 dd",$D11="8 dd",$D11="12 dd",$D11="24 dd",$D11="an",$D11="zn"),VLOOKUP($D11,NeoTblTijden!$A$17:$Y$27,NeoTblTijden!D$15,FALSE),"")</f>
        <v/>
      </c>
      <c r="K11" s="383" t="str">
        <f>IF(OR($D11="1 dd",$D11="2 dd",$D11="3 dd",$D11="4 dd",$D11="5 dd",$D11="6 dd",$D11="8 dd",$D11="12 dd",$D11="24 dd",$D11="an",$D11="zn"),VLOOKUP($D11,NeoTblTijden!$A$17:$Y$27,NeoTblTijden!E$15,FALSE),"")</f>
        <v/>
      </c>
      <c r="L11" s="97" t="str">
        <f>IF(OR($D11="1 dd",$D11="2 dd",$D11="3 dd",$D11="4 dd",$D11="5 dd",$D11="6 dd",$D11="8 dd",$D11="12 dd",$D11="24 dd",$D11="an",$D11="zn"),VLOOKUP($D11,NeoTblTijden!$A$17:$Y$27,NeoTblTijden!F$15,FALSE),"")</f>
        <v/>
      </c>
      <c r="M11" s="383" t="str">
        <f>IF(OR($D11="1 dd",$D11="2 dd",$D11="3 dd",$D11="4 dd",$D11="5 dd",$D11="6 dd",$D11="8 dd",$D11="12 dd",$D11="24 dd",$D11="an",$D11="zn"),VLOOKUP($D11,NeoTblTijden!$A$17:$Y$27,NeoTblTijden!G$15,FALSE),"")</f>
        <v/>
      </c>
      <c r="N11" s="97" t="str">
        <f>IF(OR($D11="1 dd",$D11="2 dd",$D11="3 dd",$D11="4 dd",$D11="5 dd",$D11="6 dd",$D11="8 dd",$D11="12 dd",$D11="24 dd",$D11="an",$D11="zn"),VLOOKUP($D11,NeoTblTijden!$A$17:$Y$27,NeoTblTijden!H$15,FALSE),"")</f>
        <v/>
      </c>
      <c r="O11" s="383" t="str">
        <f>IF(OR($D11="1 dd",$D11="2 dd",$D11="3 dd",$D11="4 dd",$D11="5 dd",$D11="6 dd",$D11="8 dd",$D11="12 dd",$D11="24 dd",$D11="an",$D11="zn"),VLOOKUP($D11,NeoTblTijden!$A$17:$Y$27,NeoTblTijden!I$15,FALSE),"")</f>
        <v/>
      </c>
      <c r="P11" s="97" t="str">
        <f>IF(OR($D11="1 dd",$D11="2 dd",$D11="3 dd",$D11="4 dd",$D11="5 dd",$D11="6 dd",$D11="8 dd",$D11="12 dd",$D11="24 dd",$D11="an",$D11="zn"),VLOOKUP($D11,NeoTblTijden!$A$17:$Y$27,NeoTblTijden!J$15,FALSE),"")</f>
        <v/>
      </c>
      <c r="Q11" s="383" t="str">
        <f>IF(OR($D11="1 dd",$D11="2 dd",$D11="3 dd",$D11="4 dd",$D11="5 dd",$D11="6 dd",$D11="8 dd",$D11="12 dd",$D11="24 dd",$D11="an",$D11="zn"),VLOOKUP($D11,NeoTblTijden!$A$17:$Y$27,NeoTblTijden!K$15,FALSE),"")</f>
        <v/>
      </c>
      <c r="R11" s="97" t="str">
        <f>IF(OR($D11="1 dd",$D11="2 dd",$D11="3 dd",$D11="4 dd",$D11="5 dd",$D11="6 dd",$D11="8 dd",$D11="12 dd",$D11="24 dd",$D11="an",$D11="zn"),VLOOKUP($D11,NeoTblTijden!$A$17:$Y$27,NeoTblTijden!L$15,FALSE),"")</f>
        <v/>
      </c>
      <c r="S11" s="383" t="str">
        <f>IF(OR($D11="1 dd",$D11="2 dd",$D11="3 dd",$D11="4 dd",$D11="5 dd",$D11="6 dd",$D11="8 dd",$D11="12 dd",$D11="24 dd",$D11="an",$D11="zn"),VLOOKUP($D11,NeoTblTijden!$A$17:$Y$27,NeoTblTijden!M$15,FALSE),"")</f>
        <v/>
      </c>
      <c r="T11" s="97" t="str">
        <f>IF(OR($D11="1 dd",$D11="2 dd",$D11="3 dd",$D11="4 dd",$D11="5 dd",$D11="6 dd",$D11="8 dd",$D11="12 dd",$D11="24 dd",$D11="an",$D11="zn"),VLOOKUP($D11,NeoTblTijden!$A$17:$Y$27,NeoTblTijden!N$15,FALSE),"")</f>
        <v/>
      </c>
      <c r="U11" s="383" t="str">
        <f>IF(OR($D11="1 dd",$D11="2 dd",$D11="3 dd",$D11="4 dd",$D11="5 dd",$D11="6 dd",$D11="8 dd",$D11="12 dd",$D11="24 dd",$D11="an",$D11="zn"),VLOOKUP($D11,NeoTblTijden!$A$17:$Y$27,NeoTblTijden!O$15,FALSE),"")</f>
        <v/>
      </c>
      <c r="V11" s="97" t="str">
        <f>IF(OR($D11="1 dd",$D11="2 dd",$D11="3 dd",$D11="4 dd",$D11="5 dd",$D11="6 dd",$D11="8 dd",$D11="12 dd",$D11="24 dd",$D11="an",$D11="zn"),VLOOKUP($D11,NeoTblTijden!$A$17:$Y$27,NeoTblTijden!P$15,FALSE),"")</f>
        <v/>
      </c>
      <c r="W11" s="383" t="str">
        <f>IF(OR($D11="1 dd",$D11="2 dd",$D11="3 dd",$D11="4 dd",$D11="5 dd",$D11="6 dd",$D11="8 dd",$D11="12 dd",$D11="24 dd",$D11="an",$D11="zn"),VLOOKUP($D11,NeoTblTijden!$A$17:$Y$27,NeoTblTijden!Q$15,FALSE),"")</f>
        <v/>
      </c>
      <c r="X11" s="97" t="str">
        <f>IF(OR($D11="1 dd",$D11="2 dd",$D11="3 dd",$D11="4 dd",$D11="5 dd",$D11="6 dd",$D11="8 dd",$D11="12 dd",$D11="24 dd",$D11="an",$D11="zn"),VLOOKUP($D11,NeoTblTijden!$A$17:$Y$27,NeoTblTijden!R$15,FALSE),"")</f>
        <v/>
      </c>
      <c r="Y11" s="383" t="str">
        <f>IF(OR($D11="1 dd",$D11="2 dd",$D11="3 dd",$D11="4 dd",$D11="5 dd",$D11="6 dd",$D11="8 dd",$D11="12 dd",$D11="24 dd",$D11="an",$D11="zn"),VLOOKUP($D11,NeoTblTijden!$A$17:$Y$27,NeoTblTijden!S$15,FALSE),"")</f>
        <v/>
      </c>
      <c r="Z11" s="97" t="str">
        <f>IF(OR($D11="1 dd",$D11="2 dd",$D11="3 dd",$D11="4 dd",$D11="5 dd",$D11="6 dd",$D11="8 dd",$D11="12 dd",$D11="24 dd",$D11="an",$D11="zn"),VLOOKUP($D11,NeoTblTijden!$A$17:$Y$27,NeoTblTijden!T$15,FALSE),"")</f>
        <v/>
      </c>
      <c r="AA11" s="383" t="str">
        <f>IF(OR($D11="1 dd",$D11="2 dd",$D11="3 dd",$D11="4 dd",$D11="5 dd",$D11="6 dd",$D11="8 dd",$D11="12 dd",$D11="24 dd",$D11="an",$D11="zn"),VLOOKUP($D11,NeoTblTijden!$A$17:$Y$27,NeoTblTijden!U$15,FALSE),"")</f>
        <v/>
      </c>
      <c r="AB11" s="97" t="str">
        <f>IF(OR($D11="1 dd",$D11="2 dd",$D11="3 dd",$D11="4 dd",$D11="5 dd",$D11="6 dd",$D11="8 dd",$D11="12 dd",$D11="24 dd",$D11="an",$D11="zn"),VLOOKUP($D11,NeoTblTijden!$A$17:$Y$27,NeoTblTijden!V$15,FALSE),"")</f>
        <v/>
      </c>
      <c r="AC11" s="383" t="str">
        <f>IF(OR($D11="1 dd",$D11="2 dd",$D11="3 dd",$D11="4 dd",$D11="5 dd",$D11="6 dd",$D11="8 dd",$D11="12 dd",$D11="24 dd",$D11="an",$D11="zn"),VLOOKUP($D11,NeoTblTijden!$A$17:$Y$27,NeoTblTijden!W$15,FALSE),"")</f>
        <v/>
      </c>
      <c r="AD11" s="97" t="str">
        <f>IF(OR($D11="1 dd",$D11="2 dd",$D11="3 dd",$D11="4 dd",$D11="5 dd",$D11="6 dd",$D11="8 dd",$D11="12 dd",$D11="24 dd",$D11="an",$D11="zn"),VLOOKUP($D11,NeoTblTijden!$A$17:$Y$27,NeoTblTijden!X$15,FALSE),"")</f>
        <v/>
      </c>
      <c r="AE11" s="383" t="str">
        <f>IF(OR($D11="1 dd",$D11="2 dd",$D11="3 dd",$D11="4 dd",$D11="5 dd",$D11="6 dd",$D11="8 dd",$D11="12 dd",$D11="24 dd",$D11="an",$D11="zn"),VLOOKUP($D11,NeoTblTijden!$A$17:$Y$27,NeoTblTijden!Y$15,FALSE),"")</f>
        <v/>
      </c>
      <c r="AF11" s="96"/>
      <c r="AG11" s="16"/>
    </row>
    <row r="12" spans="1:33" ht="26.1" customHeight="1" x14ac:dyDescent="0.2">
      <c r="B12" s="98"/>
      <c r="C12" s="129" t="str">
        <f>IF(GlobBerMedDisc!C11&lt;&gt;"",IF(GlobBerMedDisc!C11&gt;1,TRIM(GlobBerMedDisc!C11)&amp;", "&amp;GlobBerOpm!#REF!&amp;" ("&amp;GlobBerMedDisc!M11&amp;" "&amp;GlobBerMedDisc!F11&amp;"/kg/dag)",TRIM(GlobBerMedDisc!C11)&amp;", "&amp;GlobBerOpm!#REF!),"")</f>
        <v/>
      </c>
      <c r="D12" s="130" t="str">
        <f>IF(GlobGuiMedDisc!I18&lt;&gt;"",GlobGuiMedDisc!I18,"")</f>
        <v/>
      </c>
      <c r="E12" s="131" t="str">
        <f>IF(AND(D12&lt;&gt;"",D12&lt;&gt;"STOP"),GlobBerMedDisc!H11&amp;" "&amp;GlobBerMedDisc!F11,"")</f>
        <v/>
      </c>
      <c r="F12" s="131" t="str">
        <f>IF(AND(D12&lt;&gt;"",D12&lt;&gt;"STOP"),GlobBerMedDisc!L11," ")</f>
        <v xml:space="preserve"> </v>
      </c>
      <c r="G12" s="131" t="str">
        <f>IF(GlobGuiMedDisc!N18&lt;&gt;"",GlobGuiMedDisc!N18&amp;" "&amp;GlobGuiMedDisc!O18&amp;" "&amp;INDEX(GlobBerMedDisc!$B$27:$B$30,GlobBerMedDisc!O11,1)&amp;" in "&amp;GlobGuiMedDisc!$Q$1377,"")</f>
        <v/>
      </c>
      <c r="H12" s="97" t="str">
        <f>IF(OR($D12="1 dd",$D12="2 dd",$D12="3 dd",$D12="4 dd",$D12="5 dd",$D12="6 dd",$D12="8 dd",$D12="12 dd",$D12="24 dd",$D12="an",$D12="zn"),VLOOKUP($D12,NeoTblTijden!$A$17:$Y$27,NeoTblTijden!B$15,FALSE),"")</f>
        <v/>
      </c>
      <c r="I12" s="383" t="str">
        <f>IF(OR($D12="1 dd",$D12="2 dd",$D12="3 dd",$D12="4 dd",$D12="5 dd",$D12="6 dd",$D12="8 dd",$D12="12 dd",$D12="24 dd",$D12="an",$D12="zn"),VLOOKUP($D12,NeoTblTijden!$A$17:$Y$27,NeoTblTijden!C$15,FALSE),"")</f>
        <v/>
      </c>
      <c r="J12" s="97" t="str">
        <f>IF(OR($D12="1 dd",$D12="2 dd",$D12="3 dd",$D12="4 dd",$D12="5 dd",$D12="6 dd",$D12="8 dd",$D12="12 dd",$D12="24 dd",$D12="an",$D12="zn"),VLOOKUP($D12,NeoTblTijden!$A$17:$Y$27,NeoTblTijden!D$15,FALSE),"")</f>
        <v/>
      </c>
      <c r="K12" s="383" t="str">
        <f>IF(OR($D12="1 dd",$D12="2 dd",$D12="3 dd",$D12="4 dd",$D12="5 dd",$D12="6 dd",$D12="8 dd",$D12="12 dd",$D12="24 dd",$D12="an",$D12="zn"),VLOOKUP($D12,NeoTblTijden!$A$17:$Y$27,NeoTblTijden!E$15,FALSE),"")</f>
        <v/>
      </c>
      <c r="L12" s="97" t="str">
        <f>IF(OR($D12="1 dd",$D12="2 dd",$D12="3 dd",$D12="4 dd",$D12="5 dd",$D12="6 dd",$D12="8 dd",$D12="12 dd",$D12="24 dd",$D12="an",$D12="zn"),VLOOKUP($D12,NeoTblTijden!$A$17:$Y$27,NeoTblTijden!F$15,FALSE),"")</f>
        <v/>
      </c>
      <c r="M12" s="383" t="str">
        <f>IF(OR($D12="1 dd",$D12="2 dd",$D12="3 dd",$D12="4 dd",$D12="5 dd",$D12="6 dd",$D12="8 dd",$D12="12 dd",$D12="24 dd",$D12="an",$D12="zn"),VLOOKUP($D12,NeoTblTijden!$A$17:$Y$27,NeoTblTijden!G$15,FALSE),"")</f>
        <v/>
      </c>
      <c r="N12" s="97" t="str">
        <f>IF(OR($D12="1 dd",$D12="2 dd",$D12="3 dd",$D12="4 dd",$D12="5 dd",$D12="6 dd",$D12="8 dd",$D12="12 dd",$D12="24 dd",$D12="an",$D12="zn"),VLOOKUP($D12,NeoTblTijden!$A$17:$Y$27,NeoTblTijden!H$15,FALSE),"")</f>
        <v/>
      </c>
      <c r="O12" s="383" t="str">
        <f>IF(OR($D12="1 dd",$D12="2 dd",$D12="3 dd",$D12="4 dd",$D12="5 dd",$D12="6 dd",$D12="8 dd",$D12="12 dd",$D12="24 dd",$D12="an",$D12="zn"),VLOOKUP($D12,NeoTblTijden!$A$17:$Y$27,NeoTblTijden!I$15,FALSE),"")</f>
        <v/>
      </c>
      <c r="P12" s="97" t="str">
        <f>IF(OR($D12="1 dd",$D12="2 dd",$D12="3 dd",$D12="4 dd",$D12="5 dd",$D12="6 dd",$D12="8 dd",$D12="12 dd",$D12="24 dd",$D12="an",$D12="zn"),VLOOKUP($D12,NeoTblTijden!$A$17:$Y$27,NeoTblTijden!J$15,FALSE),"")</f>
        <v/>
      </c>
      <c r="Q12" s="383" t="str">
        <f>IF(OR($D12="1 dd",$D12="2 dd",$D12="3 dd",$D12="4 dd",$D12="5 dd",$D12="6 dd",$D12="8 dd",$D12="12 dd",$D12="24 dd",$D12="an",$D12="zn"),VLOOKUP($D12,NeoTblTijden!$A$17:$Y$27,NeoTblTijden!K$15,FALSE),"")</f>
        <v/>
      </c>
      <c r="R12" s="97" t="str">
        <f>IF(OR($D12="1 dd",$D12="2 dd",$D12="3 dd",$D12="4 dd",$D12="5 dd",$D12="6 dd",$D12="8 dd",$D12="12 dd",$D12="24 dd",$D12="an",$D12="zn"),VLOOKUP($D12,NeoTblTijden!$A$17:$Y$27,NeoTblTijden!L$15,FALSE),"")</f>
        <v/>
      </c>
      <c r="S12" s="383" t="str">
        <f>IF(OR($D12="1 dd",$D12="2 dd",$D12="3 dd",$D12="4 dd",$D12="5 dd",$D12="6 dd",$D12="8 dd",$D12="12 dd",$D12="24 dd",$D12="an",$D12="zn"),VLOOKUP($D12,NeoTblTijden!$A$17:$Y$27,NeoTblTijden!M$15,FALSE),"")</f>
        <v/>
      </c>
      <c r="T12" s="97" t="str">
        <f>IF(OR($D12="1 dd",$D12="2 dd",$D12="3 dd",$D12="4 dd",$D12="5 dd",$D12="6 dd",$D12="8 dd",$D12="12 dd",$D12="24 dd",$D12="an",$D12="zn"),VLOOKUP($D12,NeoTblTijden!$A$17:$Y$27,NeoTblTijden!N$15,FALSE),"")</f>
        <v/>
      </c>
      <c r="U12" s="383" t="str">
        <f>IF(OR($D12="1 dd",$D12="2 dd",$D12="3 dd",$D12="4 dd",$D12="5 dd",$D12="6 dd",$D12="8 dd",$D12="12 dd",$D12="24 dd",$D12="an",$D12="zn"),VLOOKUP($D12,NeoTblTijden!$A$17:$Y$27,NeoTblTijden!O$15,FALSE),"")</f>
        <v/>
      </c>
      <c r="V12" s="97" t="str">
        <f>IF(OR($D12="1 dd",$D12="2 dd",$D12="3 dd",$D12="4 dd",$D12="5 dd",$D12="6 dd",$D12="8 dd",$D12="12 dd",$D12="24 dd",$D12="an",$D12="zn"),VLOOKUP($D12,NeoTblTijden!$A$17:$Y$27,NeoTblTijden!P$15,FALSE),"")</f>
        <v/>
      </c>
      <c r="W12" s="383" t="str">
        <f>IF(OR($D12="1 dd",$D12="2 dd",$D12="3 dd",$D12="4 dd",$D12="5 dd",$D12="6 dd",$D12="8 dd",$D12="12 dd",$D12="24 dd",$D12="an",$D12="zn"),VLOOKUP($D12,NeoTblTijden!$A$17:$Y$27,NeoTblTijden!Q$15,FALSE),"")</f>
        <v/>
      </c>
      <c r="X12" s="97" t="str">
        <f>IF(OR($D12="1 dd",$D12="2 dd",$D12="3 dd",$D12="4 dd",$D12="5 dd",$D12="6 dd",$D12="8 dd",$D12="12 dd",$D12="24 dd",$D12="an",$D12="zn"),VLOOKUP($D12,NeoTblTijden!$A$17:$Y$27,NeoTblTijden!R$15,FALSE),"")</f>
        <v/>
      </c>
      <c r="Y12" s="383" t="str">
        <f>IF(OR($D12="1 dd",$D12="2 dd",$D12="3 dd",$D12="4 dd",$D12="5 dd",$D12="6 dd",$D12="8 dd",$D12="12 dd",$D12="24 dd",$D12="an",$D12="zn"),VLOOKUP($D12,NeoTblTijden!$A$17:$Y$27,NeoTblTijden!S$15,FALSE),"")</f>
        <v/>
      </c>
      <c r="Z12" s="97" t="str">
        <f>IF(OR($D12="1 dd",$D12="2 dd",$D12="3 dd",$D12="4 dd",$D12="5 dd",$D12="6 dd",$D12="8 dd",$D12="12 dd",$D12="24 dd",$D12="an",$D12="zn"),VLOOKUP($D12,NeoTblTijden!$A$17:$Y$27,NeoTblTijden!T$15,FALSE),"")</f>
        <v/>
      </c>
      <c r="AA12" s="383" t="str">
        <f>IF(OR($D12="1 dd",$D12="2 dd",$D12="3 dd",$D12="4 dd",$D12="5 dd",$D12="6 dd",$D12="8 dd",$D12="12 dd",$D12="24 dd",$D12="an",$D12="zn"),VLOOKUP($D12,NeoTblTijden!$A$17:$Y$27,NeoTblTijden!U$15,FALSE),"")</f>
        <v/>
      </c>
      <c r="AB12" s="97" t="str">
        <f>IF(OR($D12="1 dd",$D12="2 dd",$D12="3 dd",$D12="4 dd",$D12="5 dd",$D12="6 dd",$D12="8 dd",$D12="12 dd",$D12="24 dd",$D12="an",$D12="zn"),VLOOKUP($D12,NeoTblTijden!$A$17:$Y$27,NeoTblTijden!V$15,FALSE),"")</f>
        <v/>
      </c>
      <c r="AC12" s="383" t="str">
        <f>IF(OR($D12="1 dd",$D12="2 dd",$D12="3 dd",$D12="4 dd",$D12="5 dd",$D12="6 dd",$D12="8 dd",$D12="12 dd",$D12="24 dd",$D12="an",$D12="zn"),VLOOKUP($D12,NeoTblTijden!$A$17:$Y$27,NeoTblTijden!W$15,FALSE),"")</f>
        <v/>
      </c>
      <c r="AD12" s="97" t="str">
        <f>IF(OR($D12="1 dd",$D12="2 dd",$D12="3 dd",$D12="4 dd",$D12="5 dd",$D12="6 dd",$D12="8 dd",$D12="12 dd",$D12="24 dd",$D12="an",$D12="zn"),VLOOKUP($D12,NeoTblTijden!$A$17:$Y$27,NeoTblTijden!X$15,FALSE),"")</f>
        <v/>
      </c>
      <c r="AE12" s="383" t="str">
        <f>IF(OR($D12="1 dd",$D12="2 dd",$D12="3 dd",$D12="4 dd",$D12="5 dd",$D12="6 dd",$D12="8 dd",$D12="12 dd",$D12="24 dd",$D12="an",$D12="zn"),VLOOKUP($D12,NeoTblTijden!$A$17:$Y$27,NeoTblTijden!Y$15,FALSE),"")</f>
        <v/>
      </c>
      <c r="AF12" s="96"/>
      <c r="AG12" s="16"/>
    </row>
    <row r="13" spans="1:33" ht="26.1" customHeight="1" x14ac:dyDescent="0.2">
      <c r="B13" s="98"/>
      <c r="C13" s="129" t="str">
        <f>IF(GlobBerMedDisc!C12&lt;&gt;"",IF(GlobBerMedDisc!C12&gt;1,TRIM(GlobBerMedDisc!C12)&amp;", "&amp;GlobBerOpm!#REF!&amp;" ("&amp;GlobBerMedDisc!M12&amp;" "&amp;GlobBerMedDisc!F12&amp;"/kg/dag)",TRIM(GlobBerMedDisc!C12)&amp;", "&amp;GlobBerOpm!#REF!),"")</f>
        <v/>
      </c>
      <c r="D13" s="130" t="str">
        <f>IF(GlobGuiMedDisc!I19&lt;&gt;"",GlobGuiMedDisc!I19,"")</f>
        <v/>
      </c>
      <c r="E13" s="131" t="str">
        <f>IF(AND(D13&lt;&gt;"",D13&lt;&gt;"STOP"),GlobBerMedDisc!H12&amp;" "&amp;GlobBerMedDisc!F12,"")</f>
        <v/>
      </c>
      <c r="F13" s="131" t="str">
        <f>IF(AND(D13&lt;&gt;"",D13&lt;&gt;"STOP"),GlobBerMedDisc!L12," ")</f>
        <v xml:space="preserve"> </v>
      </c>
      <c r="G13" s="131" t="str">
        <f>IF(GlobGuiMedDisc!N19&lt;&gt;"",GlobGuiMedDisc!N19&amp;" "&amp;GlobGuiMedDisc!O19&amp;" "&amp;INDEX(GlobBerMedDisc!$B$27:$B$30,GlobBerMedDisc!O12,1)&amp;" in "&amp;GlobGuiMedDisc!$R$19,"")</f>
        <v/>
      </c>
      <c r="H13" s="97" t="str">
        <f>IF(OR($D13="1 dd",$D13="2 dd",$D13="3 dd",$D13="4 dd",$D13="5 dd",$D13="6 dd",$D13="8 dd",$D13="12 dd",$D13="24 dd",$D13="an",$D13="zn"),VLOOKUP($D13,NeoTblTijden!$A$17:$Y$27,NeoTblTijden!B$15,FALSE),"")</f>
        <v/>
      </c>
      <c r="I13" s="383" t="str">
        <f>IF(OR($D13="1 dd",$D13="2 dd",$D13="3 dd",$D13="4 dd",$D13="5 dd",$D13="6 dd",$D13="8 dd",$D13="12 dd",$D13="24 dd",$D13="an",$D13="zn"),VLOOKUP($D13,NeoTblTijden!$A$17:$Y$27,NeoTblTijden!C$15,FALSE),"")</f>
        <v/>
      </c>
      <c r="J13" s="97" t="str">
        <f>IF(OR($D13="1 dd",$D13="2 dd",$D13="3 dd",$D13="4 dd",$D13="5 dd",$D13="6 dd",$D13="8 dd",$D13="12 dd",$D13="24 dd",$D13="an",$D13="zn"),VLOOKUP($D13,NeoTblTijden!$A$17:$Y$27,NeoTblTijden!D$15,FALSE),"")</f>
        <v/>
      </c>
      <c r="K13" s="383" t="str">
        <f>IF(OR($D13="1 dd",$D13="2 dd",$D13="3 dd",$D13="4 dd",$D13="5 dd",$D13="6 dd",$D13="8 dd",$D13="12 dd",$D13="24 dd",$D13="an",$D13="zn"),VLOOKUP($D13,NeoTblTijden!$A$17:$Y$27,NeoTblTijden!E$15,FALSE),"")</f>
        <v/>
      </c>
      <c r="L13" s="97" t="str">
        <f>IF(OR($D13="1 dd",$D13="2 dd",$D13="3 dd",$D13="4 dd",$D13="5 dd",$D13="6 dd",$D13="8 dd",$D13="12 dd",$D13="24 dd",$D13="an",$D13="zn"),VLOOKUP($D13,NeoTblTijden!$A$17:$Y$27,NeoTblTijden!F$15,FALSE),"")</f>
        <v/>
      </c>
      <c r="M13" s="383" t="str">
        <f>IF(OR($D13="1 dd",$D13="2 dd",$D13="3 dd",$D13="4 dd",$D13="5 dd",$D13="6 dd",$D13="8 dd",$D13="12 dd",$D13="24 dd",$D13="an",$D13="zn"),VLOOKUP($D13,NeoTblTijden!$A$17:$Y$27,NeoTblTijden!G$15,FALSE),"")</f>
        <v/>
      </c>
      <c r="N13" s="97" t="str">
        <f>IF(OR($D13="1 dd",$D13="2 dd",$D13="3 dd",$D13="4 dd",$D13="5 dd",$D13="6 dd",$D13="8 dd",$D13="12 dd",$D13="24 dd",$D13="an",$D13="zn"),VLOOKUP($D13,NeoTblTijden!$A$17:$Y$27,NeoTblTijden!H$15,FALSE),"")</f>
        <v/>
      </c>
      <c r="O13" s="383" t="str">
        <f>IF(OR($D13="1 dd",$D13="2 dd",$D13="3 dd",$D13="4 dd",$D13="5 dd",$D13="6 dd",$D13="8 dd",$D13="12 dd",$D13="24 dd",$D13="an",$D13="zn"),VLOOKUP($D13,NeoTblTijden!$A$17:$Y$27,NeoTblTijden!I$15,FALSE),"")</f>
        <v/>
      </c>
      <c r="P13" s="97" t="str">
        <f>IF(OR($D13="1 dd",$D13="2 dd",$D13="3 dd",$D13="4 dd",$D13="5 dd",$D13="6 dd",$D13="8 dd",$D13="12 dd",$D13="24 dd",$D13="an",$D13="zn"),VLOOKUP($D13,NeoTblTijden!$A$17:$Y$27,NeoTblTijden!J$15,FALSE),"")</f>
        <v/>
      </c>
      <c r="Q13" s="383" t="str">
        <f>IF(OR($D13="1 dd",$D13="2 dd",$D13="3 dd",$D13="4 dd",$D13="5 dd",$D13="6 dd",$D13="8 dd",$D13="12 dd",$D13="24 dd",$D13="an",$D13="zn"),VLOOKUP($D13,NeoTblTijden!$A$17:$Y$27,NeoTblTijden!K$15,FALSE),"")</f>
        <v/>
      </c>
      <c r="R13" s="97" t="str">
        <f>IF(OR($D13="1 dd",$D13="2 dd",$D13="3 dd",$D13="4 dd",$D13="5 dd",$D13="6 dd",$D13="8 dd",$D13="12 dd",$D13="24 dd",$D13="an",$D13="zn"),VLOOKUP($D13,NeoTblTijden!$A$17:$Y$27,NeoTblTijden!L$15,FALSE),"")</f>
        <v/>
      </c>
      <c r="S13" s="383" t="str">
        <f>IF(OR($D13="1 dd",$D13="2 dd",$D13="3 dd",$D13="4 dd",$D13="5 dd",$D13="6 dd",$D13="8 dd",$D13="12 dd",$D13="24 dd",$D13="an",$D13="zn"),VLOOKUP($D13,NeoTblTijden!$A$17:$Y$27,NeoTblTijden!M$15,FALSE),"")</f>
        <v/>
      </c>
      <c r="T13" s="97" t="str">
        <f>IF(OR($D13="1 dd",$D13="2 dd",$D13="3 dd",$D13="4 dd",$D13="5 dd",$D13="6 dd",$D13="8 dd",$D13="12 dd",$D13="24 dd",$D13="an",$D13="zn"),VLOOKUP($D13,NeoTblTijden!$A$17:$Y$27,NeoTblTijden!N$15,FALSE),"")</f>
        <v/>
      </c>
      <c r="U13" s="383" t="str">
        <f>IF(OR($D13="1 dd",$D13="2 dd",$D13="3 dd",$D13="4 dd",$D13="5 dd",$D13="6 dd",$D13="8 dd",$D13="12 dd",$D13="24 dd",$D13="an",$D13="zn"),VLOOKUP($D13,NeoTblTijden!$A$17:$Y$27,NeoTblTijden!O$15,FALSE),"")</f>
        <v/>
      </c>
      <c r="V13" s="97" t="str">
        <f>IF(OR($D13="1 dd",$D13="2 dd",$D13="3 dd",$D13="4 dd",$D13="5 dd",$D13="6 dd",$D13="8 dd",$D13="12 dd",$D13="24 dd",$D13="an",$D13="zn"),VLOOKUP($D13,NeoTblTijden!$A$17:$Y$27,NeoTblTijden!P$15,FALSE),"")</f>
        <v/>
      </c>
      <c r="W13" s="383" t="str">
        <f>IF(OR($D13="1 dd",$D13="2 dd",$D13="3 dd",$D13="4 dd",$D13="5 dd",$D13="6 dd",$D13="8 dd",$D13="12 dd",$D13="24 dd",$D13="an",$D13="zn"),VLOOKUP($D13,NeoTblTijden!$A$17:$Y$27,NeoTblTijden!Q$15,FALSE),"")</f>
        <v/>
      </c>
      <c r="X13" s="97" t="str">
        <f>IF(OR($D13="1 dd",$D13="2 dd",$D13="3 dd",$D13="4 dd",$D13="5 dd",$D13="6 dd",$D13="8 dd",$D13="12 dd",$D13="24 dd",$D13="an",$D13="zn"),VLOOKUP($D13,NeoTblTijden!$A$17:$Y$27,NeoTblTijden!R$15,FALSE),"")</f>
        <v/>
      </c>
      <c r="Y13" s="383" t="str">
        <f>IF(OR($D13="1 dd",$D13="2 dd",$D13="3 dd",$D13="4 dd",$D13="5 dd",$D13="6 dd",$D13="8 dd",$D13="12 dd",$D13="24 dd",$D13="an",$D13="zn"),VLOOKUP($D13,NeoTblTijden!$A$17:$Y$27,NeoTblTijden!S$15,FALSE),"")</f>
        <v/>
      </c>
      <c r="Z13" s="97" t="str">
        <f>IF(OR($D13="1 dd",$D13="2 dd",$D13="3 dd",$D13="4 dd",$D13="5 dd",$D13="6 dd",$D13="8 dd",$D13="12 dd",$D13="24 dd",$D13="an",$D13="zn"),VLOOKUP($D13,NeoTblTijden!$A$17:$Y$27,NeoTblTijden!T$15,FALSE),"")</f>
        <v/>
      </c>
      <c r="AA13" s="383" t="str">
        <f>IF(OR($D13="1 dd",$D13="2 dd",$D13="3 dd",$D13="4 dd",$D13="5 dd",$D13="6 dd",$D13="8 dd",$D13="12 dd",$D13="24 dd",$D13="an",$D13="zn"),VLOOKUP($D13,NeoTblTijden!$A$17:$Y$27,NeoTblTijden!U$15,FALSE),"")</f>
        <v/>
      </c>
      <c r="AB13" s="97" t="str">
        <f>IF(OR($D13="1 dd",$D13="2 dd",$D13="3 dd",$D13="4 dd",$D13="5 dd",$D13="6 dd",$D13="8 dd",$D13="12 dd",$D13="24 dd",$D13="an",$D13="zn"),VLOOKUP($D13,NeoTblTijden!$A$17:$Y$27,NeoTblTijden!V$15,FALSE),"")</f>
        <v/>
      </c>
      <c r="AC13" s="383" t="str">
        <f>IF(OR($D13="1 dd",$D13="2 dd",$D13="3 dd",$D13="4 dd",$D13="5 dd",$D13="6 dd",$D13="8 dd",$D13="12 dd",$D13="24 dd",$D13="an",$D13="zn"),VLOOKUP($D13,NeoTblTijden!$A$17:$Y$27,NeoTblTijden!W$15,FALSE),"")</f>
        <v/>
      </c>
      <c r="AD13" s="97" t="str">
        <f>IF(OR($D13="1 dd",$D13="2 dd",$D13="3 dd",$D13="4 dd",$D13="5 dd",$D13="6 dd",$D13="8 dd",$D13="12 dd",$D13="24 dd",$D13="an",$D13="zn"),VLOOKUP($D13,NeoTblTijden!$A$17:$Y$27,NeoTblTijden!X$15,FALSE),"")</f>
        <v/>
      </c>
      <c r="AE13" s="383" t="str">
        <f>IF(OR($D13="1 dd",$D13="2 dd",$D13="3 dd",$D13="4 dd",$D13="5 dd",$D13="6 dd",$D13="8 dd",$D13="12 dd",$D13="24 dd",$D13="an",$D13="zn"),VLOOKUP($D13,NeoTblTijden!$A$17:$Y$27,NeoTblTijden!Y$15,FALSE),"")</f>
        <v/>
      </c>
      <c r="AF13" s="96"/>
      <c r="AG13" s="16"/>
    </row>
    <row r="14" spans="1:33" ht="26.1" customHeight="1" x14ac:dyDescent="0.2">
      <c r="B14" s="98"/>
      <c r="C14" s="129" t="str">
        <f>IF(GlobBerMedDisc!C13&lt;&gt;"",IF(GlobBerMedDisc!C13&gt;1,TRIM(GlobBerMedDisc!C13)&amp;", "&amp;GlobBerOpm!#REF!&amp;" ("&amp;GlobBerMedDisc!M13&amp;" "&amp;GlobBerMedDisc!F13&amp;"/kg/dag)",TRIM(GlobBerMedDisc!C13)&amp;", "&amp;GlobBerOpm!#REF!),"")</f>
        <v/>
      </c>
      <c r="D14" s="130" t="str">
        <f>IF(GlobGuiMedDisc!I20&lt;&gt;"",GlobGuiMedDisc!I20,"")</f>
        <v/>
      </c>
      <c r="E14" s="131" t="str">
        <f>IF(AND(D14&lt;&gt;"",D14&lt;&gt;"STOP"),GlobBerMedDisc!H13&amp;" "&amp;GlobBerMedDisc!F13,"")</f>
        <v/>
      </c>
      <c r="F14" s="131" t="str">
        <f>IF(AND(D14&lt;&gt;"",D14&lt;&gt;"STOP"),GlobBerMedDisc!L13," ")</f>
        <v xml:space="preserve"> </v>
      </c>
      <c r="G14" s="131" t="str">
        <f>IF(GlobGuiMedDisc!N20&lt;&gt;"",GlobGuiMedDisc!N20&amp;" "&amp;GlobGuiMedDisc!O20&amp;" "&amp;INDEX(GlobBerMedDisc!$B$27:$B$30,GlobBerMedDisc!O13,1)&amp;" in "&amp;GlobGuiMedDisc!$R$20,"")</f>
        <v/>
      </c>
      <c r="H14" s="97" t="str">
        <f>IF(OR($D14="1 dd",$D14="2 dd",$D14="3 dd",$D14="4 dd",$D14="6 dd",$D14="8 dd",$D14="12 dd",$D14="an",$D14="1 X"),VLOOKUP($D14,PedTblTijden!$A$16:$X$26,PedTblTijden!B$14,FALSE),"")</f>
        <v/>
      </c>
      <c r="I14" s="14" t="str">
        <f>IF(OR($D14="1 dd",$D14="2 dd",$D14="3 dd",$D14="4 dd",$D14="6 dd",$D14="8 dd",$D14="12 dd",$D14="an",$D14="1 X"),VLOOKUP($D14,PedTblTijden!$A$16:$X$26,PedTblTijden!C$14,FALSE),"")</f>
        <v/>
      </c>
      <c r="J14" s="97" t="str">
        <f>IF(OR($D14="1 dd",$D14="2 dd",$D14="3 dd",$D14="4 dd",$D14="6 dd",$D14="8 dd",$D14="12 dd",$D14="an",$D14="1 X"),VLOOKUP($D14,PedTblTijden!$A$16:$X$26,PedTblTijden!D$14,FALSE),"")</f>
        <v/>
      </c>
      <c r="K14" s="14" t="str">
        <f>IF(OR($D14="1 dd",$D14="2 dd",$D14="3 dd",$D14="4 dd",$D14="6 dd",$D14="8 dd",$D14="12 dd",$D14="an",$D14="1 X"),VLOOKUP($D14,PedTblTijden!$A$16:$X$26,PedTblTijden!E$14,FALSE),"")</f>
        <v/>
      </c>
      <c r="L14" s="97" t="str">
        <f>IF(OR($D14="1 dd",$D14="2 dd",$D14="3 dd",$D14="4 dd",$D14="6 dd",$D14="8 dd",$D14="12 dd",$D14="an",$D14="1 X"),VLOOKUP($D14,PedTblTijden!$A$16:$X$26,PedTblTijden!F$14,FALSE),"")</f>
        <v/>
      </c>
      <c r="M14" s="14" t="str">
        <f>IF(OR($D14="1 dd",$D14="2 dd",$D14="3 dd",$D14="4 dd",$D14="6 dd",$D14="8 dd",$D14="12 dd",$D14="an",$D14="1 X"),VLOOKUP($D14,PedTblTijden!$A$16:$X$26,PedTblTijden!G$14,FALSE),"")</f>
        <v/>
      </c>
      <c r="N14" s="97" t="str">
        <f>IF(OR($D14="1 dd",$D14="2 dd",$D14="3 dd",$D14="4 dd",$D14="6 dd",$D14="8 dd",$D14="12 dd",$D14="an",$D14="1 X"),VLOOKUP($D14,PedTblTijden!$A$16:$X$26,PedTblTijden!H$14,FALSE),"")</f>
        <v/>
      </c>
      <c r="O14" s="14" t="str">
        <f>IF(OR($D14="1 dd",$D14="2 dd",$D14="3 dd",$D14="4 dd",$D14="6 dd",$D14="8 dd",$D14="12 dd",$D14="an",$D14="1 X"),VLOOKUP($D14,PedTblTijden!$A$16:$X$26,PedTblTijden!I$14,FALSE),"")</f>
        <v/>
      </c>
      <c r="P14" s="97" t="str">
        <f>IF(OR($D14="1 dd",$D14="2 dd",$D14="3 dd",$D14="4 dd",$D14="6 dd",$D14="8 dd",$D14="12 dd",$D14="an",$D14="1 X"),VLOOKUP($D14,PedTblTijden!$A$16:$X$26,PedTblTijden!J$14,FALSE),"")</f>
        <v/>
      </c>
      <c r="Q14" s="14" t="str">
        <f>IF(OR($D14="1 dd",$D14="2 dd",$D14="3 dd",$D14="4 dd",$D14="6 dd",$D14="8 dd",$D14="12 dd",$D14="an",$D14="1 X"),VLOOKUP($D14,PedTblTijden!$A$16:$X$26,PedTblTijden!K$14,FALSE),"")</f>
        <v/>
      </c>
      <c r="R14" s="97" t="str">
        <f>IF(OR($D14="1 dd",$D14="2 dd",$D14="3 dd",$D14="4 dd",$D14="6 dd",$D14="8 dd",$D14="12 dd",$D14="an",$D14="1 X"),VLOOKUP($D14,PedTblTijden!$A$16:$X$26,PedTblTijden!L$14,FALSE),"")</f>
        <v/>
      </c>
      <c r="S14" s="14" t="str">
        <f>IF(OR($D14="1 dd",$D14="2 dd",$D14="3 dd",$D14="4 dd",$D14="6 dd",$D14="8 dd",$D14="12 dd",$D14="an",$D14="1 X"),VLOOKUP($D14,PedTblTijden!$A$16:$X$26,PedTblTijden!M$14,FALSE),"")</f>
        <v/>
      </c>
      <c r="T14" s="97" t="str">
        <f>IF(OR($D14="1 dd",$D14="2 dd",$D14="3 dd",$D14="4 dd",$D14="6 dd",$D14="8 dd",$D14="12 dd",$D14="an",$D14="1 X"),VLOOKUP($D14,PedTblTijden!$A$16:$X$26,PedTblTijden!N$14,FALSE),"")</f>
        <v/>
      </c>
      <c r="U14" s="14" t="str">
        <f>IF(OR($D14="1 dd",$D14="2 dd",$D14="3 dd",$D14="4 dd",$D14="6 dd",$D14="8 dd",$D14="12 dd",$D14="an",$D14="1 X"),VLOOKUP($D14,PedTblTijden!$A$16:$X$26,PedTblTijden!O$14,FALSE),"")</f>
        <v/>
      </c>
      <c r="V14" s="97" t="str">
        <f>IF(OR($D14="1 dd",$D14="2 dd",$D14="3 dd",$D14="4 dd",$D14="6 dd",$D14="8 dd",$D14="12 dd",$D14="an",$D14="1 X"),VLOOKUP($D14,PedTblTijden!$A$16:$X$26,PedTblTijden!P$14,FALSE),"")</f>
        <v/>
      </c>
      <c r="W14" s="14" t="str">
        <f>IF(OR($D14="1 dd",$D14="2 dd",$D14="3 dd",$D14="4 dd",$D14="6 dd",$D14="8 dd",$D14="12 dd",$D14="an",$D14="1 X"),VLOOKUP($D14,PedTblTijden!$A$16:$X$26,PedTblTijden!Q$14,FALSE),"")</f>
        <v/>
      </c>
      <c r="X14" s="97" t="str">
        <f>IF(OR($D14="1 dd",$D14="2 dd",$D14="3 dd",$D14="4 dd",$D14="6 dd",$D14="8 dd",$D14="12 dd",$D14="an",$D14="1 X"),VLOOKUP($D14,PedTblTijden!$A$16:$X$26,PedTblTijden!R$14,FALSE),"")</f>
        <v/>
      </c>
      <c r="Y14" s="14" t="str">
        <f>IF(OR($D14="1 dd",$D14="2 dd",$D14="3 dd",$D14="4 dd",$D14="6 dd",$D14="8 dd",$D14="12 dd",$D14="an",$D14="1 X"),VLOOKUP($D14,PedTblTijden!$A$16:$X$26,PedTblTijden!S$14,FALSE),"")</f>
        <v/>
      </c>
      <c r="Z14" s="97" t="str">
        <f>IF(OR($D14="1 dd",$D14="2 dd",$D14="3 dd",$D14="4 dd",$D14="6 dd",$D14="8 dd",$D14="12 dd",$D14="an",$D14="1 X"),VLOOKUP($D14,PedTblTijden!$A$16:$X$26,PedTblTijden!T$14,FALSE),"")</f>
        <v/>
      </c>
      <c r="AA14" s="14" t="str">
        <f>IF(OR($D14="1 dd",$D14="2 dd",$D14="3 dd",$D14="4 dd",$D14="6 dd",$D14="8 dd",$D14="12 dd",$D14="an",$D14="1 X"),VLOOKUP($D14,PedTblTijden!$A$16:$X$26,PedTblTijden!U$14,FALSE),"")</f>
        <v/>
      </c>
      <c r="AB14" s="97" t="str">
        <f>IF(OR($D14="1 dd",$D14="2 dd",$D14="3 dd",$D14="4 dd",$D14="6 dd",$D14="8 dd",$D14="12 dd",$D14="an",$D14="1 X"),VLOOKUP($D14,PedTblTijden!$A$16:$X$26,PedTblTijden!V$14,FALSE),"")</f>
        <v/>
      </c>
      <c r="AC14" s="14" t="str">
        <f>IF(OR($D14="1 dd",$D14="2 dd",$D14="3 dd",$D14="4 dd",$D14="6 dd",$D14="8 dd",$D14="12 dd",$D14="an",$D14="1 X"),VLOOKUP($D14,PedTblTijden!$A$16:$X$26,PedTblTijden!W$14,FALSE),"")</f>
        <v/>
      </c>
      <c r="AD14" s="97" t="str">
        <f>IF(OR($D14="1 dd",$D14="2 dd",$D14="3 dd",$D14="4 dd",$D14="6 dd",$D14="8 dd",$D14="12 dd",$D14="an",$D14="1 X"),VLOOKUP($D14,PedTblTijden!$A$16:$X$26,PedTblTijden!X$14,FALSE),"")</f>
        <v/>
      </c>
      <c r="AE14" s="16"/>
      <c r="AF14" s="96"/>
      <c r="AG14" s="16"/>
    </row>
    <row r="15" spans="1:33" ht="26.1" customHeight="1" x14ac:dyDescent="0.2">
      <c r="B15" s="98"/>
      <c r="C15" s="129" t="str">
        <f>IF(GlobBerMedDisc!C14&lt;&gt;"",IF(GlobBerMedDisc!C14&gt;1,TRIM(GlobBerMedDisc!C14)&amp;", "&amp;GlobBerOpm!#REF!&amp;" ("&amp;GlobBerMedDisc!M14&amp;" "&amp;GlobBerMedDisc!F14&amp;"/kg/dag)",TRIM(GlobBerMedDisc!C14)&amp;", "&amp;GlobBerOpm!#REF!),"")</f>
        <v/>
      </c>
      <c r="D15" s="130" t="str">
        <f>IF(GlobGuiMedDisc!I21&lt;&gt;"",GlobGuiMedDisc!I21,"")</f>
        <v/>
      </c>
      <c r="E15" s="131" t="str">
        <f>IF(AND(D15&lt;&gt;"",D15&lt;&gt;"STOP"),GlobBerMedDisc!H14&amp;" "&amp;GlobBerMedDisc!F14,"")</f>
        <v/>
      </c>
      <c r="F15" s="131" t="str">
        <f>IF(AND(D15&lt;&gt;"",D15&lt;&gt;"STOP"),GlobBerMedDisc!L14," ")</f>
        <v xml:space="preserve"> </v>
      </c>
      <c r="G15" s="131" t="str">
        <f>IF(GlobGuiMedDisc!N21&lt;&gt;"",GlobGuiMedDisc!N21&amp;" "&amp;GlobGuiMedDisc!O21&amp;" "&amp;INDEX(GlobBerMedDisc!$B$27:$B$30,GlobBerMedDisc!O14,1)&amp;" in "&amp;GlobGuiMedDisc!$R$21,"")</f>
        <v/>
      </c>
      <c r="H15" s="97" t="str">
        <f>IF(OR($D15="1 dd",$D15="2 dd",$D15="3 dd",$D15="4 dd",$D15="6 dd",$D15="8 dd",$D15="12 dd",$D15="an",$D15="1 X"),VLOOKUP($D15,PedTblTijden!$A$16:$X$26,PedTblTijden!B$14,FALSE),"")</f>
        <v/>
      </c>
      <c r="I15" s="14" t="str">
        <f>IF(OR($D15="1 dd",$D15="2 dd",$D15="3 dd",$D15="4 dd",$D15="6 dd",$D15="8 dd",$D15="12 dd",$D15="an",$D15="1 X"),VLOOKUP($D15,PedTblTijden!$A$16:$X$26,PedTblTijden!C$14,FALSE),"")</f>
        <v/>
      </c>
      <c r="J15" s="97" t="str">
        <f>IF(OR($D15="1 dd",$D15="2 dd",$D15="3 dd",$D15="4 dd",$D15="6 dd",$D15="8 dd",$D15="12 dd",$D15="an",$D15="1 X"),VLOOKUP($D15,PedTblTijden!$A$16:$X$26,PedTblTijden!D$14,FALSE),"")</f>
        <v/>
      </c>
      <c r="K15" s="14" t="str">
        <f>IF(OR($D15="1 dd",$D15="2 dd",$D15="3 dd",$D15="4 dd",$D15="6 dd",$D15="8 dd",$D15="12 dd",$D15="an",$D15="1 X"),VLOOKUP($D15,PedTblTijden!$A$16:$X$26,PedTblTijden!E$14,FALSE),"")</f>
        <v/>
      </c>
      <c r="L15" s="97" t="str">
        <f>IF(OR($D15="1 dd",$D15="2 dd",$D15="3 dd",$D15="4 dd",$D15="6 dd",$D15="8 dd",$D15="12 dd",$D15="an",$D15="1 X"),VLOOKUP($D15,PedTblTijden!$A$16:$X$26,PedTblTijden!F$14,FALSE),"")</f>
        <v/>
      </c>
      <c r="M15" s="14" t="str">
        <f>IF(OR($D15="1 dd",$D15="2 dd",$D15="3 dd",$D15="4 dd",$D15="6 dd",$D15="8 dd",$D15="12 dd",$D15="an",$D15="1 X"),VLOOKUP($D15,PedTblTijden!$A$16:$X$26,PedTblTijden!G$14,FALSE),"")</f>
        <v/>
      </c>
      <c r="N15" s="97" t="str">
        <f>IF(OR($D15="1 dd",$D15="2 dd",$D15="3 dd",$D15="4 dd",$D15="6 dd",$D15="8 dd",$D15="12 dd",$D15="an",$D15="1 X"),VLOOKUP($D15,PedTblTijden!$A$16:$X$26,PedTblTijden!H$14,FALSE),"")</f>
        <v/>
      </c>
      <c r="O15" s="14" t="str">
        <f>IF(OR($D15="1 dd",$D15="2 dd",$D15="3 dd",$D15="4 dd",$D15="6 dd",$D15="8 dd",$D15="12 dd",$D15="an",$D15="1 X"),VLOOKUP($D15,PedTblTijden!$A$16:$X$26,PedTblTijden!I$14,FALSE),"")</f>
        <v/>
      </c>
      <c r="P15" s="97" t="str">
        <f>IF(OR($D15="1 dd",$D15="2 dd",$D15="3 dd",$D15="4 dd",$D15="6 dd",$D15="8 dd",$D15="12 dd",$D15="an",$D15="1 X"),VLOOKUP($D15,PedTblTijden!$A$16:$X$26,PedTblTijden!J$14,FALSE),"")</f>
        <v/>
      </c>
      <c r="Q15" s="14" t="str">
        <f>IF(OR($D15="1 dd",$D15="2 dd",$D15="3 dd",$D15="4 dd",$D15="6 dd",$D15="8 dd",$D15="12 dd",$D15="an",$D15="1 X"),VLOOKUP($D15,PedTblTijden!$A$16:$X$26,PedTblTijden!K$14,FALSE),"")</f>
        <v/>
      </c>
      <c r="R15" s="97" t="str">
        <f>IF(OR($D15="1 dd",$D15="2 dd",$D15="3 dd",$D15="4 dd",$D15="6 dd",$D15="8 dd",$D15="12 dd",$D15="an",$D15="1 X"),VLOOKUP($D15,PedTblTijden!$A$16:$X$26,PedTblTijden!L$14,FALSE),"")</f>
        <v/>
      </c>
      <c r="S15" s="14" t="str">
        <f>IF(OR($D15="1 dd",$D15="2 dd",$D15="3 dd",$D15="4 dd",$D15="6 dd",$D15="8 dd",$D15="12 dd",$D15="an",$D15="1 X"),VLOOKUP($D15,PedTblTijden!$A$16:$X$26,PedTblTijden!M$14,FALSE),"")</f>
        <v/>
      </c>
      <c r="T15" s="97" t="str">
        <f>IF(OR($D15="1 dd",$D15="2 dd",$D15="3 dd",$D15="4 dd",$D15="6 dd",$D15="8 dd",$D15="12 dd",$D15="an",$D15="1 X"),VLOOKUP($D15,PedTblTijden!$A$16:$X$26,PedTblTijden!N$14,FALSE),"")</f>
        <v/>
      </c>
      <c r="U15" s="14" t="str">
        <f>IF(OR($D15="1 dd",$D15="2 dd",$D15="3 dd",$D15="4 dd",$D15="6 dd",$D15="8 dd",$D15="12 dd",$D15="an",$D15="1 X"),VLOOKUP($D15,PedTblTijden!$A$16:$X$26,PedTblTijden!O$14,FALSE),"")</f>
        <v/>
      </c>
      <c r="V15" s="97" t="str">
        <f>IF(OR($D15="1 dd",$D15="2 dd",$D15="3 dd",$D15="4 dd",$D15="6 dd",$D15="8 dd",$D15="12 dd",$D15="an",$D15="1 X"),VLOOKUP($D15,PedTblTijden!$A$16:$X$26,PedTblTijden!P$14,FALSE),"")</f>
        <v/>
      </c>
      <c r="W15" s="14" t="str">
        <f>IF(OR($D15="1 dd",$D15="2 dd",$D15="3 dd",$D15="4 dd",$D15="6 dd",$D15="8 dd",$D15="12 dd",$D15="an",$D15="1 X"),VLOOKUP($D15,PedTblTijden!$A$16:$X$26,PedTblTijden!Q$14,FALSE),"")</f>
        <v/>
      </c>
      <c r="X15" s="97" t="str">
        <f>IF(OR($D15="1 dd",$D15="2 dd",$D15="3 dd",$D15="4 dd",$D15="6 dd",$D15="8 dd",$D15="12 dd",$D15="an",$D15="1 X"),VLOOKUP($D15,PedTblTijden!$A$16:$X$26,PedTblTijden!R$14,FALSE),"")</f>
        <v/>
      </c>
      <c r="Y15" s="14" t="str">
        <f>IF(OR($D15="1 dd",$D15="2 dd",$D15="3 dd",$D15="4 dd",$D15="6 dd",$D15="8 dd",$D15="12 dd",$D15="an",$D15="1 X"),VLOOKUP($D15,PedTblTijden!$A$16:$X$26,PedTblTijden!S$14,FALSE),"")</f>
        <v/>
      </c>
      <c r="Z15" s="97" t="str">
        <f>IF(OR($D15="1 dd",$D15="2 dd",$D15="3 dd",$D15="4 dd",$D15="6 dd",$D15="8 dd",$D15="12 dd",$D15="an",$D15="1 X"),VLOOKUP($D15,PedTblTijden!$A$16:$X$26,PedTblTijden!T$14,FALSE),"")</f>
        <v/>
      </c>
      <c r="AA15" s="14" t="str">
        <f>IF(OR($D15="1 dd",$D15="2 dd",$D15="3 dd",$D15="4 dd",$D15="6 dd",$D15="8 dd",$D15="12 dd",$D15="an",$D15="1 X"),VLOOKUP($D15,PedTblTijden!$A$16:$X$26,PedTblTijden!U$14,FALSE),"")</f>
        <v/>
      </c>
      <c r="AB15" s="97" t="str">
        <f>IF(OR($D15="1 dd",$D15="2 dd",$D15="3 dd",$D15="4 dd",$D15="6 dd",$D15="8 dd",$D15="12 dd",$D15="an",$D15="1 X"),VLOOKUP($D15,PedTblTijden!$A$16:$X$26,PedTblTijden!V$14,FALSE),"")</f>
        <v/>
      </c>
      <c r="AC15" s="14" t="str">
        <f>IF(OR($D15="1 dd",$D15="2 dd",$D15="3 dd",$D15="4 dd",$D15="6 dd",$D15="8 dd",$D15="12 dd",$D15="an",$D15="1 X"),VLOOKUP($D15,PedTblTijden!$A$16:$X$26,PedTblTijden!W$14,FALSE),"")</f>
        <v/>
      </c>
      <c r="AD15" s="97" t="str">
        <f>IF(OR($D15="1 dd",$D15="2 dd",$D15="3 dd",$D15="4 dd",$D15="6 dd",$D15="8 dd",$D15="12 dd",$D15="an",$D15="1 X"),VLOOKUP($D15,PedTblTijden!$A$16:$X$26,PedTblTijden!X$14,FALSE),"")</f>
        <v/>
      </c>
      <c r="AE15" s="16"/>
      <c r="AF15" s="96"/>
      <c r="AG15" s="16"/>
    </row>
    <row r="16" spans="1:33" ht="26.1" customHeight="1" x14ac:dyDescent="0.2">
      <c r="B16" s="98"/>
      <c r="C16" s="129" t="str">
        <f>IF(GlobBerMedDisc!C15&lt;&gt;"",IF(GlobBerMedDisc!C15&gt;1,TRIM(GlobBerMedDisc!C15)&amp;", "&amp;GlobBerOpm!#REF!&amp;" ("&amp;GlobBerMedDisc!M15&amp;" "&amp;GlobBerMedDisc!F15&amp;"/kg/dag)",TRIM(GlobBerMedDisc!C15)&amp;", "&amp;GlobBerOpm!#REF!),"")</f>
        <v/>
      </c>
      <c r="D16" s="130" t="str">
        <f>IF(GlobGuiMedDisc!I22&lt;&gt;"",GlobGuiMedDisc!I22,"")</f>
        <v/>
      </c>
      <c r="E16" s="131" t="str">
        <f>IF(AND(D16&lt;&gt;"",D16&lt;&gt;"STOP"),GlobBerMedDisc!H15&amp;" "&amp;GlobBerMedDisc!F15,"")</f>
        <v/>
      </c>
      <c r="F16" s="131" t="str">
        <f>IF(AND(D16&lt;&gt;"",D16&lt;&gt;"STOP"),GlobBerMedDisc!L15," ")</f>
        <v xml:space="preserve"> </v>
      </c>
      <c r="G16" s="131" t="str">
        <f>IF(GlobGuiMedDisc!N22&lt;&gt;"",GlobGuiMedDisc!N22&amp;" "&amp;GlobGuiMedDisc!O22&amp;" "&amp;INDEX(GlobBerMedDisc!$B$27:$B$30,GlobBerMedDisc!O15,1)&amp;" in "&amp;GlobGuiMedDisc!$R$22,"")</f>
        <v/>
      </c>
      <c r="H16" s="97" t="str">
        <f>IF(OR($D16="1 dd",$D16="2 dd",$D16="3 dd",$D16="4 dd",$D16="6 dd",$D16="8 dd",$D16="12 dd",$D16="an",$D16="1 X"),VLOOKUP($D16,PedTblTijden!$A$16:$X$26,PedTblTijden!B$14,FALSE),"")</f>
        <v/>
      </c>
      <c r="I16" s="14" t="str">
        <f>IF(OR($D16="1 dd",$D16="2 dd",$D16="3 dd",$D16="4 dd",$D16="6 dd",$D16="8 dd",$D16="12 dd",$D16="an",$D16="1 X"),VLOOKUP($D16,PedTblTijden!$A$16:$X$26,PedTblTijden!C$14,FALSE),"")</f>
        <v/>
      </c>
      <c r="J16" s="97" t="str">
        <f>IF(OR($D16="1 dd",$D16="2 dd",$D16="3 dd",$D16="4 dd",$D16="6 dd",$D16="8 dd",$D16="12 dd",$D16="an",$D16="1 X"),VLOOKUP($D16,PedTblTijden!$A$16:$X$26,PedTblTijden!D$14,FALSE),"")</f>
        <v/>
      </c>
      <c r="K16" s="14" t="str">
        <f>IF(OR($D16="1 dd",$D16="2 dd",$D16="3 dd",$D16="4 dd",$D16="6 dd",$D16="8 dd",$D16="12 dd",$D16="an",$D16="1 X"),VLOOKUP($D16,PedTblTijden!$A$16:$X$26,PedTblTijden!E$14,FALSE),"")</f>
        <v/>
      </c>
      <c r="L16" s="97" t="str">
        <f>IF(OR($D16="1 dd",$D16="2 dd",$D16="3 dd",$D16="4 dd",$D16="6 dd",$D16="8 dd",$D16="12 dd",$D16="an",$D16="1 X"),VLOOKUP($D16,PedTblTijden!$A$16:$X$26,PedTblTijden!F$14,FALSE),"")</f>
        <v/>
      </c>
      <c r="M16" s="14" t="str">
        <f>IF(OR($D16="1 dd",$D16="2 dd",$D16="3 dd",$D16="4 dd",$D16="6 dd",$D16="8 dd",$D16="12 dd",$D16="an",$D16="1 X"),VLOOKUP($D16,PedTblTijden!$A$16:$X$26,PedTblTijden!G$14,FALSE),"")</f>
        <v/>
      </c>
      <c r="N16" s="97" t="str">
        <f>IF(OR($D16="1 dd",$D16="2 dd",$D16="3 dd",$D16="4 dd",$D16="6 dd",$D16="8 dd",$D16="12 dd",$D16="an",$D16="1 X"),VLOOKUP($D16,PedTblTijden!$A$16:$X$26,PedTblTijden!H$14,FALSE),"")</f>
        <v/>
      </c>
      <c r="O16" s="14" t="str">
        <f>IF(OR($D16="1 dd",$D16="2 dd",$D16="3 dd",$D16="4 dd",$D16="6 dd",$D16="8 dd",$D16="12 dd",$D16="an",$D16="1 X"),VLOOKUP($D16,PedTblTijden!$A$16:$X$26,PedTblTijden!I$14,FALSE),"")</f>
        <v/>
      </c>
      <c r="P16" s="97" t="str">
        <f>IF(OR($D16="1 dd",$D16="2 dd",$D16="3 dd",$D16="4 dd",$D16="6 dd",$D16="8 dd",$D16="12 dd",$D16="an",$D16="1 X"),VLOOKUP($D16,PedTblTijden!$A$16:$X$26,PedTblTijden!J$14,FALSE),"")</f>
        <v/>
      </c>
      <c r="Q16" s="14" t="str">
        <f>IF(OR($D16="1 dd",$D16="2 dd",$D16="3 dd",$D16="4 dd",$D16="6 dd",$D16="8 dd",$D16="12 dd",$D16="an",$D16="1 X"),VLOOKUP($D16,PedTblTijden!$A$16:$X$26,PedTblTijden!K$14,FALSE),"")</f>
        <v/>
      </c>
      <c r="R16" s="97" t="str">
        <f>IF(OR($D16="1 dd",$D16="2 dd",$D16="3 dd",$D16="4 dd",$D16="6 dd",$D16="8 dd",$D16="12 dd",$D16="an",$D16="1 X"),VLOOKUP($D16,PedTblTijden!$A$16:$X$26,PedTblTijden!L$14,FALSE),"")</f>
        <v/>
      </c>
      <c r="S16" s="14" t="str">
        <f>IF(OR($D16="1 dd",$D16="2 dd",$D16="3 dd",$D16="4 dd",$D16="6 dd",$D16="8 dd",$D16="12 dd",$D16="an",$D16="1 X"),VLOOKUP($D16,PedTblTijden!$A$16:$X$26,PedTblTijden!M$14,FALSE),"")</f>
        <v/>
      </c>
      <c r="T16" s="97" t="str">
        <f>IF(OR($D16="1 dd",$D16="2 dd",$D16="3 dd",$D16="4 dd",$D16="6 dd",$D16="8 dd",$D16="12 dd",$D16="an",$D16="1 X"),VLOOKUP($D16,PedTblTijden!$A$16:$X$26,PedTblTijden!N$14,FALSE),"")</f>
        <v/>
      </c>
      <c r="U16" s="14" t="str">
        <f>IF(OR($D16="1 dd",$D16="2 dd",$D16="3 dd",$D16="4 dd",$D16="6 dd",$D16="8 dd",$D16="12 dd",$D16="an",$D16="1 X"),VLOOKUP($D16,PedTblTijden!$A$16:$X$26,PedTblTijden!O$14,FALSE),"")</f>
        <v/>
      </c>
      <c r="V16" s="97" t="str">
        <f>IF(OR($D16="1 dd",$D16="2 dd",$D16="3 dd",$D16="4 dd",$D16="6 dd",$D16="8 dd",$D16="12 dd",$D16="an",$D16="1 X"),VLOOKUP($D16,PedTblTijden!$A$16:$X$26,PedTblTijden!P$14,FALSE),"")</f>
        <v/>
      </c>
      <c r="W16" s="14" t="str">
        <f>IF(OR($D16="1 dd",$D16="2 dd",$D16="3 dd",$D16="4 dd",$D16="6 dd",$D16="8 dd",$D16="12 dd",$D16="an",$D16="1 X"),VLOOKUP($D16,PedTblTijden!$A$16:$X$26,PedTblTijden!Q$14,FALSE),"")</f>
        <v/>
      </c>
      <c r="X16" s="97" t="str">
        <f>IF(OR($D16="1 dd",$D16="2 dd",$D16="3 dd",$D16="4 dd",$D16="6 dd",$D16="8 dd",$D16="12 dd",$D16="an",$D16="1 X"),VLOOKUP($D16,PedTblTijden!$A$16:$X$26,PedTblTijden!R$14,FALSE),"")</f>
        <v/>
      </c>
      <c r="Y16" s="14" t="str">
        <f>IF(OR($D16="1 dd",$D16="2 dd",$D16="3 dd",$D16="4 dd",$D16="6 dd",$D16="8 dd",$D16="12 dd",$D16="an",$D16="1 X"),VLOOKUP($D16,PedTblTijden!$A$16:$X$26,PedTblTijden!S$14,FALSE),"")</f>
        <v/>
      </c>
      <c r="Z16" s="97" t="str">
        <f>IF(OR($D16="1 dd",$D16="2 dd",$D16="3 dd",$D16="4 dd",$D16="6 dd",$D16="8 dd",$D16="12 dd",$D16="an",$D16="1 X"),VLOOKUP($D16,PedTblTijden!$A$16:$X$26,PedTblTijden!T$14,FALSE),"")</f>
        <v/>
      </c>
      <c r="AA16" s="14" t="str">
        <f>IF(OR($D16="1 dd",$D16="2 dd",$D16="3 dd",$D16="4 dd",$D16="6 dd",$D16="8 dd",$D16="12 dd",$D16="an",$D16="1 X"),VLOOKUP($D16,PedTblTijden!$A$16:$X$26,PedTblTijden!U$14,FALSE),"")</f>
        <v/>
      </c>
      <c r="AB16" s="97" t="str">
        <f>IF(OR($D16="1 dd",$D16="2 dd",$D16="3 dd",$D16="4 dd",$D16="6 dd",$D16="8 dd",$D16="12 dd",$D16="an",$D16="1 X"),VLOOKUP($D16,PedTblTijden!$A$16:$X$26,PedTblTijden!V$14,FALSE),"")</f>
        <v/>
      </c>
      <c r="AC16" s="14" t="str">
        <f>IF(OR($D16="1 dd",$D16="2 dd",$D16="3 dd",$D16="4 dd",$D16="6 dd",$D16="8 dd",$D16="12 dd",$D16="an",$D16="1 X"),VLOOKUP($D16,PedTblTijden!$A$16:$X$26,PedTblTijden!W$14,FALSE),"")</f>
        <v/>
      </c>
      <c r="AD16" s="97" t="str">
        <f>IF(OR($D16="1 dd",$D16="2 dd",$D16="3 dd",$D16="4 dd",$D16="6 dd",$D16="8 dd",$D16="12 dd",$D16="an",$D16="1 X"),VLOOKUP($D16,PedTblTijden!$A$16:$X$26,PedTblTijden!X$14,FALSE),"")</f>
        <v/>
      </c>
      <c r="AE16" s="16"/>
      <c r="AF16" s="96"/>
      <c r="AG16" s="16"/>
    </row>
    <row r="17" spans="2:33" ht="26.1" customHeight="1" x14ac:dyDescent="0.2">
      <c r="B17" s="98"/>
      <c r="C17" s="129" t="str">
        <f>IF(GlobBerMedDisc!C16&lt;&gt;"",IF(GlobBerMedDisc!C16&gt;1,TRIM(GlobBerMedDisc!C16)&amp;", "&amp;GlobBerOpm!#REF!&amp;" ("&amp;GlobBerMedDisc!M16&amp;" "&amp;GlobBerMedDisc!F16&amp;"/kg/dag)",TRIM(GlobBerMedDisc!C16)&amp;", "&amp;GlobBerOpm!#REF!),"")</f>
        <v/>
      </c>
      <c r="D17" s="130" t="str">
        <f>IF(GlobGuiMedDisc!I23&lt;&gt;"",GlobGuiMedDisc!I23,"")</f>
        <v/>
      </c>
      <c r="E17" s="131" t="str">
        <f>IF(AND(D17&lt;&gt;"",D17&lt;&gt;"STOP"),GlobBerMedDisc!H16&amp;" "&amp;GlobBerMedDisc!F16,"")</f>
        <v/>
      </c>
      <c r="F17" s="131" t="str">
        <f>IF(AND(D17&lt;&gt;"",D17&lt;&gt;"STOP"),GlobBerMedDisc!L16," ")</f>
        <v xml:space="preserve"> </v>
      </c>
      <c r="G17" s="131" t="str">
        <f>IF(GlobGuiMedDisc!N23&lt;&gt;"",GlobGuiMedDisc!N23&amp;" "&amp;GlobGuiMedDisc!O23&amp;" "&amp;INDEX(GlobBerMedDisc!$B$27:$B$30,GlobBerMedDisc!O16,1)&amp;" in "&amp;GlobGuiMedDisc!$R$23,"")</f>
        <v/>
      </c>
      <c r="H17" s="97" t="str">
        <f>IF(OR($D17="1 dd",$D17="2 dd",$D17="3 dd",$D17="4 dd",$D17="6 dd",$D17="8 dd",$D17="12 dd",$D17="an",$D17="1 X"),VLOOKUP($D17,PedTblTijden!$A$16:$X$26,PedTblTijden!B$14,FALSE),"")</f>
        <v/>
      </c>
      <c r="I17" s="14" t="str">
        <f>IF(OR($D17="1 dd",$D17="2 dd",$D17="3 dd",$D17="4 dd",$D17="6 dd",$D17="8 dd",$D17="12 dd",$D17="an",$D17="1 X"),VLOOKUP($D17,PedTblTijden!$A$16:$X$26,PedTblTijden!C$14,FALSE),"")</f>
        <v/>
      </c>
      <c r="J17" s="97" t="str">
        <f>IF(OR($D17="1 dd",$D17="2 dd",$D17="3 dd",$D17="4 dd",$D17="6 dd",$D17="8 dd",$D17="12 dd",$D17="an",$D17="1 X"),VLOOKUP($D17,PedTblTijden!$A$16:$X$26,PedTblTijden!D$14,FALSE),"")</f>
        <v/>
      </c>
      <c r="K17" s="14" t="str">
        <f>IF(OR($D17="1 dd",$D17="2 dd",$D17="3 dd",$D17="4 dd",$D17="6 dd",$D17="8 dd",$D17="12 dd",$D17="an",$D17="1 X"),VLOOKUP($D17,PedTblTijden!$A$16:$X$26,PedTblTijden!E$14,FALSE),"")</f>
        <v/>
      </c>
      <c r="L17" s="97" t="str">
        <f>IF(OR($D17="1 dd",$D17="2 dd",$D17="3 dd",$D17="4 dd",$D17="6 dd",$D17="8 dd",$D17="12 dd",$D17="an",$D17="1 X"),VLOOKUP($D17,PedTblTijden!$A$16:$X$26,PedTblTijden!F$14,FALSE),"")</f>
        <v/>
      </c>
      <c r="M17" s="14" t="str">
        <f>IF(OR($D17="1 dd",$D17="2 dd",$D17="3 dd",$D17="4 dd",$D17="6 dd",$D17="8 dd",$D17="12 dd",$D17="an",$D17="1 X"),VLOOKUP($D17,PedTblTijden!$A$16:$X$26,PedTblTijden!G$14,FALSE),"")</f>
        <v/>
      </c>
      <c r="N17" s="97" t="str">
        <f>IF(OR($D17="1 dd",$D17="2 dd",$D17="3 dd",$D17="4 dd",$D17="6 dd",$D17="8 dd",$D17="12 dd",$D17="an",$D17="1 X"),VLOOKUP($D17,PedTblTijden!$A$16:$X$26,PedTblTijden!H$14,FALSE),"")</f>
        <v/>
      </c>
      <c r="O17" s="14" t="str">
        <f>IF(OR($D17="1 dd",$D17="2 dd",$D17="3 dd",$D17="4 dd",$D17="6 dd",$D17="8 dd",$D17="12 dd",$D17="an",$D17="1 X"),VLOOKUP($D17,PedTblTijden!$A$16:$X$26,PedTblTijden!I$14,FALSE),"")</f>
        <v/>
      </c>
      <c r="P17" s="97" t="str">
        <f>IF(OR($D17="1 dd",$D17="2 dd",$D17="3 dd",$D17="4 dd",$D17="6 dd",$D17="8 dd",$D17="12 dd",$D17="an",$D17="1 X"),VLOOKUP($D17,PedTblTijden!$A$16:$X$26,PedTblTijden!J$14,FALSE),"")</f>
        <v/>
      </c>
      <c r="Q17" s="14" t="str">
        <f>IF(OR($D17="1 dd",$D17="2 dd",$D17="3 dd",$D17="4 dd",$D17="6 dd",$D17="8 dd",$D17="12 dd",$D17="an",$D17="1 X"),VLOOKUP($D17,PedTblTijden!$A$16:$X$26,PedTblTijden!K$14,FALSE),"")</f>
        <v/>
      </c>
      <c r="R17" s="97" t="str">
        <f>IF(OR($D17="1 dd",$D17="2 dd",$D17="3 dd",$D17="4 dd",$D17="6 dd",$D17="8 dd",$D17="12 dd",$D17="an",$D17="1 X"),VLOOKUP($D17,PedTblTijden!$A$16:$X$26,PedTblTijden!L$14,FALSE),"")</f>
        <v/>
      </c>
      <c r="S17" s="14" t="str">
        <f>IF(OR($D17="1 dd",$D17="2 dd",$D17="3 dd",$D17="4 dd",$D17="6 dd",$D17="8 dd",$D17="12 dd",$D17="an",$D17="1 X"),VLOOKUP($D17,PedTblTijden!$A$16:$X$26,PedTblTijden!M$14,FALSE),"")</f>
        <v/>
      </c>
      <c r="T17" s="97" t="str">
        <f>IF(OR($D17="1 dd",$D17="2 dd",$D17="3 dd",$D17="4 dd",$D17="6 dd",$D17="8 dd",$D17="12 dd",$D17="an",$D17="1 X"),VLOOKUP($D17,PedTblTijden!$A$16:$X$26,PedTblTijden!N$14,FALSE),"")</f>
        <v/>
      </c>
      <c r="U17" s="14" t="str">
        <f>IF(OR($D17="1 dd",$D17="2 dd",$D17="3 dd",$D17="4 dd",$D17="6 dd",$D17="8 dd",$D17="12 dd",$D17="an",$D17="1 X"),VLOOKUP($D17,PedTblTijden!$A$16:$X$26,PedTblTijden!O$14,FALSE),"")</f>
        <v/>
      </c>
      <c r="V17" s="97" t="str">
        <f>IF(OR($D17="1 dd",$D17="2 dd",$D17="3 dd",$D17="4 dd",$D17="6 dd",$D17="8 dd",$D17="12 dd",$D17="an",$D17="1 X"),VLOOKUP($D17,PedTblTijden!$A$16:$X$26,PedTblTijden!P$14,FALSE),"")</f>
        <v/>
      </c>
      <c r="W17" s="14" t="str">
        <f>IF(OR($D17="1 dd",$D17="2 dd",$D17="3 dd",$D17="4 dd",$D17="6 dd",$D17="8 dd",$D17="12 dd",$D17="an",$D17="1 X"),VLOOKUP($D17,PedTblTijden!$A$16:$X$26,PedTblTijden!Q$14,FALSE),"")</f>
        <v/>
      </c>
      <c r="X17" s="97" t="str">
        <f>IF(OR($D17="1 dd",$D17="2 dd",$D17="3 dd",$D17="4 dd",$D17="6 dd",$D17="8 dd",$D17="12 dd",$D17="an",$D17="1 X"),VLOOKUP($D17,PedTblTijden!$A$16:$X$26,PedTblTijden!R$14,FALSE),"")</f>
        <v/>
      </c>
      <c r="Y17" s="14" t="str">
        <f>IF(OR($D17="1 dd",$D17="2 dd",$D17="3 dd",$D17="4 dd",$D17="6 dd",$D17="8 dd",$D17="12 dd",$D17="an",$D17="1 X"),VLOOKUP($D17,PedTblTijden!$A$16:$X$26,PedTblTijden!S$14,FALSE),"")</f>
        <v/>
      </c>
      <c r="Z17" s="97" t="str">
        <f>IF(OR($D17="1 dd",$D17="2 dd",$D17="3 dd",$D17="4 dd",$D17="6 dd",$D17="8 dd",$D17="12 dd",$D17="an",$D17="1 X"),VLOOKUP($D17,PedTblTijden!$A$16:$X$26,PedTblTijden!T$14,FALSE),"")</f>
        <v/>
      </c>
      <c r="AA17" s="14" t="str">
        <f>IF(OR($D17="1 dd",$D17="2 dd",$D17="3 dd",$D17="4 dd",$D17="6 dd",$D17="8 dd",$D17="12 dd",$D17="an",$D17="1 X"),VLOOKUP($D17,PedTblTijden!$A$16:$X$26,PedTblTijden!U$14,FALSE),"")</f>
        <v/>
      </c>
      <c r="AB17" s="97" t="str">
        <f>IF(OR($D17="1 dd",$D17="2 dd",$D17="3 dd",$D17="4 dd",$D17="6 dd",$D17="8 dd",$D17="12 dd",$D17="an",$D17="1 X"),VLOOKUP($D17,PedTblTijden!$A$16:$X$26,PedTblTijden!V$14,FALSE),"")</f>
        <v/>
      </c>
      <c r="AC17" s="14" t="str">
        <f>IF(OR($D17="1 dd",$D17="2 dd",$D17="3 dd",$D17="4 dd",$D17="6 dd",$D17="8 dd",$D17="12 dd",$D17="an",$D17="1 X"),VLOOKUP($D17,PedTblTijden!$A$16:$X$26,PedTblTijden!W$14,FALSE),"")</f>
        <v/>
      </c>
      <c r="AD17" s="97" t="str">
        <f>IF(OR($D17="1 dd",$D17="2 dd",$D17="3 dd",$D17="4 dd",$D17="6 dd",$D17="8 dd",$D17="12 dd",$D17="an",$D17="1 X"),VLOOKUP($D17,PedTblTijden!$A$16:$X$26,PedTblTijden!X$14,FALSE),"")</f>
        <v/>
      </c>
      <c r="AE17" s="16"/>
      <c r="AF17" s="96"/>
      <c r="AG17" s="16"/>
    </row>
    <row r="18" spans="2:33" ht="26.1" customHeight="1" x14ac:dyDescent="0.2">
      <c r="B18" s="98"/>
      <c r="C18" s="129" t="str">
        <f>IF(GlobBerMedDisc!C17&lt;&gt;"",IF(GlobBerMedDisc!C17&gt;1,TRIM(GlobBerMedDisc!C17)&amp;", "&amp;GlobBerOpm!#REF!&amp;" ("&amp;GlobBerMedDisc!M17&amp;" "&amp;GlobBerMedDisc!F17&amp;"/kg/dag)",TRIM(GlobBerMedDisc!C17)&amp;", "&amp;GlobBerOpm!#REF!),"")</f>
        <v/>
      </c>
      <c r="D18" s="130" t="str">
        <f>IF(GlobGuiMedDisc!I24&lt;&gt;"",GlobGuiMedDisc!I24,"")</f>
        <v/>
      </c>
      <c r="E18" s="131" t="str">
        <f>IF(AND(D18&lt;&gt;"",D18&lt;&gt;"STOP"),GlobBerMedDisc!H17&amp;" "&amp;GlobBerMedDisc!F17,"")</f>
        <v/>
      </c>
      <c r="F18" s="131" t="str">
        <f>IF(AND(D18&lt;&gt;"",D18&lt;&gt;"STOP"),GlobBerMedDisc!L17," ")</f>
        <v xml:space="preserve"> </v>
      </c>
      <c r="G18" s="131" t="str">
        <f>IF(GlobGuiMedDisc!N24&lt;&gt;"",GlobGuiMedDisc!N24&amp;" "&amp;GlobGuiMedDisc!O24&amp;" "&amp;INDEX(GlobBerMedDisc!$B$27:$B$30,GlobBerMedDisc!O17,1)&amp;" in "&amp;GlobGuiMedDisc!$R$24,"")</f>
        <v/>
      </c>
      <c r="H18" s="97" t="str">
        <f>IF(OR($D18="1 dd",$D18="2 dd",$D18="3 dd",$D18="4 dd",$D18="6 dd",$D18="8 dd",$D18="12 dd",$D18="an",$D18="1 X"),VLOOKUP($D18,PedTblTijden!$A$16:$X$26,PedTblTijden!B$14,FALSE),"")</f>
        <v/>
      </c>
      <c r="I18" s="14" t="str">
        <f>IF(OR($D18="1 dd",$D18="2 dd",$D18="3 dd",$D18="4 dd",$D18="6 dd",$D18="8 dd",$D18="12 dd",$D18="an",$D18="1 X"),VLOOKUP($D18,PedTblTijden!$A$16:$X$26,PedTblTijden!C$14,FALSE),"")</f>
        <v/>
      </c>
      <c r="J18" s="97" t="str">
        <f>IF(OR($D18="1 dd",$D18="2 dd",$D18="3 dd",$D18="4 dd",$D18="6 dd",$D18="8 dd",$D18="12 dd",$D18="an",$D18="1 X"),VLOOKUP($D18,PedTblTijden!$A$16:$X$26,PedTblTijden!D$14,FALSE),"")</f>
        <v/>
      </c>
      <c r="K18" s="14" t="str">
        <f>IF(OR($D18="1 dd",$D18="2 dd",$D18="3 dd",$D18="4 dd",$D18="6 dd",$D18="8 dd",$D18="12 dd",$D18="an",$D18="1 X"),VLOOKUP($D18,PedTblTijden!$A$16:$X$26,PedTblTijden!E$14,FALSE),"")</f>
        <v/>
      </c>
      <c r="L18" s="97" t="str">
        <f>IF(OR($D18="1 dd",$D18="2 dd",$D18="3 dd",$D18="4 dd",$D18="6 dd",$D18="8 dd",$D18="12 dd",$D18="an",$D18="1 X"),VLOOKUP($D18,PedTblTijden!$A$16:$X$26,PedTblTijden!F$14,FALSE),"")</f>
        <v/>
      </c>
      <c r="M18" s="14" t="str">
        <f>IF(OR($D18="1 dd",$D18="2 dd",$D18="3 dd",$D18="4 dd",$D18="6 dd",$D18="8 dd",$D18="12 dd",$D18="an",$D18="1 X"),VLOOKUP($D18,PedTblTijden!$A$16:$X$26,PedTblTijden!G$14,FALSE),"")</f>
        <v/>
      </c>
      <c r="N18" s="97" t="str">
        <f>IF(OR($D18="1 dd",$D18="2 dd",$D18="3 dd",$D18="4 dd",$D18="6 dd",$D18="8 dd",$D18="12 dd",$D18="an",$D18="1 X"),VLOOKUP($D18,PedTblTijden!$A$16:$X$26,PedTblTijden!H$14,FALSE),"")</f>
        <v/>
      </c>
      <c r="O18" s="14" t="str">
        <f>IF(OR($D18="1 dd",$D18="2 dd",$D18="3 dd",$D18="4 dd",$D18="6 dd",$D18="8 dd",$D18="12 dd",$D18="an",$D18="1 X"),VLOOKUP($D18,PedTblTijden!$A$16:$X$26,PedTblTijden!I$14,FALSE),"")</f>
        <v/>
      </c>
      <c r="P18" s="97" t="str">
        <f>IF(OR($D18="1 dd",$D18="2 dd",$D18="3 dd",$D18="4 dd",$D18="6 dd",$D18="8 dd",$D18="12 dd",$D18="an",$D18="1 X"),VLOOKUP($D18,PedTblTijden!$A$16:$X$26,PedTblTijden!J$14,FALSE),"")</f>
        <v/>
      </c>
      <c r="Q18" s="14" t="str">
        <f>IF(OR($D18="1 dd",$D18="2 dd",$D18="3 dd",$D18="4 dd",$D18="6 dd",$D18="8 dd",$D18="12 dd",$D18="an",$D18="1 X"),VLOOKUP($D18,PedTblTijden!$A$16:$X$26,PedTblTijden!K$14,FALSE),"")</f>
        <v/>
      </c>
      <c r="R18" s="97" t="str">
        <f>IF(OR($D18="1 dd",$D18="2 dd",$D18="3 dd",$D18="4 dd",$D18="6 dd",$D18="8 dd",$D18="12 dd",$D18="an",$D18="1 X"),VLOOKUP($D18,PedTblTijden!$A$16:$X$26,PedTblTijden!L$14,FALSE),"")</f>
        <v/>
      </c>
      <c r="S18" s="14" t="str">
        <f>IF(OR($D18="1 dd",$D18="2 dd",$D18="3 dd",$D18="4 dd",$D18="6 dd",$D18="8 dd",$D18="12 dd",$D18="an",$D18="1 X"),VLOOKUP($D18,PedTblTijden!$A$16:$X$26,PedTblTijden!M$14,FALSE),"")</f>
        <v/>
      </c>
      <c r="T18" s="97" t="str">
        <f>IF(OR($D18="1 dd",$D18="2 dd",$D18="3 dd",$D18="4 dd",$D18="6 dd",$D18="8 dd",$D18="12 dd",$D18="an",$D18="1 X"),VLOOKUP($D18,PedTblTijden!$A$16:$X$26,PedTblTijden!N$14,FALSE),"")</f>
        <v/>
      </c>
      <c r="U18" s="14" t="str">
        <f>IF(OR($D18="1 dd",$D18="2 dd",$D18="3 dd",$D18="4 dd",$D18="6 dd",$D18="8 dd",$D18="12 dd",$D18="an",$D18="1 X"),VLOOKUP($D18,PedTblTijden!$A$16:$X$26,PedTblTijden!O$14,FALSE),"")</f>
        <v/>
      </c>
      <c r="V18" s="97" t="str">
        <f>IF(OR($D18="1 dd",$D18="2 dd",$D18="3 dd",$D18="4 dd",$D18="6 dd",$D18="8 dd",$D18="12 dd",$D18="an",$D18="1 X"),VLOOKUP($D18,PedTblTijden!$A$16:$X$26,PedTblTijden!P$14,FALSE),"")</f>
        <v/>
      </c>
      <c r="W18" s="14" t="str">
        <f>IF(OR($D18="1 dd",$D18="2 dd",$D18="3 dd",$D18="4 dd",$D18="6 dd",$D18="8 dd",$D18="12 dd",$D18="an",$D18="1 X"),VLOOKUP($D18,PedTblTijden!$A$16:$X$26,PedTblTijden!Q$14,FALSE),"")</f>
        <v/>
      </c>
      <c r="X18" s="97" t="str">
        <f>IF(OR($D18="1 dd",$D18="2 dd",$D18="3 dd",$D18="4 dd",$D18="6 dd",$D18="8 dd",$D18="12 dd",$D18="an",$D18="1 X"),VLOOKUP($D18,PedTblTijden!$A$16:$X$26,PedTblTijden!R$14,FALSE),"")</f>
        <v/>
      </c>
      <c r="Y18" s="14" t="str">
        <f>IF(OR($D18="1 dd",$D18="2 dd",$D18="3 dd",$D18="4 dd",$D18="6 dd",$D18="8 dd",$D18="12 dd",$D18="an",$D18="1 X"),VLOOKUP($D18,PedTblTijden!$A$16:$X$26,PedTblTijden!S$14,FALSE),"")</f>
        <v/>
      </c>
      <c r="Z18" s="97" t="str">
        <f>IF(OR($D18="1 dd",$D18="2 dd",$D18="3 dd",$D18="4 dd",$D18="6 dd",$D18="8 dd",$D18="12 dd",$D18="an",$D18="1 X"),VLOOKUP($D18,PedTblTijden!$A$16:$X$26,PedTblTijden!T$14,FALSE),"")</f>
        <v/>
      </c>
      <c r="AA18" s="14" t="str">
        <f>IF(OR($D18="1 dd",$D18="2 dd",$D18="3 dd",$D18="4 dd",$D18="6 dd",$D18="8 dd",$D18="12 dd",$D18="an",$D18="1 X"),VLOOKUP($D18,PedTblTijden!$A$16:$X$26,PedTblTijden!U$14,FALSE),"")</f>
        <v/>
      </c>
      <c r="AB18" s="97" t="str">
        <f>IF(OR($D18="1 dd",$D18="2 dd",$D18="3 dd",$D18="4 dd",$D18="6 dd",$D18="8 dd",$D18="12 dd",$D18="an",$D18="1 X"),VLOOKUP($D18,PedTblTijden!$A$16:$X$26,PedTblTijden!V$14,FALSE),"")</f>
        <v/>
      </c>
      <c r="AC18" s="14" t="str">
        <f>IF(OR($D18="1 dd",$D18="2 dd",$D18="3 dd",$D18="4 dd",$D18="6 dd",$D18="8 dd",$D18="12 dd",$D18="an",$D18="1 X"),VLOOKUP($D18,PedTblTijden!$A$16:$X$26,PedTblTijden!W$14,FALSE),"")</f>
        <v/>
      </c>
      <c r="AD18" s="97" t="str">
        <f>IF(OR($D18="1 dd",$D18="2 dd",$D18="3 dd",$D18="4 dd",$D18="6 dd",$D18="8 dd",$D18="12 dd",$D18="an",$D18="1 X"),VLOOKUP($D18,PedTblTijden!$A$16:$X$26,PedTblTijden!X$14,FALSE),"")</f>
        <v/>
      </c>
      <c r="AE18" s="16"/>
      <c r="AF18" s="96"/>
      <c r="AG18" s="16"/>
    </row>
    <row r="19" spans="2:33" ht="26.1" customHeight="1" x14ac:dyDescent="0.2">
      <c r="B19" s="98"/>
      <c r="C19" s="129" t="str">
        <f>IF(GlobBerMedDisc!C18&lt;&gt;"",IF(GlobBerMedDisc!C18&gt;1,TRIM(GlobBerMedDisc!C18)&amp;", "&amp;GlobBerOpm!#REF!&amp;" ("&amp;GlobBerMedDisc!M18&amp;" "&amp;GlobBerMedDisc!F18&amp;"/kg/dag)",TRIM(GlobBerMedDisc!C18)&amp;", "&amp;GlobBerOpm!#REF!),"")</f>
        <v/>
      </c>
      <c r="D19" s="130" t="str">
        <f>IF(GlobGuiMedDisc!I25&lt;&gt;"",GlobGuiMedDisc!I25,"")</f>
        <v/>
      </c>
      <c r="E19" s="131" t="str">
        <f>IF(AND(D19&lt;&gt;"",D19&lt;&gt;"STOP"),GlobBerMedDisc!H18&amp;" "&amp;GlobBerMedDisc!F18,"")</f>
        <v/>
      </c>
      <c r="F19" s="131" t="str">
        <f>IF(AND(D19&lt;&gt;"",D19&lt;&gt;"STOP"),GlobBerMedDisc!L18," ")</f>
        <v xml:space="preserve"> </v>
      </c>
      <c r="G19" s="131" t="str">
        <f>IF(GlobGuiMedDisc!N25&lt;&gt;"",GlobGuiMedDisc!N25&amp;" "&amp;GlobGuiMedDisc!O25&amp;" "&amp;INDEX(GlobBerMedDisc!$B$27:$B$30,GlobBerMedDisc!O18,1)&amp;" in "&amp;GlobGuiMedDisc!$R$25,"")</f>
        <v/>
      </c>
      <c r="H19" s="97" t="str">
        <f>IF(OR($D19="1 dd",$D19="2 dd",$D19="3 dd",$D19="4 dd",$D19="6 dd",$D19="8 dd",$D19="12 dd",$D19="an",$D19="1 X"),VLOOKUP($D19,PedTblTijden!$A$16:$X$26,PedTblTijden!B$14,FALSE),"")</f>
        <v/>
      </c>
      <c r="I19" s="14" t="str">
        <f>IF(OR($D19="1 dd",$D19="2 dd",$D19="3 dd",$D19="4 dd",$D19="6 dd",$D19="8 dd",$D19="12 dd",$D19="an",$D19="1 X"),VLOOKUP($D19,PedTblTijden!$A$16:$X$26,PedTblTijden!C$14,FALSE),"")</f>
        <v/>
      </c>
      <c r="J19" s="97" t="str">
        <f>IF(OR($D19="1 dd",$D19="2 dd",$D19="3 dd",$D19="4 dd",$D19="6 dd",$D19="8 dd",$D19="12 dd",$D19="an",$D19="1 X"),VLOOKUP($D19,PedTblTijden!$A$16:$X$26,PedTblTijden!D$14,FALSE),"")</f>
        <v/>
      </c>
      <c r="K19" s="14" t="str">
        <f>IF(OR($D19="1 dd",$D19="2 dd",$D19="3 dd",$D19="4 dd",$D19="6 dd",$D19="8 dd",$D19="12 dd",$D19="an",$D19="1 X"),VLOOKUP($D19,PedTblTijden!$A$16:$X$26,PedTblTijden!E$14,FALSE),"")</f>
        <v/>
      </c>
      <c r="L19" s="97" t="str">
        <f>IF(OR($D19="1 dd",$D19="2 dd",$D19="3 dd",$D19="4 dd",$D19="6 dd",$D19="8 dd",$D19="12 dd",$D19="an",$D19="1 X"),VLOOKUP($D19,PedTblTijden!$A$16:$X$26,PedTblTijden!F$14,FALSE),"")</f>
        <v/>
      </c>
      <c r="M19" s="14" t="str">
        <f>IF(OR($D19="1 dd",$D19="2 dd",$D19="3 dd",$D19="4 dd",$D19="6 dd",$D19="8 dd",$D19="12 dd",$D19="an",$D19="1 X"),VLOOKUP($D19,PedTblTijden!$A$16:$X$26,PedTblTijden!G$14,FALSE),"")</f>
        <v/>
      </c>
      <c r="N19" s="97" t="str">
        <f>IF(OR($D19="1 dd",$D19="2 dd",$D19="3 dd",$D19="4 dd",$D19="6 dd",$D19="8 dd",$D19="12 dd",$D19="an",$D19="1 X"),VLOOKUP($D19,PedTblTijden!$A$16:$X$26,PedTblTijden!H$14,FALSE),"")</f>
        <v/>
      </c>
      <c r="O19" s="14" t="str">
        <f>IF(OR($D19="1 dd",$D19="2 dd",$D19="3 dd",$D19="4 dd",$D19="6 dd",$D19="8 dd",$D19="12 dd",$D19="an",$D19="1 X"),VLOOKUP($D19,PedTblTijden!$A$16:$X$26,PedTblTijden!I$14,FALSE),"")</f>
        <v/>
      </c>
      <c r="P19" s="97" t="str">
        <f>IF(OR($D19="1 dd",$D19="2 dd",$D19="3 dd",$D19="4 dd",$D19="6 dd",$D19="8 dd",$D19="12 dd",$D19="an",$D19="1 X"),VLOOKUP($D19,PedTblTijden!$A$16:$X$26,PedTblTijden!J$14,FALSE),"")</f>
        <v/>
      </c>
      <c r="Q19" s="14" t="str">
        <f>IF(OR($D19="1 dd",$D19="2 dd",$D19="3 dd",$D19="4 dd",$D19="6 dd",$D19="8 dd",$D19="12 dd",$D19="an",$D19="1 X"),VLOOKUP($D19,PedTblTijden!$A$16:$X$26,PedTblTijden!K$14,FALSE),"")</f>
        <v/>
      </c>
      <c r="R19" s="97" t="str">
        <f>IF(OR($D19="1 dd",$D19="2 dd",$D19="3 dd",$D19="4 dd",$D19="6 dd",$D19="8 dd",$D19="12 dd",$D19="an",$D19="1 X"),VLOOKUP($D19,PedTblTijden!$A$16:$X$26,PedTblTijden!L$14,FALSE),"")</f>
        <v/>
      </c>
      <c r="S19" s="14" t="str">
        <f>IF(OR($D19="1 dd",$D19="2 dd",$D19="3 dd",$D19="4 dd",$D19="6 dd",$D19="8 dd",$D19="12 dd",$D19="an",$D19="1 X"),VLOOKUP($D19,PedTblTijden!$A$16:$X$26,PedTblTijden!M$14,FALSE),"")</f>
        <v/>
      </c>
      <c r="T19" s="97" t="str">
        <f>IF(OR($D19="1 dd",$D19="2 dd",$D19="3 dd",$D19="4 dd",$D19="6 dd",$D19="8 dd",$D19="12 dd",$D19="an",$D19="1 X"),VLOOKUP($D19,PedTblTijden!$A$16:$X$26,PedTblTijden!N$14,FALSE),"")</f>
        <v/>
      </c>
      <c r="U19" s="14" t="str">
        <f>IF(OR($D19="1 dd",$D19="2 dd",$D19="3 dd",$D19="4 dd",$D19="6 dd",$D19="8 dd",$D19="12 dd",$D19="an",$D19="1 X"),VLOOKUP($D19,PedTblTijden!$A$16:$X$26,PedTblTijden!O$14,FALSE),"")</f>
        <v/>
      </c>
      <c r="V19" s="97" t="str">
        <f>IF(OR($D19="1 dd",$D19="2 dd",$D19="3 dd",$D19="4 dd",$D19="6 dd",$D19="8 dd",$D19="12 dd",$D19="an",$D19="1 X"),VLOOKUP($D19,PedTblTijden!$A$16:$X$26,PedTblTijden!P$14,FALSE),"")</f>
        <v/>
      </c>
      <c r="W19" s="14" t="str">
        <f>IF(OR($D19="1 dd",$D19="2 dd",$D19="3 dd",$D19="4 dd",$D19="6 dd",$D19="8 dd",$D19="12 dd",$D19="an",$D19="1 X"),VLOOKUP($D19,PedTblTijden!$A$16:$X$26,PedTblTijden!Q$14,FALSE),"")</f>
        <v/>
      </c>
      <c r="X19" s="97" t="str">
        <f>IF(OR($D19="1 dd",$D19="2 dd",$D19="3 dd",$D19="4 dd",$D19="6 dd",$D19="8 dd",$D19="12 dd",$D19="an",$D19="1 X"),VLOOKUP($D19,PedTblTijden!$A$16:$X$26,PedTblTijden!R$14,FALSE),"")</f>
        <v/>
      </c>
      <c r="Y19" s="14" t="str">
        <f>IF(OR($D19="1 dd",$D19="2 dd",$D19="3 dd",$D19="4 dd",$D19="6 dd",$D19="8 dd",$D19="12 dd",$D19="an",$D19="1 X"),VLOOKUP($D19,PedTblTijden!$A$16:$X$26,PedTblTijden!S$14,FALSE),"")</f>
        <v/>
      </c>
      <c r="Z19" s="97" t="str">
        <f>IF(OR($D19="1 dd",$D19="2 dd",$D19="3 dd",$D19="4 dd",$D19="6 dd",$D19="8 dd",$D19="12 dd",$D19="an",$D19="1 X"),VLOOKUP($D19,PedTblTijden!$A$16:$X$26,PedTblTijden!T$14,FALSE),"")</f>
        <v/>
      </c>
      <c r="AA19" s="14" t="str">
        <f>IF(OR($D19="1 dd",$D19="2 dd",$D19="3 dd",$D19="4 dd",$D19="6 dd",$D19="8 dd",$D19="12 dd",$D19="an",$D19="1 X"),VLOOKUP($D19,PedTblTijden!$A$16:$X$26,PedTblTijden!U$14,FALSE),"")</f>
        <v/>
      </c>
      <c r="AB19" s="97" t="str">
        <f>IF(OR($D19="1 dd",$D19="2 dd",$D19="3 dd",$D19="4 dd",$D19="6 dd",$D19="8 dd",$D19="12 dd",$D19="an",$D19="1 X"),VLOOKUP($D19,PedTblTijden!$A$16:$X$26,PedTblTijden!V$14,FALSE),"")</f>
        <v/>
      </c>
      <c r="AC19" s="14" t="str">
        <f>IF(OR($D19="1 dd",$D19="2 dd",$D19="3 dd",$D19="4 dd",$D19="6 dd",$D19="8 dd",$D19="12 dd",$D19="an",$D19="1 X"),VLOOKUP($D19,PedTblTijden!$A$16:$X$26,PedTblTijden!W$14,FALSE),"")</f>
        <v/>
      </c>
      <c r="AD19" s="97" t="str">
        <f>IF(OR($D19="1 dd",$D19="2 dd",$D19="3 dd",$D19="4 dd",$D19="6 dd",$D19="8 dd",$D19="12 dd",$D19="an",$D19="1 X"),VLOOKUP($D19,PedTblTijden!$A$16:$X$26,PedTblTijden!X$14,FALSE),"")</f>
        <v/>
      </c>
      <c r="AE19" s="16"/>
      <c r="AF19" s="96"/>
      <c r="AG19" s="16"/>
    </row>
    <row r="20" spans="2:33" ht="26.1" customHeight="1" x14ac:dyDescent="0.2">
      <c r="B20" s="98"/>
      <c r="C20" s="129" t="str">
        <f>IF(GlobBerMedDisc!C19&lt;&gt;"",IF(GlobBerMedDisc!C19&gt;1,TRIM(GlobBerMedDisc!C19)&amp;", "&amp;GlobBerOpm!#REF!&amp;" ("&amp;GlobBerMedDisc!M19&amp;" "&amp;GlobBerMedDisc!F19&amp;"/kg/dag)",TRIM(GlobBerMedDisc!C19)&amp;", "&amp;GlobBerOpm!#REF!),"")</f>
        <v/>
      </c>
      <c r="D20" s="130" t="str">
        <f>IF(GlobGuiMedDisc!I26&lt;&gt;"",GlobGuiMedDisc!I26,"")</f>
        <v/>
      </c>
      <c r="E20" s="131" t="str">
        <f>IF(AND(D20&lt;&gt;"",D20&lt;&gt;"STOP"),GlobBerMedDisc!H19&amp;" "&amp;GlobBerMedDisc!F19,"")</f>
        <v/>
      </c>
      <c r="F20" s="131" t="str">
        <f>IF(AND(D20&lt;&gt;"",D20&lt;&gt;"STOP"),GlobBerMedDisc!L19," ")</f>
        <v xml:space="preserve"> </v>
      </c>
      <c r="G20" s="131" t="str">
        <f>IF(GlobGuiMedDisc!N26&lt;&gt;"",GlobGuiMedDisc!N26&amp;" "&amp;GlobGuiMedDisc!O26&amp;" "&amp;INDEX(GlobBerMedDisc!$B$27:$B$30,GlobBerMedDisc!O19,1)&amp;" in "&amp;GlobGuiMedDisc!$R$26,"")</f>
        <v/>
      </c>
      <c r="H20" s="97" t="str">
        <f>IF(OR($D20="1 dd",$D20="2 dd",$D20="3 dd",$D20="4 dd",$D20="6 dd",$D20="8 dd",$D20="12 dd",$D20="an",$D20="1 X"),VLOOKUP($D20,PedTblTijden!$A$16:$X$26,PedTblTijden!B$14,FALSE),"")</f>
        <v/>
      </c>
      <c r="I20" s="14" t="str">
        <f>IF(OR($D20="1 dd",$D20="2 dd",$D20="3 dd",$D20="4 dd",$D20="6 dd",$D20="8 dd",$D20="12 dd",$D20="an",$D20="1 X"),VLOOKUP($D20,PedTblTijden!$A$16:$X$26,PedTblTijden!C$14,FALSE),"")</f>
        <v/>
      </c>
      <c r="J20" s="97" t="str">
        <f>IF(OR($D20="1 dd",$D20="2 dd",$D20="3 dd",$D20="4 dd",$D20="6 dd",$D20="8 dd",$D20="12 dd",$D20="an",$D20="1 X"),VLOOKUP($D20,PedTblTijden!$A$16:$X$26,PedTblTijden!D$14,FALSE),"")</f>
        <v/>
      </c>
      <c r="K20" s="14" t="str">
        <f>IF(OR($D20="1 dd",$D20="2 dd",$D20="3 dd",$D20="4 dd",$D20="6 dd",$D20="8 dd",$D20="12 dd",$D20="an",$D20="1 X"),VLOOKUP($D20,PedTblTijden!$A$16:$X$26,PedTblTijden!E$14,FALSE),"")</f>
        <v/>
      </c>
      <c r="L20" s="97" t="str">
        <f>IF(OR($D20="1 dd",$D20="2 dd",$D20="3 dd",$D20="4 dd",$D20="6 dd",$D20="8 dd",$D20="12 dd",$D20="an",$D20="1 X"),VLOOKUP($D20,PedTblTijden!$A$16:$X$26,PedTblTijden!F$14,FALSE),"")</f>
        <v/>
      </c>
      <c r="M20" s="14" t="str">
        <f>IF(OR($D20="1 dd",$D20="2 dd",$D20="3 dd",$D20="4 dd",$D20="6 dd",$D20="8 dd",$D20="12 dd",$D20="an",$D20="1 X"),VLOOKUP($D20,PedTblTijden!$A$16:$X$26,PedTblTijden!G$14,FALSE),"")</f>
        <v/>
      </c>
      <c r="N20" s="97" t="str">
        <f>IF(OR($D20="1 dd",$D20="2 dd",$D20="3 dd",$D20="4 dd",$D20="6 dd",$D20="8 dd",$D20="12 dd",$D20="an",$D20="1 X"),VLOOKUP($D20,PedTblTijden!$A$16:$X$26,PedTblTijden!H$14,FALSE),"")</f>
        <v/>
      </c>
      <c r="O20" s="14" t="str">
        <f>IF(OR($D20="1 dd",$D20="2 dd",$D20="3 dd",$D20="4 dd",$D20="6 dd",$D20="8 dd",$D20="12 dd",$D20="an",$D20="1 X"),VLOOKUP($D20,PedTblTijden!$A$16:$X$26,PedTblTijden!I$14,FALSE),"")</f>
        <v/>
      </c>
      <c r="P20" s="97" t="str">
        <f>IF(OR($D20="1 dd",$D20="2 dd",$D20="3 dd",$D20="4 dd",$D20="6 dd",$D20="8 dd",$D20="12 dd",$D20="an",$D20="1 X"),VLOOKUP($D20,PedTblTijden!$A$16:$X$26,PedTblTijden!J$14,FALSE),"")</f>
        <v/>
      </c>
      <c r="Q20" s="14" t="str">
        <f>IF(OR($D20="1 dd",$D20="2 dd",$D20="3 dd",$D20="4 dd",$D20="6 dd",$D20="8 dd",$D20="12 dd",$D20="an",$D20="1 X"),VLOOKUP($D20,PedTblTijden!$A$16:$X$26,PedTblTijden!K$14,FALSE),"")</f>
        <v/>
      </c>
      <c r="R20" s="97" t="str">
        <f>IF(OR($D20="1 dd",$D20="2 dd",$D20="3 dd",$D20="4 dd",$D20="6 dd",$D20="8 dd",$D20="12 dd",$D20="an",$D20="1 X"),VLOOKUP($D20,PedTblTijden!$A$16:$X$26,PedTblTijden!L$14,FALSE),"")</f>
        <v/>
      </c>
      <c r="S20" s="14" t="str">
        <f>IF(OR($D20="1 dd",$D20="2 dd",$D20="3 dd",$D20="4 dd",$D20="6 dd",$D20="8 dd",$D20="12 dd",$D20="an",$D20="1 X"),VLOOKUP($D20,PedTblTijden!$A$16:$X$26,PedTblTijden!M$14,FALSE),"")</f>
        <v/>
      </c>
      <c r="T20" s="97" t="str">
        <f>IF(OR($D20="1 dd",$D20="2 dd",$D20="3 dd",$D20="4 dd",$D20="6 dd",$D20="8 dd",$D20="12 dd",$D20="an",$D20="1 X"),VLOOKUP($D20,PedTblTijden!$A$16:$X$26,PedTblTijden!N$14,FALSE),"")</f>
        <v/>
      </c>
      <c r="U20" s="14" t="str">
        <f>IF(OR($D20="1 dd",$D20="2 dd",$D20="3 dd",$D20="4 dd",$D20="6 dd",$D20="8 dd",$D20="12 dd",$D20="an",$D20="1 X"),VLOOKUP($D20,PedTblTijden!$A$16:$X$26,PedTblTijden!O$14,FALSE),"")</f>
        <v/>
      </c>
      <c r="V20" s="97" t="str">
        <f>IF(OR($D20="1 dd",$D20="2 dd",$D20="3 dd",$D20="4 dd",$D20="6 dd",$D20="8 dd",$D20="12 dd",$D20="an",$D20="1 X"),VLOOKUP($D20,PedTblTijden!$A$16:$X$26,PedTblTijden!P$14,FALSE),"")</f>
        <v/>
      </c>
      <c r="W20" s="14" t="str">
        <f>IF(OR($D20="1 dd",$D20="2 dd",$D20="3 dd",$D20="4 dd",$D20="6 dd",$D20="8 dd",$D20="12 dd",$D20="an",$D20="1 X"),VLOOKUP($D20,PedTblTijden!$A$16:$X$26,PedTblTijden!Q$14,FALSE),"")</f>
        <v/>
      </c>
      <c r="X20" s="97" t="str">
        <f>IF(OR($D20="1 dd",$D20="2 dd",$D20="3 dd",$D20="4 dd",$D20="6 dd",$D20="8 dd",$D20="12 dd",$D20="an",$D20="1 X"),VLOOKUP($D20,PedTblTijden!$A$16:$X$26,PedTblTijden!R$14,FALSE),"")</f>
        <v/>
      </c>
      <c r="Y20" s="14" t="str">
        <f>IF(OR($D20="1 dd",$D20="2 dd",$D20="3 dd",$D20="4 dd",$D20="6 dd",$D20="8 dd",$D20="12 dd",$D20="an",$D20="1 X"),VLOOKUP($D20,PedTblTijden!$A$16:$X$26,PedTblTijden!S$14,FALSE),"")</f>
        <v/>
      </c>
      <c r="Z20" s="97" t="str">
        <f>IF(OR($D20="1 dd",$D20="2 dd",$D20="3 dd",$D20="4 dd",$D20="6 dd",$D20="8 dd",$D20="12 dd",$D20="an",$D20="1 X"),VLOOKUP($D20,PedTblTijden!$A$16:$X$26,PedTblTijden!T$14,FALSE),"")</f>
        <v/>
      </c>
      <c r="AA20" s="14" t="str">
        <f>IF(OR($D20="1 dd",$D20="2 dd",$D20="3 dd",$D20="4 dd",$D20="6 dd",$D20="8 dd",$D20="12 dd",$D20="an",$D20="1 X"),VLOOKUP($D20,PedTblTijden!$A$16:$X$26,PedTblTijden!U$14,FALSE),"")</f>
        <v/>
      </c>
      <c r="AB20" s="97" t="str">
        <f>IF(OR($D20="1 dd",$D20="2 dd",$D20="3 dd",$D20="4 dd",$D20="6 dd",$D20="8 dd",$D20="12 dd",$D20="an",$D20="1 X"),VLOOKUP($D20,PedTblTijden!$A$16:$X$26,PedTblTijden!V$14,FALSE),"")</f>
        <v/>
      </c>
      <c r="AC20" s="14" t="str">
        <f>IF(OR($D20="1 dd",$D20="2 dd",$D20="3 dd",$D20="4 dd",$D20="6 dd",$D20="8 dd",$D20="12 dd",$D20="an",$D20="1 X"),VLOOKUP($D20,PedTblTijden!$A$16:$X$26,PedTblTijden!W$14,FALSE),"")</f>
        <v/>
      </c>
      <c r="AD20" s="97" t="str">
        <f>IF(OR($D20="1 dd",$D20="2 dd",$D20="3 dd",$D20="4 dd",$D20="6 dd",$D20="8 dd",$D20="12 dd",$D20="an",$D20="1 X"),VLOOKUP($D20,PedTblTijden!$A$16:$X$26,PedTblTijden!X$14,FALSE),"")</f>
        <v/>
      </c>
      <c r="AE20" s="16"/>
      <c r="AF20" s="96"/>
      <c r="AG20" s="16"/>
    </row>
    <row r="21" spans="2:33" ht="26.1" customHeight="1" x14ac:dyDescent="0.2">
      <c r="B21" s="98"/>
      <c r="C21" s="129" t="str">
        <f>IF(GlobBerMedDisc!C20&lt;&gt;"",IF(GlobBerMedDisc!C20&gt;1,TRIM(GlobBerMedDisc!C20)&amp;", "&amp;GlobBerOpm!#REF!&amp;" ("&amp;GlobBerMedDisc!M20&amp;" "&amp;GlobBerMedDisc!F20&amp;"/kg/dag)",TRIM(GlobBerMedDisc!C20)&amp;", "&amp;GlobBerOpm!#REF!),"")</f>
        <v/>
      </c>
      <c r="D21" s="130" t="str">
        <f>IF(GlobGuiMedDisc!I27&lt;&gt;"",GlobGuiMedDisc!I27,"")</f>
        <v/>
      </c>
      <c r="E21" s="131" t="str">
        <f>IF(AND(D21&lt;&gt;"",D21&lt;&gt;"STOP"),GlobBerMedDisc!H20&amp;" "&amp;GlobBerMedDisc!F20,"")</f>
        <v/>
      </c>
      <c r="F21" s="131" t="str">
        <f>IF(AND(D21&lt;&gt;"",D21&lt;&gt;"STOP"),GlobBerMedDisc!L20," ")</f>
        <v xml:space="preserve"> </v>
      </c>
      <c r="G21" s="131" t="str">
        <f>IF(GlobGuiMedDisc!N27&lt;&gt;"",GlobGuiMedDisc!N27&amp;" "&amp;GlobGuiMedDisc!O27&amp;" "&amp;INDEX(GlobBerMedDisc!$B$27:$B$30,GlobBerMedDisc!O20,1)&amp;" in "&amp;GlobGuiMedDisc!$R$27,"")</f>
        <v/>
      </c>
      <c r="H21" s="97" t="str">
        <f>IF(OR($D21="1 dd",$D21="2 dd",$D21="3 dd",$D21="4 dd",$D21="6 dd",$D21="8 dd",$D21="12 dd",$D21="an",$D21="1 X"),VLOOKUP($D21,PedTblTijden!$A$16:$X$26,PedTblTijden!B$14,FALSE),"")</f>
        <v/>
      </c>
      <c r="I21" s="14" t="str">
        <f>IF(OR($D21="1 dd",$D21="2 dd",$D21="3 dd",$D21="4 dd",$D21="6 dd",$D21="8 dd",$D21="12 dd",$D21="an",$D21="1 X"),VLOOKUP($D21,PedTblTijden!$A$16:$X$26,PedTblTijden!C$14,FALSE),"")</f>
        <v/>
      </c>
      <c r="J21" s="97" t="str">
        <f>IF(OR($D21="1 dd",$D21="2 dd",$D21="3 dd",$D21="4 dd",$D21="6 dd",$D21="8 dd",$D21="12 dd",$D21="an",$D21="1 X"),VLOOKUP($D21,PedTblTijden!$A$16:$X$26,PedTblTijden!D$14,FALSE),"")</f>
        <v/>
      </c>
      <c r="K21" s="14" t="str">
        <f>IF(OR($D21="1 dd",$D21="2 dd",$D21="3 dd",$D21="4 dd",$D21="6 dd",$D21="8 dd",$D21="12 dd",$D21="an",$D21="1 X"),VLOOKUP($D21,PedTblTijden!$A$16:$X$26,PedTblTijden!E$14,FALSE),"")</f>
        <v/>
      </c>
      <c r="L21" s="97" t="str">
        <f>IF(OR($D21="1 dd",$D21="2 dd",$D21="3 dd",$D21="4 dd",$D21="6 dd",$D21="8 dd",$D21="12 dd",$D21="an",$D21="1 X"),VLOOKUP($D21,PedTblTijden!$A$16:$X$26,PedTblTijden!F$14,FALSE),"")</f>
        <v/>
      </c>
      <c r="M21" s="14" t="str">
        <f>IF(OR($D21="1 dd",$D21="2 dd",$D21="3 dd",$D21="4 dd",$D21="6 dd",$D21="8 dd",$D21="12 dd",$D21="an",$D21="1 X"),VLOOKUP($D21,PedTblTijden!$A$16:$X$26,PedTblTijden!G$14,FALSE),"")</f>
        <v/>
      </c>
      <c r="N21" s="97" t="str">
        <f>IF(OR($D21="1 dd",$D21="2 dd",$D21="3 dd",$D21="4 dd",$D21="6 dd",$D21="8 dd",$D21="12 dd",$D21="an",$D21="1 X"),VLOOKUP($D21,PedTblTijden!$A$16:$X$26,PedTblTijden!H$14,FALSE),"")</f>
        <v/>
      </c>
      <c r="O21" s="14" t="str">
        <f>IF(OR($D21="1 dd",$D21="2 dd",$D21="3 dd",$D21="4 dd",$D21="6 dd",$D21="8 dd",$D21="12 dd",$D21="an",$D21="1 X"),VLOOKUP($D21,PedTblTijden!$A$16:$X$26,PedTblTijden!I$14,FALSE),"")</f>
        <v/>
      </c>
      <c r="P21" s="97" t="str">
        <f>IF(OR($D21="1 dd",$D21="2 dd",$D21="3 dd",$D21="4 dd",$D21="6 dd",$D21="8 dd",$D21="12 dd",$D21="an",$D21="1 X"),VLOOKUP($D21,PedTblTijden!$A$16:$X$26,PedTblTijden!J$14,FALSE),"")</f>
        <v/>
      </c>
      <c r="Q21" s="14" t="str">
        <f>IF(OR($D21="1 dd",$D21="2 dd",$D21="3 dd",$D21="4 dd",$D21="6 dd",$D21="8 dd",$D21="12 dd",$D21="an",$D21="1 X"),VLOOKUP($D21,PedTblTijden!$A$16:$X$26,PedTblTijden!K$14,FALSE),"")</f>
        <v/>
      </c>
      <c r="R21" s="97" t="str">
        <f>IF(OR($D21="1 dd",$D21="2 dd",$D21="3 dd",$D21="4 dd",$D21="6 dd",$D21="8 dd",$D21="12 dd",$D21="an",$D21="1 X"),VLOOKUP($D21,PedTblTijden!$A$16:$X$26,PedTblTijden!L$14,FALSE),"")</f>
        <v/>
      </c>
      <c r="S21" s="14" t="str">
        <f>IF(OR($D21="1 dd",$D21="2 dd",$D21="3 dd",$D21="4 dd",$D21="6 dd",$D21="8 dd",$D21="12 dd",$D21="an",$D21="1 X"),VLOOKUP($D21,PedTblTijden!$A$16:$X$26,PedTblTijden!M$14,FALSE),"")</f>
        <v/>
      </c>
      <c r="T21" s="97" t="str">
        <f>IF(OR($D21="1 dd",$D21="2 dd",$D21="3 dd",$D21="4 dd",$D21="6 dd",$D21="8 dd",$D21="12 dd",$D21="an",$D21="1 X"),VLOOKUP($D21,PedTblTijden!$A$16:$X$26,PedTblTijden!N$14,FALSE),"")</f>
        <v/>
      </c>
      <c r="U21" s="14" t="str">
        <f>IF(OR($D21="1 dd",$D21="2 dd",$D21="3 dd",$D21="4 dd",$D21="6 dd",$D21="8 dd",$D21="12 dd",$D21="an",$D21="1 X"),VLOOKUP($D21,PedTblTijden!$A$16:$X$26,PedTblTijden!O$14,FALSE),"")</f>
        <v/>
      </c>
      <c r="V21" s="97" t="str">
        <f>IF(OR($D21="1 dd",$D21="2 dd",$D21="3 dd",$D21="4 dd",$D21="6 dd",$D21="8 dd",$D21="12 dd",$D21="an",$D21="1 X"),VLOOKUP($D21,PedTblTijden!$A$16:$X$26,PedTblTijden!P$14,FALSE),"")</f>
        <v/>
      </c>
      <c r="W21" s="14" t="str">
        <f>IF(OR($D21="1 dd",$D21="2 dd",$D21="3 dd",$D21="4 dd",$D21="6 dd",$D21="8 dd",$D21="12 dd",$D21="an",$D21="1 X"),VLOOKUP($D21,PedTblTijden!$A$16:$X$26,PedTblTijden!Q$14,FALSE),"")</f>
        <v/>
      </c>
      <c r="X21" s="97" t="str">
        <f>IF(OR($D21="1 dd",$D21="2 dd",$D21="3 dd",$D21="4 dd",$D21="6 dd",$D21="8 dd",$D21="12 dd",$D21="an",$D21="1 X"),VLOOKUP($D21,PedTblTijden!$A$16:$X$26,PedTblTijden!R$14,FALSE),"")</f>
        <v/>
      </c>
      <c r="Y21" s="14" t="str">
        <f>IF(OR($D21="1 dd",$D21="2 dd",$D21="3 dd",$D21="4 dd",$D21="6 dd",$D21="8 dd",$D21="12 dd",$D21="an",$D21="1 X"),VLOOKUP($D21,PedTblTijden!$A$16:$X$26,PedTblTijden!S$14,FALSE),"")</f>
        <v/>
      </c>
      <c r="Z21" s="97" t="str">
        <f>IF(OR($D21="1 dd",$D21="2 dd",$D21="3 dd",$D21="4 dd",$D21="6 dd",$D21="8 dd",$D21="12 dd",$D21="an",$D21="1 X"),VLOOKUP($D21,PedTblTijden!$A$16:$X$26,PedTblTijden!T$14,FALSE),"")</f>
        <v/>
      </c>
      <c r="AA21" s="14" t="str">
        <f>IF(OR($D21="1 dd",$D21="2 dd",$D21="3 dd",$D21="4 dd",$D21="6 dd",$D21="8 dd",$D21="12 dd",$D21="an",$D21="1 X"),VLOOKUP($D21,PedTblTijden!$A$16:$X$26,PedTblTijden!U$14,FALSE),"")</f>
        <v/>
      </c>
      <c r="AB21" s="97" t="str">
        <f>IF(OR($D21="1 dd",$D21="2 dd",$D21="3 dd",$D21="4 dd",$D21="6 dd",$D21="8 dd",$D21="12 dd",$D21="an",$D21="1 X"),VLOOKUP($D21,PedTblTijden!$A$16:$X$26,PedTblTijden!V$14,FALSE),"")</f>
        <v/>
      </c>
      <c r="AC21" s="14" t="str">
        <f>IF(OR($D21="1 dd",$D21="2 dd",$D21="3 dd",$D21="4 dd",$D21="6 dd",$D21="8 dd",$D21="12 dd",$D21="an",$D21="1 X"),VLOOKUP($D21,PedTblTijden!$A$16:$X$26,PedTblTijden!W$14,FALSE),"")</f>
        <v/>
      </c>
      <c r="AD21" s="97" t="str">
        <f>IF(OR($D21="1 dd",$D21="2 dd",$D21="3 dd",$D21="4 dd",$D21="6 dd",$D21="8 dd",$D21="12 dd",$D21="an",$D21="1 X"),VLOOKUP($D21,PedTblTijden!$A$16:$X$26,PedTblTijden!X$14,FALSE),"")</f>
        <v/>
      </c>
      <c r="AE21" s="16"/>
      <c r="AF21" s="96"/>
      <c r="AG21" s="16"/>
    </row>
    <row r="22" spans="2:33" ht="26.1" customHeight="1" x14ac:dyDescent="0.2">
      <c r="B22" s="98"/>
      <c r="C22" s="129" t="str">
        <f>IF(GlobBerMedDisc!C21&lt;&gt;"",IF(GlobBerMedDisc!C21&gt;1,TRIM(GlobBerMedDisc!C21)&amp;", "&amp;GlobBerOpm!#REF!&amp;" ("&amp;GlobBerMedDisc!M21&amp;" "&amp;GlobBerMedDisc!F21&amp;"/kg/dag)",TRIM(GlobBerMedDisc!C21)&amp;", "&amp;GlobBerOpm!#REF!),"")</f>
        <v/>
      </c>
      <c r="D22" s="130" t="str">
        <f>IF(GlobGuiMedDisc!I28&lt;&gt;"",GlobGuiMedDisc!I28,"")</f>
        <v/>
      </c>
      <c r="E22" s="131" t="str">
        <f>IF(AND(D22&lt;&gt;"",D22&lt;&gt;"STOP"),GlobBerMedDisc!H21&amp;" "&amp;GlobBerMedDisc!F21,"")</f>
        <v/>
      </c>
      <c r="F22" s="131" t="str">
        <f>IF(AND(D22&lt;&gt;"",D22&lt;&gt;"STOP"),GlobBerMedDisc!L21," ")</f>
        <v xml:space="preserve"> </v>
      </c>
      <c r="G22" s="131" t="str">
        <f>IF(GlobGuiMedDisc!N28&lt;&gt;"",GlobGuiMedDisc!N28&amp;" "&amp;GlobGuiMedDisc!O28&amp;" "&amp;INDEX(GlobBerMedDisc!$B$27:$B$30,GlobBerMedDisc!O21,1)&amp;" in "&amp;GlobGuiMedDisc!$R$28,"")</f>
        <v/>
      </c>
      <c r="H22" s="97" t="str">
        <f>IF(OR($D22="1 dd",$D22="2 dd",$D22="3 dd",$D22="4 dd",$D22="6 dd",$D22="8 dd",$D22="12 dd",$D22="an",$D22="1 X"),VLOOKUP($D22,PedTblTijden!$A$16:$X$26,PedTblTijden!B$14,FALSE),"")</f>
        <v/>
      </c>
      <c r="I22" s="14" t="str">
        <f>IF(OR($D22="1 dd",$D22="2 dd",$D22="3 dd",$D22="4 dd",$D22="6 dd",$D22="8 dd",$D22="12 dd",$D22="an",$D22="1 X"),VLOOKUP($D22,PedTblTijden!$A$16:$X$26,PedTblTijden!C$14,FALSE),"")</f>
        <v/>
      </c>
      <c r="J22" s="97" t="str">
        <f>IF(OR($D22="1 dd",$D22="2 dd",$D22="3 dd",$D22="4 dd",$D22="6 dd",$D22="8 dd",$D22="12 dd",$D22="an",$D22="1 X"),VLOOKUP($D22,PedTblTijden!$A$16:$X$26,PedTblTijden!D$14,FALSE),"")</f>
        <v/>
      </c>
      <c r="K22" s="14" t="str">
        <f>IF(OR($D22="1 dd",$D22="2 dd",$D22="3 dd",$D22="4 dd",$D22="6 dd",$D22="8 dd",$D22="12 dd",$D22="an",$D22="1 X"),VLOOKUP($D22,PedTblTijden!$A$16:$X$26,PedTblTijden!E$14,FALSE),"")</f>
        <v/>
      </c>
      <c r="L22" s="97" t="str">
        <f>IF(OR($D22="1 dd",$D22="2 dd",$D22="3 dd",$D22="4 dd",$D22="6 dd",$D22="8 dd",$D22="12 dd",$D22="an",$D22="1 X"),VLOOKUP($D22,PedTblTijden!$A$16:$X$26,PedTblTijden!F$14,FALSE),"")</f>
        <v/>
      </c>
      <c r="M22" s="14" t="str">
        <f>IF(OR($D22="1 dd",$D22="2 dd",$D22="3 dd",$D22="4 dd",$D22="6 dd",$D22="8 dd",$D22="12 dd",$D22="an",$D22="1 X"),VLOOKUP($D22,PedTblTijden!$A$16:$X$26,PedTblTijden!G$14,FALSE),"")</f>
        <v/>
      </c>
      <c r="N22" s="97" t="str">
        <f>IF(OR($D22="1 dd",$D22="2 dd",$D22="3 dd",$D22="4 dd",$D22="6 dd",$D22="8 dd",$D22="12 dd",$D22="an",$D22="1 X"),VLOOKUP($D22,PedTblTijden!$A$16:$X$26,PedTblTijden!H$14,FALSE),"")</f>
        <v/>
      </c>
      <c r="O22" s="14" t="str">
        <f>IF(OR($D22="1 dd",$D22="2 dd",$D22="3 dd",$D22="4 dd",$D22="6 dd",$D22="8 dd",$D22="12 dd",$D22="an",$D22="1 X"),VLOOKUP($D22,PedTblTijden!$A$16:$X$26,PedTblTijden!I$14,FALSE),"")</f>
        <v/>
      </c>
      <c r="P22" s="97" t="str">
        <f>IF(OR($D22="1 dd",$D22="2 dd",$D22="3 dd",$D22="4 dd",$D22="6 dd",$D22="8 dd",$D22="12 dd",$D22="an",$D22="1 X"),VLOOKUP($D22,PedTblTijden!$A$16:$X$26,PedTblTijden!J$14,FALSE),"")</f>
        <v/>
      </c>
      <c r="Q22" s="14" t="str">
        <f>IF(OR($D22="1 dd",$D22="2 dd",$D22="3 dd",$D22="4 dd",$D22="6 dd",$D22="8 dd",$D22="12 dd",$D22="an",$D22="1 X"),VLOOKUP($D22,PedTblTijden!$A$16:$X$26,PedTblTijden!K$14,FALSE),"")</f>
        <v/>
      </c>
      <c r="R22" s="97" t="str">
        <f>IF(OR($D22="1 dd",$D22="2 dd",$D22="3 dd",$D22="4 dd",$D22="6 dd",$D22="8 dd",$D22="12 dd",$D22="an",$D22="1 X"),VLOOKUP($D22,PedTblTijden!$A$16:$X$26,PedTblTijden!L$14,FALSE),"")</f>
        <v/>
      </c>
      <c r="S22" s="14" t="str">
        <f>IF(OR($D22="1 dd",$D22="2 dd",$D22="3 dd",$D22="4 dd",$D22="6 dd",$D22="8 dd",$D22="12 dd",$D22="an",$D22="1 X"),VLOOKUP($D22,PedTblTijden!$A$16:$X$26,PedTblTijden!M$14,FALSE),"")</f>
        <v/>
      </c>
      <c r="T22" s="97" t="str">
        <f>IF(OR($D22="1 dd",$D22="2 dd",$D22="3 dd",$D22="4 dd",$D22="6 dd",$D22="8 dd",$D22="12 dd",$D22="an",$D22="1 X"),VLOOKUP($D22,PedTblTijden!$A$16:$X$26,PedTblTijden!N$14,FALSE),"")</f>
        <v/>
      </c>
      <c r="U22" s="14" t="str">
        <f>IF(OR($D22="1 dd",$D22="2 dd",$D22="3 dd",$D22="4 dd",$D22="6 dd",$D22="8 dd",$D22="12 dd",$D22="an",$D22="1 X"),VLOOKUP($D22,PedTblTijden!$A$16:$X$26,PedTblTijden!O$14,FALSE),"")</f>
        <v/>
      </c>
      <c r="V22" s="97" t="str">
        <f>IF(OR($D22="1 dd",$D22="2 dd",$D22="3 dd",$D22="4 dd",$D22="6 dd",$D22="8 dd",$D22="12 dd",$D22="an",$D22="1 X"),VLOOKUP($D22,PedTblTijden!$A$16:$X$26,PedTblTijden!P$14,FALSE),"")</f>
        <v/>
      </c>
      <c r="W22" s="14" t="str">
        <f>IF(OR($D22="1 dd",$D22="2 dd",$D22="3 dd",$D22="4 dd",$D22="6 dd",$D22="8 dd",$D22="12 dd",$D22="an",$D22="1 X"),VLOOKUP($D22,PedTblTijden!$A$16:$X$26,PedTblTijden!Q$14,FALSE),"")</f>
        <v/>
      </c>
      <c r="X22" s="97" t="str">
        <f>IF(OR($D22="1 dd",$D22="2 dd",$D22="3 dd",$D22="4 dd",$D22="6 dd",$D22="8 dd",$D22="12 dd",$D22="an",$D22="1 X"),VLOOKUP($D22,PedTblTijden!$A$16:$X$26,PedTblTijden!R$14,FALSE),"")</f>
        <v/>
      </c>
      <c r="Y22" s="14" t="str">
        <f>IF(OR($D22="1 dd",$D22="2 dd",$D22="3 dd",$D22="4 dd",$D22="6 dd",$D22="8 dd",$D22="12 dd",$D22="an",$D22="1 X"),VLOOKUP($D22,PedTblTijden!$A$16:$X$26,PedTblTijden!S$14,FALSE),"")</f>
        <v/>
      </c>
      <c r="Z22" s="97" t="str">
        <f>IF(OR($D22="1 dd",$D22="2 dd",$D22="3 dd",$D22="4 dd",$D22="6 dd",$D22="8 dd",$D22="12 dd",$D22="an",$D22="1 X"),VLOOKUP($D22,PedTblTijden!$A$16:$X$26,PedTblTijden!T$14,FALSE),"")</f>
        <v/>
      </c>
      <c r="AA22" s="14" t="str">
        <f>IF(OR($D22="1 dd",$D22="2 dd",$D22="3 dd",$D22="4 dd",$D22="6 dd",$D22="8 dd",$D22="12 dd",$D22="an",$D22="1 X"),VLOOKUP($D22,PedTblTijden!$A$16:$X$26,PedTblTijden!U$14,FALSE),"")</f>
        <v/>
      </c>
      <c r="AB22" s="97" t="str">
        <f>IF(OR($D22="1 dd",$D22="2 dd",$D22="3 dd",$D22="4 dd",$D22="6 dd",$D22="8 dd",$D22="12 dd",$D22="an",$D22="1 X"),VLOOKUP($D22,PedTblTijden!$A$16:$X$26,PedTblTijden!V$14,FALSE),"")</f>
        <v/>
      </c>
      <c r="AC22" s="14" t="str">
        <f>IF(OR($D22="1 dd",$D22="2 dd",$D22="3 dd",$D22="4 dd",$D22="6 dd",$D22="8 dd",$D22="12 dd",$D22="an",$D22="1 X"),VLOOKUP($D22,PedTblTijden!$A$16:$X$26,PedTblTijden!W$14,FALSE),"")</f>
        <v/>
      </c>
      <c r="AD22" s="97" t="str">
        <f>IF(OR($D22="1 dd",$D22="2 dd",$D22="3 dd",$D22="4 dd",$D22="6 dd",$D22="8 dd",$D22="12 dd",$D22="an",$D22="1 X"),VLOOKUP($D22,PedTblTijden!$A$16:$X$26,PedTblTijden!X$14,FALSE),"")</f>
        <v/>
      </c>
      <c r="AE22" s="16"/>
      <c r="AF22" s="96"/>
      <c r="AG22" s="16"/>
    </row>
  </sheetData>
  <mergeCells count="3">
    <mergeCell ref="F1:G1"/>
    <mergeCell ref="R1:W1"/>
    <mergeCell ref="AB1:AF1"/>
  </mergeCells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Tijden">
    <tabColor rgb="FF92D050"/>
  </sheetPr>
  <dimension ref="A1:Y27"/>
  <sheetViews>
    <sheetView workbookViewId="0"/>
  </sheetViews>
  <sheetFormatPr defaultColWidth="9.140625" defaultRowHeight="12.75" x14ac:dyDescent="0.2"/>
  <cols>
    <col min="1" max="1" width="9.140625" style="320"/>
    <col min="2" max="25" width="4.7109375" style="320" customWidth="1"/>
    <col min="26" max="16384" width="9.140625" style="320"/>
  </cols>
  <sheetData>
    <row r="1" spans="1:25" x14ac:dyDescent="0.2">
      <c r="A1" s="361" t="s">
        <v>405</v>
      </c>
    </row>
    <row r="2" spans="1:25" x14ac:dyDescent="0.2">
      <c r="A2" s="320" t="s">
        <v>396</v>
      </c>
      <c r="B2" s="320">
        <v>20</v>
      </c>
    </row>
    <row r="3" spans="1:25" x14ac:dyDescent="0.2">
      <c r="A3" s="320" t="s">
        <v>406</v>
      </c>
      <c r="B3" s="320">
        <v>9</v>
      </c>
    </row>
    <row r="4" spans="1:25" x14ac:dyDescent="0.2">
      <c r="A4" s="320" t="s">
        <v>407</v>
      </c>
      <c r="B4" s="320">
        <v>9</v>
      </c>
      <c r="C4" s="320">
        <v>21</v>
      </c>
    </row>
    <row r="5" spans="1:25" x14ac:dyDescent="0.2">
      <c r="A5" s="320" t="s">
        <v>408</v>
      </c>
      <c r="B5" s="320">
        <v>9</v>
      </c>
      <c r="C5" s="320">
        <v>17</v>
      </c>
      <c r="D5" s="320">
        <v>1</v>
      </c>
    </row>
    <row r="6" spans="1:25" x14ac:dyDescent="0.2">
      <c r="A6" s="361" t="s">
        <v>409</v>
      </c>
      <c r="B6" s="320">
        <v>9</v>
      </c>
      <c r="C6" s="320">
        <v>15</v>
      </c>
      <c r="D6" s="320">
        <v>21</v>
      </c>
      <c r="E6" s="320">
        <v>3</v>
      </c>
    </row>
    <row r="7" spans="1:25" x14ac:dyDescent="0.2">
      <c r="A7" s="365" t="s">
        <v>455</v>
      </c>
      <c r="B7" s="320">
        <v>9</v>
      </c>
      <c r="C7" s="320">
        <v>12</v>
      </c>
      <c r="D7" s="320">
        <v>15</v>
      </c>
      <c r="E7" s="320">
        <v>18</v>
      </c>
      <c r="F7" s="320">
        <v>22</v>
      </c>
    </row>
    <row r="8" spans="1:25" x14ac:dyDescent="0.2">
      <c r="A8" s="320" t="s">
        <v>190</v>
      </c>
      <c r="B8" s="320">
        <v>9</v>
      </c>
      <c r="C8" s="320">
        <v>13</v>
      </c>
      <c r="D8" s="320">
        <v>17</v>
      </c>
      <c r="E8" s="320">
        <v>21</v>
      </c>
      <c r="F8" s="320">
        <v>1</v>
      </c>
      <c r="G8" s="320">
        <v>5</v>
      </c>
    </row>
    <row r="9" spans="1:25" x14ac:dyDescent="0.2">
      <c r="A9" s="320" t="s">
        <v>191</v>
      </c>
      <c r="B9" s="320">
        <v>11</v>
      </c>
      <c r="C9" s="320">
        <v>14</v>
      </c>
      <c r="D9" s="320">
        <v>17</v>
      </c>
      <c r="E9" s="320">
        <v>20</v>
      </c>
      <c r="F9" s="320">
        <v>23</v>
      </c>
      <c r="G9" s="320">
        <v>2</v>
      </c>
      <c r="H9" s="320">
        <v>5</v>
      </c>
      <c r="I9" s="320">
        <v>8</v>
      </c>
    </row>
    <row r="10" spans="1:25" x14ac:dyDescent="0.2">
      <c r="A10" s="320" t="s">
        <v>192</v>
      </c>
      <c r="B10" s="320">
        <v>9</v>
      </c>
      <c r="C10" s="320">
        <v>11</v>
      </c>
      <c r="D10" s="320">
        <v>13</v>
      </c>
      <c r="E10" s="320">
        <v>15</v>
      </c>
      <c r="F10" s="320">
        <v>17</v>
      </c>
      <c r="G10" s="320">
        <v>19</v>
      </c>
      <c r="H10" s="320">
        <v>21</v>
      </c>
      <c r="I10" s="320">
        <v>23</v>
      </c>
      <c r="J10" s="320">
        <v>1</v>
      </c>
      <c r="K10" s="320">
        <v>3</v>
      </c>
      <c r="L10" s="320">
        <v>5</v>
      </c>
      <c r="M10" s="320">
        <v>7</v>
      </c>
    </row>
    <row r="11" spans="1:25" x14ac:dyDescent="0.2">
      <c r="A11" s="320" t="s">
        <v>26</v>
      </c>
      <c r="B11" s="320">
        <v>9</v>
      </c>
      <c r="C11" s="320">
        <v>10</v>
      </c>
      <c r="D11" s="320">
        <v>11</v>
      </c>
      <c r="E11" s="320">
        <v>12</v>
      </c>
      <c r="F11" s="320">
        <v>13</v>
      </c>
      <c r="G11" s="320">
        <v>14</v>
      </c>
      <c r="H11" s="320">
        <v>15</v>
      </c>
      <c r="I11" s="320">
        <v>16</v>
      </c>
      <c r="J11" s="320">
        <v>17</v>
      </c>
      <c r="K11" s="320">
        <v>18</v>
      </c>
      <c r="L11" s="320">
        <v>19</v>
      </c>
      <c r="M11" s="320">
        <v>20</v>
      </c>
      <c r="N11" s="320">
        <v>21</v>
      </c>
      <c r="O11" s="320">
        <v>22</v>
      </c>
      <c r="P11" s="320">
        <v>23</v>
      </c>
      <c r="Q11" s="320">
        <v>24</v>
      </c>
      <c r="R11" s="320">
        <v>1</v>
      </c>
      <c r="S11" s="320">
        <v>2</v>
      </c>
      <c r="T11" s="320">
        <v>3</v>
      </c>
      <c r="U11" s="320">
        <v>4</v>
      </c>
      <c r="V11" s="320">
        <v>5</v>
      </c>
      <c r="W11" s="320">
        <v>6</v>
      </c>
      <c r="X11" s="320">
        <v>7</v>
      </c>
      <c r="Y11" s="320">
        <v>8</v>
      </c>
    </row>
    <row r="13" spans="1:25" x14ac:dyDescent="0.2">
      <c r="A13" s="320">
        <v>10</v>
      </c>
      <c r="B13" s="320" t="s">
        <v>406</v>
      </c>
      <c r="C13" s="320" t="s">
        <v>407</v>
      </c>
      <c r="D13" s="320" t="s">
        <v>408</v>
      </c>
      <c r="E13" s="320" t="s">
        <v>409</v>
      </c>
      <c r="F13" s="321" t="s">
        <v>455</v>
      </c>
      <c r="G13" s="321" t="s">
        <v>190</v>
      </c>
      <c r="H13" s="321" t="s">
        <v>191</v>
      </c>
      <c r="I13" s="321" t="s">
        <v>192</v>
      </c>
      <c r="J13" s="321" t="s">
        <v>26</v>
      </c>
    </row>
    <row r="15" spans="1:25" x14ac:dyDescent="0.2">
      <c r="B15" s="320">
        <v>2</v>
      </c>
      <c r="C15" s="320">
        <v>3</v>
      </c>
      <c r="D15" s="320">
        <v>4</v>
      </c>
      <c r="E15" s="320">
        <v>5</v>
      </c>
      <c r="F15" s="320">
        <v>6</v>
      </c>
      <c r="G15" s="320">
        <v>7</v>
      </c>
      <c r="H15" s="320">
        <v>8</v>
      </c>
      <c r="I15" s="320">
        <v>9</v>
      </c>
      <c r="J15" s="320">
        <v>10</v>
      </c>
      <c r="K15" s="320">
        <v>11</v>
      </c>
      <c r="L15" s="320">
        <v>12</v>
      </c>
      <c r="M15" s="320">
        <v>13</v>
      </c>
      <c r="N15" s="320">
        <v>14</v>
      </c>
      <c r="O15" s="320">
        <v>15</v>
      </c>
      <c r="P15" s="320">
        <v>16</v>
      </c>
      <c r="Q15" s="320">
        <v>17</v>
      </c>
      <c r="R15" s="320">
        <v>18</v>
      </c>
      <c r="S15" s="320">
        <v>19</v>
      </c>
      <c r="T15" s="320">
        <v>20</v>
      </c>
      <c r="U15" s="320">
        <v>21</v>
      </c>
      <c r="V15" s="320">
        <v>22</v>
      </c>
      <c r="W15" s="320">
        <v>23</v>
      </c>
      <c r="X15" s="320">
        <v>24</v>
      </c>
      <c r="Y15" s="320">
        <v>25</v>
      </c>
    </row>
    <row r="16" spans="1:25" x14ac:dyDescent="0.2">
      <c r="B16" s="13">
        <v>9</v>
      </c>
      <c r="C16" s="13">
        <v>10</v>
      </c>
      <c r="D16" s="13">
        <v>11</v>
      </c>
      <c r="E16" s="13">
        <v>12</v>
      </c>
      <c r="F16" s="13">
        <v>13</v>
      </c>
      <c r="G16" s="13">
        <v>14</v>
      </c>
      <c r="H16" s="13">
        <v>15</v>
      </c>
      <c r="I16" s="13">
        <v>16</v>
      </c>
      <c r="J16" s="13">
        <v>17</v>
      </c>
      <c r="K16" s="13">
        <v>18</v>
      </c>
      <c r="L16" s="13">
        <v>19</v>
      </c>
      <c r="M16" s="13">
        <v>20</v>
      </c>
      <c r="N16" s="13">
        <v>21</v>
      </c>
      <c r="O16" s="13">
        <v>22</v>
      </c>
      <c r="P16" s="13">
        <v>23</v>
      </c>
      <c r="Q16" s="13">
        <v>24</v>
      </c>
      <c r="R16" s="13">
        <v>1</v>
      </c>
      <c r="S16" s="13">
        <v>2</v>
      </c>
      <c r="T16" s="13">
        <v>3</v>
      </c>
      <c r="U16" s="13">
        <v>4</v>
      </c>
      <c r="V16" s="13">
        <v>5</v>
      </c>
      <c r="W16" s="13">
        <v>6</v>
      </c>
      <c r="X16" s="13">
        <v>7</v>
      </c>
      <c r="Y16" s="13">
        <v>8</v>
      </c>
    </row>
    <row r="17" spans="1:25" x14ac:dyDescent="0.2">
      <c r="A17" s="320" t="s">
        <v>406</v>
      </c>
      <c r="B17" s="14" t="s">
        <v>193</v>
      </c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</row>
    <row r="18" spans="1:25" x14ac:dyDescent="0.2">
      <c r="A18" s="320" t="s">
        <v>407</v>
      </c>
      <c r="B18" s="14" t="s">
        <v>193</v>
      </c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 t="s">
        <v>193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</row>
    <row r="19" spans="1:25" x14ac:dyDescent="0.2">
      <c r="A19" s="320" t="s">
        <v>408</v>
      </c>
      <c r="B19" s="14" t="s">
        <v>193</v>
      </c>
      <c r="C19" s="14"/>
      <c r="D19" s="14"/>
      <c r="E19" s="14"/>
      <c r="F19" s="14"/>
      <c r="G19" s="14"/>
      <c r="H19" s="14"/>
      <c r="I19" s="14"/>
      <c r="J19" s="14" t="s">
        <v>193</v>
      </c>
      <c r="K19" s="14"/>
      <c r="L19" s="14"/>
      <c r="M19" s="14"/>
      <c r="N19" s="14"/>
      <c r="O19" s="14"/>
      <c r="P19" s="14"/>
      <c r="Q19" s="14"/>
      <c r="R19" s="14" t="s">
        <v>193</v>
      </c>
      <c r="S19" s="14"/>
      <c r="T19" s="14"/>
      <c r="U19" s="14"/>
      <c r="V19" s="14"/>
      <c r="W19" s="14"/>
      <c r="X19" s="14"/>
      <c r="Y19" s="14"/>
    </row>
    <row r="20" spans="1:25" x14ac:dyDescent="0.2">
      <c r="A20" s="320" t="s">
        <v>409</v>
      </c>
      <c r="B20" s="14" t="s">
        <v>193</v>
      </c>
      <c r="C20" s="14"/>
      <c r="D20" s="14"/>
      <c r="E20" s="14"/>
      <c r="F20" s="14"/>
      <c r="G20" s="14"/>
      <c r="H20" s="14" t="s">
        <v>193</v>
      </c>
      <c r="I20" s="14"/>
      <c r="J20" s="14"/>
      <c r="K20" s="14"/>
      <c r="L20" s="14"/>
      <c r="M20" s="14"/>
      <c r="N20" s="14" t="s">
        <v>193</v>
      </c>
      <c r="O20" s="14"/>
      <c r="P20" s="14"/>
      <c r="Q20" s="14"/>
      <c r="R20" s="14"/>
      <c r="S20" s="14"/>
      <c r="T20" s="14" t="s">
        <v>193</v>
      </c>
      <c r="U20" s="14"/>
      <c r="V20" s="14"/>
      <c r="W20" s="14"/>
      <c r="X20" s="14"/>
      <c r="Y20" s="14"/>
    </row>
    <row r="21" spans="1:25" x14ac:dyDescent="0.2">
      <c r="A21" s="320" t="s">
        <v>455</v>
      </c>
      <c r="B21" s="14" t="s">
        <v>193</v>
      </c>
      <c r="C21" s="14"/>
      <c r="D21" s="14"/>
      <c r="E21" s="14" t="s">
        <v>193</v>
      </c>
      <c r="F21" s="14"/>
      <c r="G21" s="14"/>
      <c r="H21" s="14" t="s">
        <v>193</v>
      </c>
      <c r="I21" s="14"/>
      <c r="J21" s="14"/>
      <c r="K21" s="14" t="s">
        <v>193</v>
      </c>
      <c r="L21" s="14"/>
      <c r="M21" s="14"/>
      <c r="N21" s="14"/>
      <c r="O21" s="14" t="s">
        <v>193</v>
      </c>
      <c r="P21" s="14"/>
      <c r="Q21" s="14"/>
      <c r="R21" s="14"/>
      <c r="S21" s="14"/>
      <c r="T21" s="14"/>
      <c r="U21" s="14"/>
      <c r="V21" s="14"/>
      <c r="W21" s="14"/>
      <c r="X21" s="14"/>
      <c r="Y21" s="14"/>
    </row>
    <row r="22" spans="1:25" x14ac:dyDescent="0.2">
      <c r="A22" s="320" t="s">
        <v>190</v>
      </c>
      <c r="B22" s="14" t="s">
        <v>193</v>
      </c>
      <c r="C22" s="14"/>
      <c r="D22" s="14"/>
      <c r="E22" s="14"/>
      <c r="F22" s="14" t="s">
        <v>193</v>
      </c>
      <c r="G22" s="14"/>
      <c r="H22" s="14"/>
      <c r="I22" s="14"/>
      <c r="J22" s="14" t="s">
        <v>193</v>
      </c>
      <c r="K22" s="14"/>
      <c r="L22" s="14"/>
      <c r="M22" s="14"/>
      <c r="N22" s="14" t="s">
        <v>193</v>
      </c>
      <c r="O22" s="14"/>
      <c r="P22" s="14"/>
      <c r="Q22" s="14"/>
      <c r="R22" s="14" t="s">
        <v>193</v>
      </c>
      <c r="S22" s="14"/>
      <c r="T22" s="14"/>
      <c r="U22" s="14"/>
      <c r="V22" s="14" t="s">
        <v>193</v>
      </c>
      <c r="X22" s="14"/>
      <c r="Y22" s="14"/>
    </row>
    <row r="23" spans="1:25" x14ac:dyDescent="0.2">
      <c r="A23" s="321" t="s">
        <v>191</v>
      </c>
      <c r="B23" s="14"/>
      <c r="C23" s="14"/>
      <c r="D23" s="14" t="s">
        <v>193</v>
      </c>
      <c r="E23" s="14"/>
      <c r="F23" s="14"/>
      <c r="G23" s="14" t="s">
        <v>193</v>
      </c>
      <c r="H23" s="14"/>
      <c r="I23" s="14"/>
      <c r="J23" s="14" t="s">
        <v>193</v>
      </c>
      <c r="K23" s="14"/>
      <c r="L23" s="14"/>
      <c r="M23" s="14" t="s">
        <v>193</v>
      </c>
      <c r="N23" s="14"/>
      <c r="O23" s="14"/>
      <c r="P23" s="14" t="s">
        <v>193</v>
      </c>
      <c r="Q23" s="14"/>
      <c r="R23" s="14"/>
      <c r="S23" s="14" t="s">
        <v>193</v>
      </c>
      <c r="T23" s="14"/>
      <c r="U23" s="14"/>
      <c r="V23" s="14" t="s">
        <v>193</v>
      </c>
      <c r="W23" s="14"/>
      <c r="X23" s="14"/>
      <c r="Y23" s="14" t="s">
        <v>193</v>
      </c>
    </row>
    <row r="24" spans="1:25" x14ac:dyDescent="0.2">
      <c r="A24" s="321" t="s">
        <v>192</v>
      </c>
      <c r="B24" s="14" t="s">
        <v>193</v>
      </c>
      <c r="C24" s="14"/>
      <c r="D24" s="14" t="s">
        <v>193</v>
      </c>
      <c r="E24" s="14"/>
      <c r="F24" s="14" t="s">
        <v>193</v>
      </c>
      <c r="G24" s="14"/>
      <c r="H24" s="14" t="s">
        <v>193</v>
      </c>
      <c r="I24" s="14"/>
      <c r="J24" s="14" t="s">
        <v>193</v>
      </c>
      <c r="K24" s="14"/>
      <c r="L24" s="14" t="s">
        <v>193</v>
      </c>
      <c r="M24" s="14"/>
      <c r="N24" s="14" t="s">
        <v>193</v>
      </c>
      <c r="O24" s="14"/>
      <c r="P24" s="14" t="s">
        <v>193</v>
      </c>
      <c r="Q24" s="14"/>
      <c r="R24" s="14" t="s">
        <v>193</v>
      </c>
      <c r="S24" s="14"/>
      <c r="T24" s="14" t="s">
        <v>193</v>
      </c>
      <c r="U24" s="14"/>
      <c r="V24" s="14" t="s">
        <v>193</v>
      </c>
      <c r="W24" s="14"/>
      <c r="X24" s="14" t="s">
        <v>193</v>
      </c>
      <c r="Y24" s="14"/>
    </row>
    <row r="25" spans="1:25" x14ac:dyDescent="0.2">
      <c r="A25" s="321" t="s">
        <v>26</v>
      </c>
      <c r="B25" s="14" t="s">
        <v>193</v>
      </c>
      <c r="C25" s="14" t="s">
        <v>193</v>
      </c>
      <c r="D25" s="14" t="s">
        <v>193</v>
      </c>
      <c r="E25" s="14" t="s">
        <v>193</v>
      </c>
      <c r="F25" s="14" t="s">
        <v>193</v>
      </c>
      <c r="G25" s="14" t="s">
        <v>193</v>
      </c>
      <c r="H25" s="14" t="s">
        <v>193</v>
      </c>
      <c r="I25" s="14" t="s">
        <v>193</v>
      </c>
      <c r="J25" s="14" t="s">
        <v>193</v>
      </c>
      <c r="K25" s="14" t="s">
        <v>193</v>
      </c>
      <c r="L25" s="14" t="s">
        <v>193</v>
      </c>
      <c r="M25" s="14" t="s">
        <v>193</v>
      </c>
      <c r="N25" s="14" t="s">
        <v>193</v>
      </c>
      <c r="O25" s="14" t="s">
        <v>193</v>
      </c>
      <c r="P25" s="14" t="s">
        <v>193</v>
      </c>
      <c r="Q25" s="14" t="s">
        <v>193</v>
      </c>
      <c r="R25" s="14" t="s">
        <v>193</v>
      </c>
      <c r="S25" s="14" t="s">
        <v>193</v>
      </c>
      <c r="T25" s="14" t="s">
        <v>193</v>
      </c>
      <c r="U25" s="14" t="s">
        <v>193</v>
      </c>
      <c r="V25" s="14" t="s">
        <v>193</v>
      </c>
      <c r="W25" s="14" t="s">
        <v>193</v>
      </c>
      <c r="X25" s="14" t="s">
        <v>193</v>
      </c>
      <c r="Y25" s="14" t="s">
        <v>193</v>
      </c>
    </row>
    <row r="26" spans="1:25" x14ac:dyDescent="0.2">
      <c r="A26" s="321" t="s">
        <v>386</v>
      </c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 t="s">
        <v>193</v>
      </c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</row>
    <row r="27" spans="1:25" x14ac:dyDescent="0.2">
      <c r="A27" s="321" t="s">
        <v>456</v>
      </c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</row>
  </sheetData>
  <pageMargins left="0.75" right="0.75" top="1" bottom="1" header="0.5" footer="0.5"/>
  <pageSetup paperSize="9" orientation="portrait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A1:Q85"/>
  <sheetViews>
    <sheetView workbookViewId="0">
      <pane ySplit="4" topLeftCell="A5" activePane="bottomLeft" state="frozen"/>
      <selection pane="bottomLeft" activeCell="A6" sqref="A6"/>
    </sheetView>
  </sheetViews>
  <sheetFormatPr defaultRowHeight="12.75" x14ac:dyDescent="0.2"/>
  <cols>
    <col min="1" max="1" width="4.85546875" customWidth="1"/>
    <col min="2" max="2" width="25" customWidth="1"/>
    <col min="3" max="3" width="16.28515625" customWidth="1"/>
    <col min="4" max="4" width="16.7109375" customWidth="1"/>
    <col min="5" max="5" width="15" bestFit="1" customWidth="1"/>
    <col min="6" max="6" width="21.85546875" bestFit="1" customWidth="1"/>
    <col min="7" max="7" width="21.85546875" customWidth="1"/>
    <col min="8" max="8" width="7.28515625" customWidth="1"/>
    <col min="9" max="9" width="27" customWidth="1"/>
    <col min="10" max="10" width="15.5703125" customWidth="1"/>
    <col min="11" max="11" width="13" customWidth="1"/>
    <col min="12" max="45" width="9.140625" customWidth="1"/>
  </cols>
  <sheetData>
    <row r="1" spans="1:17" s="100" customFormat="1" x14ac:dyDescent="0.2">
      <c r="A1" s="370"/>
    </row>
    <row r="2" spans="1:17" s="100" customFormat="1" ht="17.25" customHeight="1" x14ac:dyDescent="0.2">
      <c r="B2" s="101" t="s">
        <v>316</v>
      </c>
      <c r="C2" s="102">
        <f ca="1">Var_AfspraakDatum</f>
        <v>42748</v>
      </c>
      <c r="D2" s="103"/>
      <c r="E2" s="101" t="s">
        <v>317</v>
      </c>
      <c r="F2" s="104">
        <f>_Pat_OpnDatum</f>
        <v>1462</v>
      </c>
      <c r="G2" s="101" t="str">
        <f ca="1">"ICU-dag: "&amp;Var_AfspraakDatum-_Pat_OpnDatum+1</f>
        <v>ICU-dag: 41287</v>
      </c>
      <c r="H2" s="101"/>
      <c r="I2" s="157" t="s">
        <v>536</v>
      </c>
      <c r="J2" s="106">
        <f>__1_Bed</f>
        <v>0</v>
      </c>
    </row>
    <row r="3" spans="1:17" s="100" customFormat="1" ht="17.25" customHeight="1" x14ac:dyDescent="0.2">
      <c r="B3" s="101" t="s">
        <v>28</v>
      </c>
      <c r="C3" s="105" t="str">
        <f>__2_AchterNaam&amp;", "&amp;__3_VoorNaam</f>
        <v xml:space="preserve">, </v>
      </c>
      <c r="D3" s="105"/>
      <c r="E3" s="101" t="s">
        <v>324</v>
      </c>
      <c r="F3" s="104">
        <f>__4_GebDatum</f>
        <v>1462</v>
      </c>
      <c r="G3" s="106" t="str">
        <f>"Gewicht: "&amp;_Pat_Gewicht/10&amp;" kg"</f>
        <v>Gewicht: 0 kg</v>
      </c>
      <c r="H3" s="101"/>
      <c r="I3" s="106" t="str">
        <f>"Lengte: "&amp;_Pat_Lengte&amp;" cm"</f>
        <v>Lengte: 0 cm</v>
      </c>
      <c r="J3" s="101"/>
    </row>
    <row r="4" spans="1:17" s="100" customFormat="1" ht="17.25" customHeight="1" x14ac:dyDescent="0.2">
      <c r="A4" s="111"/>
      <c r="B4" s="101" t="s">
        <v>357</v>
      </c>
      <c r="C4" s="106">
        <f>__0_PatNum</f>
        <v>0</v>
      </c>
      <c r="D4" s="103"/>
      <c r="E4" s="101" t="s">
        <v>287</v>
      </c>
      <c r="F4" s="108" t="str">
        <f ca="1">TRUNC((Var_AfspraakDatum-__4_GebDatum)/365,0)&amp;" jaar en "&amp;TRUNC(((Var_AfspraakDatum-__4_GebDatum)-365*TRUNC((Var_AfspraakDatum-__4_GebDatum)/365,0))/30,0)&amp;" maand(-en)"</f>
        <v>113 jaar en 1 maand(-en)</v>
      </c>
      <c r="G4" s="101"/>
      <c r="I4" s="101" t="str">
        <f>"Lichamelijk oppervlak: "&amp;ROUND(POWER(_Pat_Gewicht/10,0.425)*POWER(((_Pat_Lengte/100)*100),0.725)*0.007184,2)&amp;" m2"</f>
        <v>Lichamelijk oppervlak: 0 m2</v>
      </c>
      <c r="J4" s="101"/>
    </row>
    <row r="5" spans="1:17" x14ac:dyDescent="0.2">
      <c r="G5" s="320"/>
      <c r="H5" s="320"/>
    </row>
    <row r="6" spans="1:17" x14ac:dyDescent="0.2">
      <c r="A6" s="361"/>
      <c r="B6" s="2" t="s">
        <v>765</v>
      </c>
      <c r="F6" s="2" t="s">
        <v>703</v>
      </c>
      <c r="G6" s="320"/>
      <c r="H6" s="2"/>
      <c r="I6" s="2" t="s">
        <v>772</v>
      </c>
      <c r="J6" s="320"/>
      <c r="K6" s="320"/>
      <c r="Q6" s="325"/>
    </row>
    <row r="7" spans="1:17" ht="18" customHeight="1" x14ac:dyDescent="0.2">
      <c r="G7" s="320"/>
      <c r="H7" s="320"/>
      <c r="I7" s="320"/>
      <c r="J7" s="320"/>
      <c r="K7" s="320"/>
      <c r="Q7" s="321"/>
    </row>
    <row r="8" spans="1:17" ht="18" customHeight="1" x14ac:dyDescent="0.2">
      <c r="C8" s="387" t="str">
        <f>IF(_Neo_AfsprD_GewichtFrequentie=0,"",_Neo_AfsprD_GewichtFrequentie)</f>
        <v/>
      </c>
      <c r="D8" s="353"/>
      <c r="G8" s="320"/>
      <c r="H8" s="320"/>
      <c r="I8" s="320"/>
      <c r="J8" s="387" t="str">
        <f>IF(_Neo_AfsprD_AantalLampen=0,"0 lamp(en)",CONCATENATE(_Neo_AfsprD_AantalLampen, " lamp(en)"))</f>
        <v>0 lamp(en)</v>
      </c>
      <c r="Q8" s="321"/>
    </row>
    <row r="9" spans="1:17" ht="18" customHeight="1" x14ac:dyDescent="0.2">
      <c r="C9" s="387" t="str">
        <f>IF(_Neo_AfsprD_LengteFrequentie=0,"",_Neo_AfsprD_LengteFrequentie)</f>
        <v/>
      </c>
      <c r="D9" s="353"/>
      <c r="G9" s="320"/>
      <c r="H9" s="320"/>
      <c r="I9" s="320"/>
      <c r="J9" s="320"/>
      <c r="K9" s="320"/>
      <c r="M9" s="320"/>
      <c r="N9" s="320"/>
      <c r="Q9" s="320"/>
    </row>
    <row r="10" spans="1:17" ht="18" customHeight="1" x14ac:dyDescent="0.2">
      <c r="A10" s="320"/>
      <c r="B10" s="320"/>
      <c r="C10" s="387" t="str">
        <f>IF(_Neo_AfsprD_SchedelFrequentie=0,"",_Neo_AfsprD_SchedelFrequentie)</f>
        <v/>
      </c>
      <c r="D10" s="353"/>
      <c r="G10" s="320"/>
      <c r="H10" s="320"/>
      <c r="I10" s="320"/>
      <c r="J10" s="320"/>
      <c r="K10" s="320"/>
      <c r="M10" s="320"/>
      <c r="N10" s="320"/>
      <c r="Q10" s="320"/>
    </row>
    <row r="11" spans="1:17" ht="18" customHeight="1" x14ac:dyDescent="0.2">
      <c r="G11" s="320"/>
      <c r="H11" s="320"/>
      <c r="I11" s="320"/>
      <c r="J11" s="320"/>
      <c r="K11" s="320"/>
      <c r="M11" s="320"/>
      <c r="N11" s="320"/>
    </row>
    <row r="12" spans="1:17" ht="18" customHeight="1" x14ac:dyDescent="0.2">
      <c r="C12" s="344" t="str">
        <f>CONCATENATE(NeoBerAfspr!$B$12," dd")</f>
        <v>0 dd</v>
      </c>
      <c r="D12" s="343"/>
      <c r="G12" s="320"/>
      <c r="H12" s="320"/>
      <c r="I12" s="320"/>
      <c r="J12" s="320"/>
      <c r="K12" s="320"/>
      <c r="M12" s="320"/>
    </row>
    <row r="13" spans="1:17" ht="18" customHeight="1" x14ac:dyDescent="0.2">
      <c r="G13" s="320"/>
      <c r="H13" s="320"/>
      <c r="I13" s="320"/>
      <c r="J13" s="320"/>
      <c r="K13" s="320"/>
      <c r="M13" s="320"/>
    </row>
    <row r="14" spans="1:17" ht="18" customHeight="1" x14ac:dyDescent="0.2">
      <c r="G14" s="320"/>
      <c r="H14" s="320"/>
      <c r="I14" s="320"/>
      <c r="J14" s="320"/>
      <c r="K14" s="320"/>
      <c r="M14" s="321"/>
    </row>
    <row r="15" spans="1:17" ht="18" customHeight="1" x14ac:dyDescent="0.2">
      <c r="G15" s="320"/>
      <c r="H15" s="320"/>
      <c r="I15" s="320"/>
      <c r="J15" s="320"/>
      <c r="K15" s="320"/>
      <c r="M15" s="321"/>
    </row>
    <row r="16" spans="1:17" ht="18" customHeight="1" x14ac:dyDescent="0.2">
      <c r="G16" s="320"/>
      <c r="H16" s="320"/>
      <c r="I16" s="320"/>
      <c r="J16" s="320"/>
      <c r="K16" s="320"/>
      <c r="M16" s="320"/>
    </row>
    <row r="17" spans="1:14" ht="18" customHeight="1" x14ac:dyDescent="0.2">
      <c r="G17" s="320"/>
      <c r="H17" s="320"/>
      <c r="I17" s="320"/>
      <c r="J17" s="344" t="str">
        <f>CONCATENATE(NeoBerAfspr!$K$17," dd")</f>
        <v>0 dd</v>
      </c>
      <c r="K17" s="344" t="str">
        <f>CONCATENATE(NeoBerAfspr!$L$17," ml")</f>
        <v>0 ml</v>
      </c>
      <c r="M17" s="321"/>
      <c r="N17" s="320"/>
    </row>
    <row r="18" spans="1:14" ht="18" customHeight="1" x14ac:dyDescent="0.2">
      <c r="G18" s="320"/>
      <c r="H18" s="320"/>
      <c r="I18" s="320"/>
      <c r="J18" s="343"/>
      <c r="K18" s="343"/>
      <c r="M18" s="321"/>
      <c r="N18" s="320"/>
    </row>
    <row r="19" spans="1:14" ht="18" customHeight="1" x14ac:dyDescent="0.2">
      <c r="G19" s="320"/>
      <c r="H19" s="320"/>
      <c r="I19" s="320"/>
      <c r="J19" s="344" t="str">
        <f>CONCATENATE("à ",_Neo_AfsprD_VerliezenFrequentie," uur")</f>
        <v>à 0 uur</v>
      </c>
      <c r="K19" s="320"/>
      <c r="M19" s="321"/>
      <c r="N19" s="321"/>
    </row>
    <row r="20" spans="1:14" ht="18" customHeight="1" x14ac:dyDescent="0.2">
      <c r="G20" s="320"/>
      <c r="H20" s="320"/>
      <c r="I20" s="320"/>
      <c r="J20" s="320"/>
      <c r="K20" s="320"/>
      <c r="M20" s="321"/>
      <c r="N20" s="320"/>
    </row>
    <row r="21" spans="1:14" ht="18" customHeight="1" x14ac:dyDescent="0.2">
      <c r="B21" s="2" t="s">
        <v>771</v>
      </c>
      <c r="G21" s="320"/>
      <c r="H21" s="320"/>
      <c r="I21" s="320"/>
      <c r="J21" s="320"/>
      <c r="K21" s="320"/>
      <c r="M21" s="320"/>
      <c r="N21" s="321"/>
    </row>
    <row r="22" spans="1:14" ht="18" customHeight="1" x14ac:dyDescent="0.2">
      <c r="G22" s="320"/>
      <c r="H22" s="320"/>
      <c r="I22" s="320"/>
      <c r="J22" s="320"/>
      <c r="K22" s="320"/>
      <c r="M22" s="321"/>
      <c r="N22" s="321"/>
    </row>
    <row r="23" spans="1:14" ht="18" customHeight="1" x14ac:dyDescent="0.2">
      <c r="G23" s="320"/>
      <c r="H23" s="320"/>
      <c r="I23" s="320"/>
      <c r="J23" s="320"/>
      <c r="K23" s="320"/>
      <c r="M23" s="320"/>
      <c r="N23" s="320"/>
    </row>
    <row r="24" spans="1:14" ht="18" customHeight="1" x14ac:dyDescent="0.2">
      <c r="G24" s="320"/>
      <c r="H24" s="320"/>
      <c r="I24" s="320"/>
      <c r="J24" s="320"/>
      <c r="K24" s="320"/>
      <c r="M24" s="321"/>
      <c r="N24" s="321"/>
    </row>
    <row r="25" spans="1:14" ht="18" customHeight="1" x14ac:dyDescent="0.2">
      <c r="G25" s="320"/>
      <c r="H25" s="320"/>
      <c r="I25" s="320"/>
      <c r="J25" s="320"/>
      <c r="K25" s="320"/>
      <c r="M25" s="321"/>
      <c r="N25" s="321"/>
    </row>
    <row r="26" spans="1:14" ht="18" customHeight="1" x14ac:dyDescent="0.2">
      <c r="G26" s="320"/>
      <c r="H26" s="320"/>
      <c r="I26" s="320"/>
      <c r="J26" s="320"/>
      <c r="K26" s="320"/>
      <c r="M26" s="325"/>
      <c r="N26" s="321"/>
    </row>
    <row r="27" spans="1:14" ht="18" customHeight="1" x14ac:dyDescent="0.2">
      <c r="C27" s="321" t="s">
        <v>778</v>
      </c>
      <c r="D27" s="344" t="str">
        <f>CONCATENATE(NeoBerAfspr!C27," uur")</f>
        <v>12:00 uur</v>
      </c>
      <c r="G27" s="320"/>
      <c r="H27" s="320"/>
      <c r="I27" s="320"/>
      <c r="J27" s="320"/>
      <c r="K27" s="320"/>
      <c r="M27" s="321"/>
      <c r="N27" s="321"/>
    </row>
    <row r="28" spans="1:14" ht="18" customHeight="1" x14ac:dyDescent="0.2">
      <c r="G28" s="320"/>
      <c r="H28" s="320"/>
      <c r="I28" s="320"/>
      <c r="J28" s="320"/>
      <c r="K28" s="320"/>
      <c r="M28" s="321"/>
    </row>
    <row r="29" spans="1:14" ht="18" customHeight="1" x14ac:dyDescent="0.2">
      <c r="A29" s="320"/>
      <c r="B29" s="320"/>
      <c r="C29" s="320"/>
      <c r="D29" s="320"/>
      <c r="G29" s="320"/>
      <c r="H29" s="320"/>
      <c r="I29" s="320"/>
      <c r="J29" s="320"/>
      <c r="K29" s="320"/>
      <c r="M29" s="321"/>
    </row>
    <row r="30" spans="1:14" ht="18" customHeight="1" x14ac:dyDescent="0.2">
      <c r="A30" s="320"/>
      <c r="B30" s="320"/>
      <c r="C30" s="320"/>
      <c r="D30" s="320"/>
      <c r="G30" s="320"/>
      <c r="H30" s="320"/>
      <c r="I30" s="320"/>
      <c r="J30" s="320"/>
      <c r="K30" s="320"/>
      <c r="M30" s="320"/>
    </row>
    <row r="31" spans="1:14" ht="18" customHeight="1" x14ac:dyDescent="0.2">
      <c r="B31" s="320"/>
      <c r="C31" s="320"/>
      <c r="D31" s="320"/>
      <c r="G31" s="1062" t="b">
        <f>IF(_Neo_AfsprB_WondkweekTekst=0,"",_Neo_AfsprB_WondkweekTekst)</f>
        <v>0</v>
      </c>
      <c r="H31" s="1062"/>
      <c r="L31" s="320"/>
      <c r="M31" s="320"/>
    </row>
    <row r="32" spans="1:14" ht="18" customHeight="1" x14ac:dyDescent="0.2">
      <c r="G32" s="1062"/>
      <c r="H32" s="1062"/>
      <c r="L32" s="320"/>
      <c r="M32" s="320"/>
    </row>
    <row r="33" spans="1:13" s="320" customFormat="1" ht="18" customHeight="1" x14ac:dyDescent="0.2">
      <c r="A33"/>
      <c r="B33"/>
      <c r="C33"/>
      <c r="D33"/>
      <c r="E33"/>
      <c r="G33" s="1062"/>
      <c r="H33" s="1062"/>
      <c r="L33"/>
    </row>
    <row r="34" spans="1:13" s="320" customFormat="1" ht="18" customHeight="1" x14ac:dyDescent="0.2">
      <c r="A34"/>
      <c r="B34" s="2" t="s">
        <v>1009</v>
      </c>
      <c r="C34"/>
      <c r="D34"/>
      <c r="E34"/>
      <c r="L34"/>
    </row>
    <row r="35" spans="1:13" ht="18" customHeight="1" x14ac:dyDescent="0.2">
      <c r="L35" s="320"/>
      <c r="M35" s="321"/>
    </row>
    <row r="36" spans="1:13" ht="18" customHeight="1" x14ac:dyDescent="0.2">
      <c r="E36" s="320"/>
      <c r="I36" s="320"/>
      <c r="J36" s="320"/>
      <c r="K36" s="320"/>
      <c r="L36" s="320"/>
      <c r="M36" s="321"/>
    </row>
    <row r="37" spans="1:13" s="320" customFormat="1" ht="18" customHeight="1" x14ac:dyDescent="0.2">
      <c r="L37"/>
      <c r="M37" s="321"/>
    </row>
    <row r="38" spans="1:13" s="320" customFormat="1" ht="18" customHeight="1" x14ac:dyDescent="0.2">
      <c r="B38" s="321"/>
      <c r="C38" s="321"/>
      <c r="M38" s="321"/>
    </row>
    <row r="39" spans="1:13" ht="18" customHeight="1" x14ac:dyDescent="0.2">
      <c r="A39" s="320"/>
      <c r="B39" s="321"/>
      <c r="C39" s="321"/>
      <c r="D39" s="320"/>
      <c r="E39" s="320"/>
      <c r="L39" s="320"/>
      <c r="M39" s="321"/>
    </row>
    <row r="40" spans="1:13" s="320" customFormat="1" ht="18" customHeight="1" x14ac:dyDescent="0.2">
      <c r="B40" s="321"/>
      <c r="C40" s="321"/>
      <c r="D40"/>
      <c r="E40"/>
      <c r="I40"/>
      <c r="J40"/>
      <c r="K40"/>
      <c r="M40" s="321"/>
    </row>
    <row r="41" spans="1:13" s="320" customFormat="1" ht="18" customHeight="1" x14ac:dyDescent="0.2">
      <c r="B41" s="321"/>
      <c r="C41" s="321"/>
      <c r="D41" s="388">
        <f>NeoBerAfspr!D47</f>
        <v>0</v>
      </c>
      <c r="E41" s="320" t="s">
        <v>1011</v>
      </c>
      <c r="I41"/>
      <c r="J41"/>
      <c r="K41"/>
      <c r="L41"/>
      <c r="M41" s="321"/>
    </row>
    <row r="42" spans="1:13" s="320" customFormat="1" ht="18" customHeight="1" x14ac:dyDescent="0.2">
      <c r="B42" s="321"/>
      <c r="I42"/>
      <c r="J42"/>
      <c r="K42"/>
      <c r="L42"/>
      <c r="M42" s="321"/>
    </row>
    <row r="43" spans="1:13" ht="18" customHeight="1" x14ac:dyDescent="0.2">
      <c r="A43" s="320"/>
      <c r="B43" s="321"/>
      <c r="C43" s="320"/>
      <c r="D43" s="320"/>
      <c r="E43" s="320"/>
      <c r="M43" s="321"/>
    </row>
    <row r="44" spans="1:13" ht="18" customHeight="1" x14ac:dyDescent="0.2">
      <c r="B44" s="2" t="s">
        <v>736</v>
      </c>
      <c r="M44" s="321"/>
    </row>
    <row r="45" spans="1:13" ht="18" customHeight="1" x14ac:dyDescent="0.2">
      <c r="B45" s="321" t="s">
        <v>765</v>
      </c>
      <c r="C45" s="320" t="str">
        <f>IFERROR(LEFT(Var_Neo_AfsprControles,LEN(Var_Neo_AfsprControles)-3),"")</f>
        <v/>
      </c>
      <c r="M45" s="321"/>
    </row>
    <row r="46" spans="1:13" ht="18" customHeight="1" x14ac:dyDescent="0.2">
      <c r="B46" s="321" t="s">
        <v>771</v>
      </c>
      <c r="C46" s="320" t="str">
        <f>IFERROR(LEFT(Var_Neo_AfsprOnderzoek,LEN(Var_Neo_AfsprOnderzoek)-3),"")</f>
        <v/>
      </c>
      <c r="M46" s="321"/>
    </row>
    <row r="47" spans="1:13" ht="18" customHeight="1" x14ac:dyDescent="0.2">
      <c r="B47" s="321" t="s">
        <v>1009</v>
      </c>
      <c r="C47" s="320" t="str">
        <f>IFERROR(LEFT(Var_Neo_AfsprInstellingen,LEN(Var_Neo_AfsprInstellingen)-3),"")</f>
        <v/>
      </c>
      <c r="M47" s="321"/>
    </row>
    <row r="48" spans="1:13" ht="18" customHeight="1" x14ac:dyDescent="0.2">
      <c r="B48" s="321" t="s">
        <v>703</v>
      </c>
      <c r="C48" t="str">
        <f>IFERROR(LEFT(Var_Neo_AfsprKweken,LEN(Var_Neo_AfsprKweken)-3),"")</f>
        <v/>
      </c>
      <c r="M48" s="321"/>
    </row>
    <row r="49" spans="2:13" ht="18" customHeight="1" x14ac:dyDescent="0.2">
      <c r="B49" s="321" t="s">
        <v>749</v>
      </c>
      <c r="C49" s="320" t="str">
        <f>IFERROR(LEFT(Var_Neo_AfsprOverig,LEN(Var_Neo_AfsprOverig)-3),"")</f>
        <v/>
      </c>
      <c r="M49" s="321"/>
    </row>
    <row r="50" spans="2:13" ht="18" customHeight="1" x14ac:dyDescent="0.2">
      <c r="M50" s="320"/>
    </row>
    <row r="51" spans="2:13" ht="18" customHeight="1" x14ac:dyDescent="0.2">
      <c r="M51" s="321"/>
    </row>
    <row r="52" spans="2:13" ht="18" customHeight="1" x14ac:dyDescent="0.2">
      <c r="M52" s="321"/>
    </row>
    <row r="53" spans="2:13" ht="18" customHeight="1" x14ac:dyDescent="0.2">
      <c r="M53" s="321"/>
    </row>
    <row r="54" spans="2:13" ht="18" customHeight="1" x14ac:dyDescent="0.2">
      <c r="M54" s="321"/>
    </row>
    <row r="55" spans="2:13" ht="18" customHeight="1" x14ac:dyDescent="0.2">
      <c r="M55" s="321"/>
    </row>
    <row r="56" spans="2:13" ht="18" customHeight="1" x14ac:dyDescent="0.2">
      <c r="M56" s="320"/>
    </row>
    <row r="57" spans="2:13" ht="18" customHeight="1" x14ac:dyDescent="0.2">
      <c r="M57" s="320"/>
    </row>
    <row r="58" spans="2:13" ht="18" customHeight="1" x14ac:dyDescent="0.2">
      <c r="M58" s="327"/>
    </row>
    <row r="59" spans="2:13" ht="18" customHeight="1" x14ac:dyDescent="0.2"/>
    <row r="60" spans="2:13" ht="18" customHeight="1" x14ac:dyDescent="0.2"/>
    <row r="61" spans="2:13" ht="18" customHeight="1" x14ac:dyDescent="0.2"/>
    <row r="62" spans="2:13" ht="18" customHeight="1" x14ac:dyDescent="0.2"/>
    <row r="63" spans="2:13" ht="18" customHeight="1" x14ac:dyDescent="0.2"/>
    <row r="64" spans="2:13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ortState ref="Q6:R78">
    <sortCondition ref="Q6"/>
  </sortState>
  <mergeCells count="1">
    <mergeCell ref="G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Spinner 1">
              <controlPr defaultSize="0" autoPict="0">
                <anchor moveWithCells="1" sizeWithCells="1">
                  <from>
                    <xdr:col>9</xdr:col>
                    <xdr:colOff>409575</xdr:colOff>
                    <xdr:row>2</xdr:row>
                    <xdr:rowOff>0</xdr:rowOff>
                  </from>
                  <to>
                    <xdr:col>9</xdr:col>
                    <xdr:colOff>590550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5" name="Check Box 5">
              <controlPr defaultSize="0" autoFill="0" autoLine="0" autoPict="0">
                <anchor moveWithCells="1">
                  <from>
                    <xdr:col>5</xdr:col>
                    <xdr:colOff>9525</xdr:colOff>
                    <xdr:row>6</xdr:row>
                    <xdr:rowOff>19050</xdr:rowOff>
                  </from>
                  <to>
                    <xdr:col>5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6" name="Check Box 24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19050</xdr:rowOff>
                  </from>
                  <to>
                    <xdr:col>5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7" name="Check Box 29">
              <controlPr defaultSize="0" autoFill="0" autoLine="0" autoPict="0">
                <anchor moveWithCells="1">
                  <from>
                    <xdr:col>5</xdr:col>
                    <xdr:colOff>9525</xdr:colOff>
                    <xdr:row>12</xdr:row>
                    <xdr:rowOff>19050</xdr:rowOff>
                  </from>
                  <to>
                    <xdr:col>5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8" name="Check Box 30">
              <controlPr defaultSize="0" autoFill="0" autoLine="0" autoPict="0">
                <anchor moveWithCells="1">
                  <from>
                    <xdr:col>5</xdr:col>
                    <xdr:colOff>9525</xdr:colOff>
                    <xdr:row>13</xdr:row>
                    <xdr:rowOff>19050</xdr:rowOff>
                  </from>
                  <to>
                    <xdr:col>5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9" name="Check Box 31">
              <controlPr defaultSize="0" autoFill="0" autoLine="0" autoPict="0">
                <anchor moveWithCells="1">
                  <from>
                    <xdr:col>5</xdr:col>
                    <xdr:colOff>9525</xdr:colOff>
                    <xdr:row>14</xdr:row>
                    <xdr:rowOff>19050</xdr:rowOff>
                  </from>
                  <to>
                    <xdr:col>5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10" name="Check Box 33">
              <controlPr defaultSize="0" autoFill="0" autoLine="0" autoPict="0">
                <anchor moveWithCells="1">
                  <from>
                    <xdr:col>5</xdr:col>
                    <xdr:colOff>9525</xdr:colOff>
                    <xdr:row>16</xdr:row>
                    <xdr:rowOff>19050</xdr:rowOff>
                  </from>
                  <to>
                    <xdr:col>5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1" name="Check Box 34">
              <controlPr defaultSize="0" autoFill="0" autoLine="0" autoPict="0">
                <anchor moveWithCells="1">
                  <from>
                    <xdr:col>5</xdr:col>
                    <xdr:colOff>9525</xdr:colOff>
                    <xdr:row>17</xdr:row>
                    <xdr:rowOff>19050</xdr:rowOff>
                  </from>
                  <to>
                    <xdr:col>5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2" name="Check Box 37">
              <controlPr defaultSize="0" autoFill="0" autoLine="0" autoPict="0">
                <anchor moveWithCells="1">
                  <from>
                    <xdr:col>5</xdr:col>
                    <xdr:colOff>9525</xdr:colOff>
                    <xdr:row>20</xdr:row>
                    <xdr:rowOff>19050</xdr:rowOff>
                  </from>
                  <to>
                    <xdr:col>5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3" name="Check Box 38">
              <controlPr defaultSize="0" autoFill="0" autoLine="0" autoPict="0">
                <anchor moveWithCells="1">
                  <from>
                    <xdr:col>5</xdr:col>
                    <xdr:colOff>9525</xdr:colOff>
                    <xdr:row>21</xdr:row>
                    <xdr:rowOff>19050</xdr:rowOff>
                  </from>
                  <to>
                    <xdr:col>5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4" name="Check Box 41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5" name="Check Box 43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6" name="Check Box 44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7" name="Check Box 47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8" name="Check Box 48">
              <controlPr defaultSize="0" autoFill="0" autoLine="0" autoPict="0">
                <anchor moveWithCells="1">
                  <from>
                    <xdr:col>5</xdr:col>
                    <xdr:colOff>9525</xdr:colOff>
                    <xdr:row>11</xdr:row>
                    <xdr:rowOff>19050</xdr:rowOff>
                  </from>
                  <to>
                    <xdr:col>5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9" name="Check Box 4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20" name="Check Box 50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1" name="Check Box 52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2" name="Check Box 53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3" name="Check Box 54">
              <controlPr defaultSize="0" autoFill="0" autoLine="0" autoPict="0">
                <anchor moveWithCells="1">
                  <from>
                    <xdr:col>6</xdr:col>
                    <xdr:colOff>9525</xdr:colOff>
                    <xdr:row>19</xdr:row>
                    <xdr:rowOff>19050</xdr:rowOff>
                  </from>
                  <to>
                    <xdr:col>6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4" name="Check Box 55">
              <controlPr defaultSize="0" autoFill="0" autoLine="0" autoPict="0">
                <anchor moveWithCells="1">
                  <from>
                    <xdr:col>6</xdr:col>
                    <xdr:colOff>9525</xdr:colOff>
                    <xdr:row>18</xdr:row>
                    <xdr:rowOff>19050</xdr:rowOff>
                  </from>
                  <to>
                    <xdr:col>6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5" name="Check Box 5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6" name="Check Box 61">
              <controlPr defaultSize="0" autoFill="0" autoLine="0" autoPict="0">
                <anchor moveWithCells="1">
                  <from>
                    <xdr:col>5</xdr:col>
                    <xdr:colOff>9525</xdr:colOff>
                    <xdr:row>22</xdr:row>
                    <xdr:rowOff>19050</xdr:rowOff>
                  </from>
                  <to>
                    <xdr:col>5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7" name="Check Box 62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8" name="Check Box 63">
              <controlPr defaultSize="0" autoFill="0" autoLine="0" autoPict="0">
                <anchor moveWithCells="1">
                  <from>
                    <xdr:col>6</xdr:col>
                    <xdr:colOff>9525</xdr:colOff>
                    <xdr:row>23</xdr:row>
                    <xdr:rowOff>19050</xdr:rowOff>
                  </from>
                  <to>
                    <xdr:col>6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9" name="Check Box 64">
              <controlPr defaultSize="0" autoFill="0" autoLine="0" autoPict="0">
                <anchor moveWithCells="1">
                  <from>
                    <xdr:col>6</xdr:col>
                    <xdr:colOff>9525</xdr:colOff>
                    <xdr:row>24</xdr:row>
                    <xdr:rowOff>19050</xdr:rowOff>
                  </from>
                  <to>
                    <xdr:col>6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30" name="Check Box 65">
              <controlPr defaultSize="0" autoFill="0" autoLine="0" autoPict="0">
                <anchor moveWithCells="1">
                  <from>
                    <xdr:col>6</xdr:col>
                    <xdr:colOff>9525</xdr:colOff>
                    <xdr:row>25</xdr:row>
                    <xdr:rowOff>19050</xdr:rowOff>
                  </from>
                  <to>
                    <xdr:col>6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1" name="Check Box 66">
              <controlPr defaultSize="0" autoFill="0" autoLine="0" autoPict="0">
                <anchor moveWithCells="1">
                  <from>
                    <xdr:col>6</xdr:col>
                    <xdr:colOff>9525</xdr:colOff>
                    <xdr:row>26</xdr:row>
                    <xdr:rowOff>19050</xdr:rowOff>
                  </from>
                  <to>
                    <xdr:col>6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2" name="Check Box 67">
              <controlPr defaultSize="0" autoFill="0" autoLine="0" autoPict="0">
                <anchor moveWithCells="1">
                  <from>
                    <xdr:col>6</xdr:col>
                    <xdr:colOff>9525</xdr:colOff>
                    <xdr:row>27</xdr:row>
                    <xdr:rowOff>19050</xdr:rowOff>
                  </from>
                  <to>
                    <xdr:col>6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3" name="Check Box 68">
              <controlPr defaultSize="0" autoFill="0" autoLine="0" autoPict="0">
                <anchor moveWithCells="1">
                  <from>
                    <xdr:col>6</xdr:col>
                    <xdr:colOff>9525</xdr:colOff>
                    <xdr:row>28</xdr:row>
                    <xdr:rowOff>19050</xdr:rowOff>
                  </from>
                  <to>
                    <xdr:col>6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4" name="Check Box 69">
              <controlPr defaultSize="0" autoFill="0" autoLine="0" autoPict="0">
                <anchor moveWithCells="1">
                  <from>
                    <xdr:col>6</xdr:col>
                    <xdr:colOff>9525</xdr:colOff>
                    <xdr:row>29</xdr:row>
                    <xdr:rowOff>19050</xdr:rowOff>
                  </from>
                  <to>
                    <xdr:col>6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5" name="Check Box 112">
              <controlPr defaultSize="0" autoFill="0" autoLine="0" autoPict="0">
                <anchor moveWithCells="1">
                  <from>
                    <xdr:col>5</xdr:col>
                    <xdr:colOff>9525</xdr:colOff>
                    <xdr:row>30</xdr:row>
                    <xdr:rowOff>19050</xdr:rowOff>
                  </from>
                  <to>
                    <xdr:col>5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6" name="Check Box 1141">
              <controlPr defaultSize="0" autoFill="0" autoLine="0" autoPict="0">
                <anchor moveWithCells="1">
                  <from>
                    <xdr:col>8</xdr:col>
                    <xdr:colOff>9525</xdr:colOff>
                    <xdr:row>6</xdr:row>
                    <xdr:rowOff>19050</xdr:rowOff>
                  </from>
                  <to>
                    <xdr:col>8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7" name="Check Box 1142">
              <controlPr defaultSize="0" autoFill="0" autoLine="0" autoPict="0">
                <anchor moveWithCells="1">
                  <from>
                    <xdr:col>8</xdr:col>
                    <xdr:colOff>9525</xdr:colOff>
                    <xdr:row>8</xdr:row>
                    <xdr:rowOff>47625</xdr:rowOff>
                  </from>
                  <to>
                    <xdr:col>8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8" name="Check Box 1143">
              <controlPr defaultSize="0" autoFill="0" autoLine="0" autoPict="0">
                <anchor moveWithCells="1">
                  <from>
                    <xdr:col>8</xdr:col>
                    <xdr:colOff>9525</xdr:colOff>
                    <xdr:row>9</xdr:row>
                    <xdr:rowOff>19050</xdr:rowOff>
                  </from>
                  <to>
                    <xdr:col>8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9" name="Check Box 1144">
              <controlPr defaultSize="0" autoFill="0" autoLine="0" autoPict="0">
                <anchor moveWithCells="1">
                  <from>
                    <xdr:col>8</xdr:col>
                    <xdr:colOff>9525</xdr:colOff>
                    <xdr:row>10</xdr:row>
                    <xdr:rowOff>19050</xdr:rowOff>
                  </from>
                  <to>
                    <xdr:col>8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40" name="Check Box 1146">
              <controlPr defaultSize="0" autoFill="0" autoLine="0" autoPict="0">
                <anchor moveWithCells="1">
                  <from>
                    <xdr:col>8</xdr:col>
                    <xdr:colOff>9525</xdr:colOff>
                    <xdr:row>11</xdr:row>
                    <xdr:rowOff>19050</xdr:rowOff>
                  </from>
                  <to>
                    <xdr:col>8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1" name="Check Box 1147">
              <controlPr defaultSize="0" autoFill="0" autoLine="0" autoPict="0">
                <anchor moveWithCells="1">
                  <from>
                    <xdr:col>8</xdr:col>
                    <xdr:colOff>9525</xdr:colOff>
                    <xdr:row>12</xdr:row>
                    <xdr:rowOff>19050</xdr:rowOff>
                  </from>
                  <to>
                    <xdr:col>8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2" name="Check Box 1148">
              <controlPr defaultSize="0" autoFill="0" autoLine="0" autoPict="0">
                <anchor moveWithCells="1">
                  <from>
                    <xdr:col>8</xdr:col>
                    <xdr:colOff>9525</xdr:colOff>
                    <xdr:row>13</xdr:row>
                    <xdr:rowOff>19050</xdr:rowOff>
                  </from>
                  <to>
                    <xdr:col>8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3" name="Check Box 1149">
              <controlPr defaultSize="0" autoFill="0" autoLine="0" autoPict="0">
                <anchor moveWithCells="1">
                  <from>
                    <xdr:col>8</xdr:col>
                    <xdr:colOff>9525</xdr:colOff>
                    <xdr:row>14</xdr:row>
                    <xdr:rowOff>19050</xdr:rowOff>
                  </from>
                  <to>
                    <xdr:col>8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4" name="Check Box 1150">
              <controlPr defaultSize="0" autoFill="0" autoLine="0" autoPict="0">
                <anchor moveWithCells="1">
                  <from>
                    <xdr:col>8</xdr:col>
                    <xdr:colOff>9525</xdr:colOff>
                    <xdr:row>15</xdr:row>
                    <xdr:rowOff>19050</xdr:rowOff>
                  </from>
                  <to>
                    <xdr:col>8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5" name="Check Box 1153">
              <controlPr defaultSize="0" autoFill="0" autoLine="0" autoPict="0">
                <anchor moveWithCells="1">
                  <from>
                    <xdr:col>8</xdr:col>
                    <xdr:colOff>9525</xdr:colOff>
                    <xdr:row>17</xdr:row>
                    <xdr:rowOff>19050</xdr:rowOff>
                  </from>
                  <to>
                    <xdr:col>8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6" name="Check Box 1155">
              <controlPr defaultSize="0" autoFill="0" autoLine="0" autoPict="0">
                <anchor moveWithCells="1">
                  <from>
                    <xdr:col>8</xdr:col>
                    <xdr:colOff>9525</xdr:colOff>
                    <xdr:row>16</xdr:row>
                    <xdr:rowOff>19050</xdr:rowOff>
                  </from>
                  <to>
                    <xdr:col>8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7" name="Check Box 1156">
              <controlPr defaultSize="0" autoFill="0" autoLine="0" autoPict="0">
                <anchor moveWithCells="1">
                  <from>
                    <xdr:col>8</xdr:col>
                    <xdr:colOff>9525</xdr:colOff>
                    <xdr:row>22</xdr:row>
                    <xdr:rowOff>19050</xdr:rowOff>
                  </from>
                  <to>
                    <xdr:col>8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8" name="Check Box 1157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923925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9" name="Check Box 1158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923925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50" name="Check Box 1159">
              <controlPr defaultSize="0" autoFill="0" autoLine="0" autoPict="0">
                <anchor moveWithCells="1">
                  <from>
                    <xdr:col>9</xdr:col>
                    <xdr:colOff>9525</xdr:colOff>
                    <xdr:row>24</xdr:row>
                    <xdr:rowOff>19050</xdr:rowOff>
                  </from>
                  <to>
                    <xdr:col>9</xdr:col>
                    <xdr:colOff>923925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1" name="Check Box 1160">
              <controlPr defaultSize="0" autoFill="0" autoLine="0" autoPict="0">
                <anchor moveWithCells="1">
                  <from>
                    <xdr:col>9</xdr:col>
                    <xdr:colOff>9525</xdr:colOff>
                    <xdr:row>25</xdr:row>
                    <xdr:rowOff>19050</xdr:rowOff>
                  </from>
                  <to>
                    <xdr:col>9</xdr:col>
                    <xdr:colOff>923925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2" name="Check Box 1161">
              <controlPr defaultSize="0" autoFill="0" autoLine="0" autoPict="0">
                <anchor moveWithCells="1">
                  <from>
                    <xdr:col>8</xdr:col>
                    <xdr:colOff>9525</xdr:colOff>
                    <xdr:row>18</xdr:row>
                    <xdr:rowOff>19050</xdr:rowOff>
                  </from>
                  <to>
                    <xdr:col>8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3" name="Check Box 1163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923925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4" name="Check Box 1164">
              <controlPr defaultSize="0" autoFill="0" autoLine="0" autoPict="0">
                <anchor moveWithCells="1">
                  <from>
                    <xdr:col>9</xdr:col>
                    <xdr:colOff>9525</xdr:colOff>
                    <xdr:row>20</xdr:row>
                    <xdr:rowOff>19050</xdr:rowOff>
                  </from>
                  <to>
                    <xdr:col>9</xdr:col>
                    <xdr:colOff>923925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5" name="Check Box 1165">
              <controlPr defaultSize="0" autoFill="0" autoLine="0" autoPict="0">
                <anchor moveWithCells="1">
                  <from>
                    <xdr:col>9</xdr:col>
                    <xdr:colOff>9525</xdr:colOff>
                    <xdr:row>21</xdr:row>
                    <xdr:rowOff>19050</xdr:rowOff>
                  </from>
                  <to>
                    <xdr:col>9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6" name="Spinner 1166">
              <controlPr defaultSize="0" autoPict="0">
                <anchor moveWithCells="1" sizeWithCells="1">
                  <from>
                    <xdr:col>2</xdr:col>
                    <xdr:colOff>533400</xdr:colOff>
                    <xdr:row>11</xdr:row>
                    <xdr:rowOff>28575</xdr:rowOff>
                  </from>
                  <to>
                    <xdr:col>2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7" name="Spinner 1168">
              <controlPr defaultSize="0" autoPict="0">
                <anchor moveWithCells="1" sizeWithCells="1">
                  <from>
                    <xdr:col>9</xdr:col>
                    <xdr:colOff>752475</xdr:colOff>
                    <xdr:row>16</xdr:row>
                    <xdr:rowOff>38100</xdr:rowOff>
                  </from>
                  <to>
                    <xdr:col>9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8" name="Spinner 1169">
              <controlPr defaultSize="0" autoPict="0">
                <anchor moveWithCells="1" sizeWithCells="1">
                  <from>
                    <xdr:col>10</xdr:col>
                    <xdr:colOff>628650</xdr:colOff>
                    <xdr:row>16</xdr:row>
                    <xdr:rowOff>19050</xdr:rowOff>
                  </from>
                  <to>
                    <xdr:col>10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9" name="Check Box 1170">
              <controlPr defaultSize="0" autoFill="0" autoLine="0" autoPict="0">
                <anchor moveWithCells="1">
                  <from>
                    <xdr:col>1</xdr:col>
                    <xdr:colOff>9525</xdr:colOff>
                    <xdr:row>26</xdr:row>
                    <xdr:rowOff>19050</xdr:rowOff>
                  </from>
                  <to>
                    <xdr:col>1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60" name="Check Box 1171">
              <controlPr defaultSize="0" autoFill="0" autoLine="0" autoPict="0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1" name="Check Box 1172">
              <controlPr defaultSize="0" autoFill="0" autoLine="0" autoPict="0">
                <anchor moveWithCells="1">
                  <from>
                    <xdr:col>1</xdr:col>
                    <xdr:colOff>9525</xdr:colOff>
                    <xdr:row>28</xdr:row>
                    <xdr:rowOff>28575</xdr:rowOff>
                  </from>
                  <to>
                    <xdr:col>1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2" name="Check Box 1173">
              <controlPr defaultSize="0" autoFill="0" autoLine="0" autoPict="0">
                <anchor moveWithCells="1">
                  <from>
                    <xdr:col>1</xdr:col>
                    <xdr:colOff>9525</xdr:colOff>
                    <xdr:row>29</xdr:row>
                    <xdr:rowOff>19050</xdr:rowOff>
                  </from>
                  <to>
                    <xdr:col>1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3" name="Check Box 1176">
              <controlPr defaultSize="0" autoFill="0" autoLine="0" autoPict="0">
                <anchor moveWithCells="1">
                  <from>
                    <xdr:col>1</xdr:col>
                    <xdr:colOff>9525</xdr:colOff>
                    <xdr:row>34</xdr:row>
                    <xdr:rowOff>19050</xdr:rowOff>
                  </from>
                  <to>
                    <xdr:col>1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4" name="Check Box 117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0</xdr:rowOff>
                  </from>
                  <to>
                    <xdr:col>2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5" name="Check Box 1178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0</xdr:rowOff>
                  </from>
                  <to>
                    <xdr:col>2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6" name="Drop Down 1179">
              <controlPr defaultSize="0" autoLine="0" autoPict="0">
                <anchor moveWithCells="1">
                  <from>
                    <xdr:col>2</xdr:col>
                    <xdr:colOff>9525</xdr:colOff>
                    <xdr:row>34</xdr:row>
                    <xdr:rowOff>9525</xdr:rowOff>
                  </from>
                  <to>
                    <xdr:col>2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7" name="Check Box 1187">
              <controlPr defaultSize="0" autoFill="0" autoLine="0" autoPict="0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8" name="Drop Down 1190">
              <controlPr defaultSize="0" autoLine="0" autoPict="0">
                <anchor moveWithCells="1">
                  <from>
                    <xdr:col>2</xdr:col>
                    <xdr:colOff>9525</xdr:colOff>
                    <xdr:row>35</xdr:row>
                    <xdr:rowOff>9525</xdr:rowOff>
                  </from>
                  <to>
                    <xdr:col>2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9" name="Check Box 1193">
              <controlPr defaultSize="0" autoFill="0" autoLine="0" autoPict="0">
                <anchor moveWithCells="1">
                  <from>
                    <xdr:col>1</xdr:col>
                    <xdr:colOff>9525</xdr:colOff>
                    <xdr:row>6</xdr:row>
                    <xdr:rowOff>19050</xdr:rowOff>
                  </from>
                  <to>
                    <xdr:col>1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70" name="Check Box 1197">
              <controlPr defaultSize="0" autoFill="0" autoLine="0" autoPict="0">
                <anchor moveWithCells="1">
                  <from>
                    <xdr:col>1</xdr:col>
                    <xdr:colOff>9525</xdr:colOff>
                    <xdr:row>7</xdr:row>
                    <xdr:rowOff>19050</xdr:rowOff>
                  </from>
                  <to>
                    <xdr:col>1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1" name="Check Box 1198">
              <controlPr defaultSize="0" autoFill="0" autoLine="0" autoPict="0">
                <anchor moveWithCells="1">
                  <from>
                    <xdr:col>1</xdr:col>
                    <xdr:colOff>9525</xdr:colOff>
                    <xdr:row>8</xdr:row>
                    <xdr:rowOff>19050</xdr:rowOff>
                  </from>
                  <to>
                    <xdr:col>1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2" name="Check Box 1201">
              <controlPr defaultSize="0" autoFill="0" autoLine="0" autoPict="0">
                <anchor moveWithCells="1">
                  <from>
                    <xdr:col>1</xdr:col>
                    <xdr:colOff>9525</xdr:colOff>
                    <xdr:row>10</xdr:row>
                    <xdr:rowOff>19050</xdr:rowOff>
                  </from>
                  <to>
                    <xdr:col>1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3" name="Check Box 1205">
              <controlPr defaultSize="0" autoFill="0" autoLine="0" autoPict="0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4" name="Drop Down 1206">
              <controlPr defaultSize="0" autoLine="0" autoPict="0">
                <anchor moveWithCells="1">
                  <from>
                    <xdr:col>2</xdr:col>
                    <xdr:colOff>9525</xdr:colOff>
                    <xdr:row>21</xdr:row>
                    <xdr:rowOff>9525</xdr:rowOff>
                  </from>
                  <to>
                    <xdr:col>2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5" name="Check Box 1207">
              <controlPr defaultSize="0" autoFill="0" autoLine="0" autoPict="0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6" name="Check Box 1209">
              <controlPr defaultSize="0" autoFill="0" autoLine="0" autoPict="0">
                <anchor moveWithCells="1">
                  <from>
                    <xdr:col>1</xdr:col>
                    <xdr:colOff>9525</xdr:colOff>
                    <xdr:row>24</xdr:row>
                    <xdr:rowOff>19050</xdr:rowOff>
                  </from>
                  <to>
                    <xdr:col>1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7" name="Check Box 1210">
              <controlPr defaultSize="0" autoFill="0" autoLine="0" autoPict="0">
                <anchor moveWithCells="1">
                  <from>
                    <xdr:col>1</xdr:col>
                    <xdr:colOff>9525</xdr:colOff>
                    <xdr:row>25</xdr:row>
                    <xdr:rowOff>19050</xdr:rowOff>
                  </from>
                  <to>
                    <xdr:col>1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8" name="Check Box 1211">
              <controlPr defaultSize="0" autoFill="0" autoLine="0" autoPict="0">
                <anchor moveWithCells="1">
                  <from>
                    <xdr:col>1</xdr:col>
                    <xdr:colOff>9525</xdr:colOff>
                    <xdr:row>23</xdr:row>
                    <xdr:rowOff>19050</xdr:rowOff>
                  </from>
                  <to>
                    <xdr:col>1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9" name="Check Box 1214">
              <controlPr defaultSize="0" autoFill="0" autoLine="0" autoPict="0">
                <anchor moveWithCells="1">
                  <from>
                    <xdr:col>1</xdr:col>
                    <xdr:colOff>9525</xdr:colOff>
                    <xdr:row>30</xdr:row>
                    <xdr:rowOff>19050</xdr:rowOff>
                  </from>
                  <to>
                    <xdr:col>1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80" name="Check Box 1215">
              <controlPr defaultSize="0" autoFill="0" autoLine="0" autoPict="0">
                <anchor moveWithCells="1">
                  <from>
                    <xdr:col>1</xdr:col>
                    <xdr:colOff>9525</xdr:colOff>
                    <xdr:row>31</xdr:row>
                    <xdr:rowOff>19050</xdr:rowOff>
                  </from>
                  <to>
                    <xdr:col>1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1" name="Check Box 1219">
              <controlPr defaultSize="0" autoFill="0" autoLine="0" autoPict="0">
                <anchor moveWithCells="1">
                  <from>
                    <xdr:col>1</xdr:col>
                    <xdr:colOff>9525</xdr:colOff>
                    <xdr:row>11</xdr:row>
                    <xdr:rowOff>19050</xdr:rowOff>
                  </from>
                  <to>
                    <xdr:col>1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2" name="Check Box 1225">
              <controlPr defaultSize="0" autoFill="0" autoLine="0" autoPict="0">
                <anchor moveWithCells="1">
                  <from>
                    <xdr:col>1</xdr:col>
                    <xdr:colOff>9525</xdr:colOff>
                    <xdr:row>15</xdr:row>
                    <xdr:rowOff>19050</xdr:rowOff>
                  </from>
                  <to>
                    <xdr:col>1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3" name="Check Box 1226">
              <controlPr defaultSize="0" autoFill="0" autoLine="0" autoPict="0">
                <anchor moveWithCells="1">
                  <from>
                    <xdr:col>1</xdr:col>
                    <xdr:colOff>9525</xdr:colOff>
                    <xdr:row>16</xdr:row>
                    <xdr:rowOff>19050</xdr:rowOff>
                  </from>
                  <to>
                    <xdr:col>1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4" name="Check Box 1227">
              <controlPr defaultSize="0" autoFill="0" autoLine="0" autoPict="0">
                <anchor moveWithCells="1">
                  <from>
                    <xdr:col>1</xdr:col>
                    <xdr:colOff>9525</xdr:colOff>
                    <xdr:row>17</xdr:row>
                    <xdr:rowOff>19050</xdr:rowOff>
                  </from>
                  <to>
                    <xdr:col>1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5" name="Check Box 1229">
              <controlPr defaultSize="0" autoFill="0" autoLine="0" autoPict="0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6" name="Check Box 1231">
              <controlPr defaultSize="0" autoFill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3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7" name="Check Box 1232">
              <controlPr defaultSize="0" autoFill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3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8" name="Check Box 1233">
              <controlPr defaultSize="0" autoFill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3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9" name="Check Box 1234">
              <controlPr defaultSize="0" autoFill="0" autoLine="0" autoPict="0">
                <anchor moveWithCells="1">
                  <from>
                    <xdr:col>3</xdr:col>
                    <xdr:colOff>9525</xdr:colOff>
                    <xdr:row>14</xdr:row>
                    <xdr:rowOff>19050</xdr:rowOff>
                  </from>
                  <to>
                    <xdr:col>3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90" name="Spinner 1235">
              <controlPr defaultSize="0" autoPict="0">
                <anchor moveWithCells="1" sizeWithCells="1">
                  <from>
                    <xdr:col>3</xdr:col>
                    <xdr:colOff>752475</xdr:colOff>
                    <xdr:row>26</xdr:row>
                    <xdr:rowOff>28575</xdr:rowOff>
                  </from>
                  <to>
                    <xdr:col>3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1" name="Drop Down 1237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2" name="Drop Down 1238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3" name="Drop Down 123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4" name="Drop Down 124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5" name="Check Box 1241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0</xdr:rowOff>
                  </from>
                  <to>
                    <xdr:col>2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6" name="Check Box 1242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0</xdr:rowOff>
                  </from>
                  <to>
                    <xdr:col>2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7" name="Check Box 1243">
              <controlPr defaultSize="0" autoFill="0" autoLine="0" autoPict="0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8" name="Drop Down 1244">
              <controlPr defaultSize="0" autoLine="0" autoPict="0">
                <anchor moveWithCells="1">
                  <from>
                    <xdr:col>2</xdr:col>
                    <xdr:colOff>9525</xdr:colOff>
                    <xdr:row>36</xdr:row>
                    <xdr:rowOff>9525</xdr:rowOff>
                  </from>
                  <to>
                    <xdr:col>2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9" name="Drop Down 1245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100" name="Drop Down 1246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1" name="Check Box 1247">
              <controlPr defaultSize="0" autoFill="0" autoLine="0" autoPict="0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2" name="Check Box 1249">
              <controlPr defaultSize="0" autoFill="0" autoLine="0" autoPict="0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3" name="Check Box 1250">
              <controlPr defaultSize="0" autoFill="0" autoLine="0" autoPict="0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4" name="Check Box 1251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3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5" name="Check Box 1252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3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6" name="Check Box 1253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3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7" name="Drop Down 1255">
              <controlPr defaultSize="0" autoLine="0" autoPict="0">
                <anchor moveWithCells="1">
                  <from>
                    <xdr:col>2</xdr:col>
                    <xdr:colOff>9525</xdr:colOff>
                    <xdr:row>40</xdr:row>
                    <xdr:rowOff>9525</xdr:rowOff>
                  </from>
                  <to>
                    <xdr:col>2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8" name="Spinner 1256">
              <controlPr defaultSize="0" autoPict="0">
                <anchor moveWithCells="1" sizeWithCells="1">
                  <from>
                    <xdr:col>3</xdr:col>
                    <xdr:colOff>533400</xdr:colOff>
                    <xdr:row>40</xdr:row>
                    <xdr:rowOff>28575</xdr:rowOff>
                  </from>
                  <to>
                    <xdr:col>3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9" name="Check Box 1257">
              <controlPr defaultSize="0" autoFill="0" autoLine="0" autoPict="0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10" name="Check Box 1258">
              <controlPr defaultSize="0" autoFill="0" autoLine="0" autoPict="0">
                <anchor moveWithCells="1">
                  <from>
                    <xdr:col>9</xdr:col>
                    <xdr:colOff>9525</xdr:colOff>
                    <xdr:row>26</xdr:row>
                    <xdr:rowOff>19050</xdr:rowOff>
                  </from>
                  <to>
                    <xdr:col>10</xdr:col>
                    <xdr:colOff>190500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1" name="Spinner 1259">
              <controlPr defaultSize="0" autoPict="0">
                <anchor moveWithCells="1" sizeWithCells="1">
                  <from>
                    <xdr:col>2</xdr:col>
                    <xdr:colOff>533400</xdr:colOff>
                    <xdr:row>7</xdr:row>
                    <xdr:rowOff>28575</xdr:rowOff>
                  </from>
                  <to>
                    <xdr:col>2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2" name="Spinner 1260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3" name="Drop Down 1261">
              <controlPr defaultSize="0" autoLine="0" autoPict="0">
                <anchor moveWithCells="1">
                  <from>
                    <xdr:col>3</xdr:col>
                    <xdr:colOff>9525</xdr:colOff>
                    <xdr:row>7</xdr:row>
                    <xdr:rowOff>9525</xdr:rowOff>
                  </from>
                  <to>
                    <xdr:col>3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4" name="Drop Down 1262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3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5" name="Spinner 1263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6" name="Spinner 1264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7" name="Spinner 1265">
              <controlPr defaultSize="0" autoPict="0">
                <anchor moveWithCells="1" sizeWithCells="1">
                  <from>
                    <xdr:col>9</xdr:col>
                    <xdr:colOff>628650</xdr:colOff>
                    <xdr:row>18</xdr:row>
                    <xdr:rowOff>28575</xdr:rowOff>
                  </from>
                  <to>
                    <xdr:col>9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8" name="Check Box 1266">
              <controlPr defaultSize="0" autoFill="0" autoLine="0" autoPict="0">
                <anchor moveWithCells="1">
                  <from>
                    <xdr:col>8</xdr:col>
                    <xdr:colOff>9525</xdr:colOff>
                    <xdr:row>7</xdr:row>
                    <xdr:rowOff>19050</xdr:rowOff>
                  </from>
                  <to>
                    <xdr:col>8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9" name="Spinner 1267">
              <controlPr defaultSize="0" autoPict="0">
                <anchor moveWithCells="1" sizeWithCells="1">
                  <from>
                    <xdr:col>9</xdr:col>
                    <xdr:colOff>676275</xdr:colOff>
                    <xdr:row>7</xdr:row>
                    <xdr:rowOff>28575</xdr:rowOff>
                  </from>
                  <to>
                    <xdr:col>9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20" name="Check Box 1268">
              <controlPr defaultSize="0" autoFill="0" autoLine="0" autoPict="0">
                <anchor moveWithCells="1">
                  <from>
                    <xdr:col>1</xdr:col>
                    <xdr:colOff>9525</xdr:colOff>
                    <xdr:row>9</xdr:row>
                    <xdr:rowOff>19050</xdr:rowOff>
                  </from>
                  <to>
                    <xdr:col>1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1" name="Spinner 1269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2" name="Drop Down 1270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9525</xdr:rowOff>
                  </from>
                  <to>
                    <xdr:col>3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3" name="Spinner 1271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4" name="Spinner 1272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D27" sqref="D27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326"/>
    <col min="5" max="5" width="17.85546875" customWidth="1"/>
    <col min="7" max="7" width="37.42578125" bestFit="1" customWidth="1"/>
    <col min="8" max="8" width="9.140625" style="320" customWidth="1"/>
    <col min="9" max="9" width="28" style="351" bestFit="1" customWidth="1"/>
    <col min="11" max="11" width="13.5703125" customWidth="1"/>
  </cols>
  <sheetData>
    <row r="1" spans="1:13" x14ac:dyDescent="0.2">
      <c r="A1" s="361"/>
    </row>
    <row r="6" spans="1:13" x14ac:dyDescent="0.2">
      <c r="A6" s="371" t="s">
        <v>765</v>
      </c>
      <c r="E6" s="2" t="s">
        <v>703</v>
      </c>
      <c r="I6" s="349" t="s">
        <v>749</v>
      </c>
    </row>
    <row r="7" spans="1:13" x14ac:dyDescent="0.2">
      <c r="A7" s="321" t="s">
        <v>698</v>
      </c>
      <c r="B7" s="361" t="b">
        <v>0</v>
      </c>
      <c r="E7" t="s">
        <v>705</v>
      </c>
      <c r="F7" s="361" t="b">
        <v>0</v>
      </c>
      <c r="I7" s="350" t="s">
        <v>735</v>
      </c>
      <c r="J7" s="361" t="b">
        <v>0</v>
      </c>
    </row>
    <row r="8" spans="1:13" x14ac:dyDescent="0.2">
      <c r="A8" s="321" t="s">
        <v>286</v>
      </c>
      <c r="B8" s="361" t="b">
        <v>0</v>
      </c>
      <c r="C8" s="365">
        <v>0</v>
      </c>
      <c r="D8" s="521">
        <v>1</v>
      </c>
      <c r="E8" t="s">
        <v>706</v>
      </c>
      <c r="F8" s="361" t="b">
        <v>0</v>
      </c>
      <c r="G8" t="s">
        <v>707</v>
      </c>
      <c r="H8" s="361" t="b">
        <v>0</v>
      </c>
      <c r="I8" s="350" t="s">
        <v>927</v>
      </c>
      <c r="J8" s="361" t="b">
        <v>0</v>
      </c>
      <c r="M8" s="320"/>
    </row>
    <row r="9" spans="1:13" x14ac:dyDescent="0.2">
      <c r="A9" s="321" t="s">
        <v>136</v>
      </c>
      <c r="B9" s="361" t="b">
        <v>0</v>
      </c>
      <c r="C9" s="361">
        <v>0</v>
      </c>
      <c r="D9" s="362">
        <v>1</v>
      </c>
      <c r="G9" t="s">
        <v>708</v>
      </c>
      <c r="H9" s="361" t="b">
        <v>0</v>
      </c>
      <c r="I9" s="350" t="s">
        <v>743</v>
      </c>
      <c r="J9" s="361" t="b">
        <v>0</v>
      </c>
      <c r="M9" s="320"/>
    </row>
    <row r="10" spans="1:13" x14ac:dyDescent="0.2">
      <c r="A10" s="321" t="s">
        <v>689</v>
      </c>
      <c r="B10" s="361" t="b">
        <v>0</v>
      </c>
      <c r="G10" t="s">
        <v>709</v>
      </c>
      <c r="H10" s="361" t="b">
        <v>0</v>
      </c>
      <c r="I10" s="350" t="s">
        <v>699</v>
      </c>
      <c r="J10" s="361" t="b">
        <v>0</v>
      </c>
      <c r="M10" s="320"/>
    </row>
    <row r="11" spans="1:13" x14ac:dyDescent="0.2">
      <c r="A11" s="321" t="s">
        <v>823</v>
      </c>
      <c r="B11" s="361" t="b">
        <v>0</v>
      </c>
      <c r="C11" s="321" t="s">
        <v>767</v>
      </c>
      <c r="D11" s="362" t="b">
        <v>0</v>
      </c>
      <c r="G11" t="s">
        <v>710</v>
      </c>
      <c r="H11" s="361" t="b">
        <v>0</v>
      </c>
      <c r="I11" s="350"/>
      <c r="J11" s="361" t="b">
        <v>0</v>
      </c>
      <c r="M11" s="320"/>
    </row>
    <row r="12" spans="1:13" x14ac:dyDescent="0.2">
      <c r="A12" s="321" t="s">
        <v>825</v>
      </c>
      <c r="B12" s="466">
        <v>0</v>
      </c>
      <c r="C12" s="346" t="s">
        <v>768</v>
      </c>
      <c r="D12" s="362" t="b">
        <v>0</v>
      </c>
      <c r="E12" s="321" t="s">
        <v>711</v>
      </c>
      <c r="F12" s="361" t="b">
        <v>0</v>
      </c>
      <c r="I12" s="350" t="s">
        <v>744</v>
      </c>
      <c r="J12" s="361" t="b">
        <v>0</v>
      </c>
      <c r="M12" s="320"/>
    </row>
    <row r="13" spans="1:13" x14ac:dyDescent="0.2">
      <c r="C13" s="321" t="s">
        <v>769</v>
      </c>
      <c r="D13" s="362" t="b">
        <v>0</v>
      </c>
      <c r="E13" s="321" t="s">
        <v>712</v>
      </c>
      <c r="F13" s="361" t="b">
        <v>0</v>
      </c>
      <c r="G13" t="s">
        <v>719</v>
      </c>
      <c r="H13" s="361" t="b">
        <v>0</v>
      </c>
      <c r="I13" s="350" t="s">
        <v>695</v>
      </c>
      <c r="J13" s="361" t="b">
        <v>0</v>
      </c>
      <c r="M13" s="320"/>
    </row>
    <row r="14" spans="1:13" x14ac:dyDescent="0.2">
      <c r="C14" s="321" t="s">
        <v>770</v>
      </c>
      <c r="D14" s="362" t="b">
        <v>0</v>
      </c>
      <c r="E14" s="321" t="s">
        <v>713</v>
      </c>
      <c r="F14" s="361" t="b">
        <v>0</v>
      </c>
      <c r="I14" s="350" t="s">
        <v>696</v>
      </c>
      <c r="J14" s="361" t="b">
        <v>0</v>
      </c>
      <c r="M14" s="320"/>
    </row>
    <row r="15" spans="1:13" x14ac:dyDescent="0.2">
      <c r="A15" s="321" t="s">
        <v>824</v>
      </c>
      <c r="B15" s="361" t="b">
        <v>0</v>
      </c>
      <c r="E15" s="321" t="s">
        <v>714</v>
      </c>
      <c r="F15" s="361" t="b">
        <v>0</v>
      </c>
      <c r="G15" t="s">
        <v>720</v>
      </c>
      <c r="H15" s="361" t="b">
        <v>0</v>
      </c>
      <c r="I15" s="350" t="s">
        <v>697</v>
      </c>
      <c r="J15" s="361" t="b">
        <v>0</v>
      </c>
      <c r="M15" s="320"/>
    </row>
    <row r="16" spans="1:13" x14ac:dyDescent="0.2">
      <c r="A16" t="s">
        <v>691</v>
      </c>
      <c r="B16" s="361" t="b">
        <v>0</v>
      </c>
      <c r="E16" s="320"/>
      <c r="G16" t="s">
        <v>721</v>
      </c>
      <c r="H16" s="361" t="b">
        <v>0</v>
      </c>
      <c r="I16" s="350" t="s">
        <v>748</v>
      </c>
      <c r="J16" s="361" t="b">
        <v>0</v>
      </c>
      <c r="M16" s="320"/>
    </row>
    <row r="17" spans="1:13" x14ac:dyDescent="0.2">
      <c r="A17" s="321" t="s">
        <v>690</v>
      </c>
      <c r="B17" s="361" t="b">
        <v>0</v>
      </c>
      <c r="E17" s="321" t="s">
        <v>410</v>
      </c>
      <c r="F17" s="361" t="b">
        <v>0</v>
      </c>
      <c r="I17" s="350" t="s">
        <v>928</v>
      </c>
      <c r="J17" s="361" t="b">
        <v>0</v>
      </c>
      <c r="K17" s="365">
        <v>0</v>
      </c>
      <c r="L17" s="365">
        <v>0</v>
      </c>
      <c r="M17" s="320"/>
    </row>
    <row r="18" spans="1:13" x14ac:dyDescent="0.2">
      <c r="A18" s="321" t="s">
        <v>694</v>
      </c>
      <c r="B18" s="361" t="b">
        <v>0</v>
      </c>
      <c r="C18" s="361">
        <v>0</v>
      </c>
      <c r="D18" s="362">
        <v>1</v>
      </c>
      <c r="E18" s="321" t="s">
        <v>715</v>
      </c>
      <c r="F18" s="361" t="b">
        <v>0</v>
      </c>
      <c r="G18" t="s">
        <v>722</v>
      </c>
      <c r="H18" s="361" t="b">
        <v>0</v>
      </c>
      <c r="I18" s="350" t="s">
        <v>410</v>
      </c>
      <c r="J18" s="361" t="b">
        <v>0</v>
      </c>
      <c r="M18" s="320"/>
    </row>
    <row r="19" spans="1:13" x14ac:dyDescent="0.2">
      <c r="A19" s="321" t="s">
        <v>692</v>
      </c>
      <c r="B19" s="361" t="b">
        <v>0</v>
      </c>
      <c r="E19" s="320"/>
      <c r="G19" t="s">
        <v>723</v>
      </c>
      <c r="H19" s="361" t="b">
        <v>0</v>
      </c>
      <c r="I19" s="350" t="s">
        <v>745</v>
      </c>
      <c r="J19" s="361" t="b">
        <v>0</v>
      </c>
      <c r="M19" s="320"/>
    </row>
    <row r="20" spans="1:13" x14ac:dyDescent="0.2">
      <c r="E20" s="320"/>
      <c r="G20" t="s">
        <v>724</v>
      </c>
      <c r="H20" s="361" t="b">
        <v>0</v>
      </c>
      <c r="I20" s="350" t="s">
        <v>929</v>
      </c>
      <c r="J20" s="361" t="b">
        <v>0</v>
      </c>
      <c r="K20" s="522">
        <v>0</v>
      </c>
      <c r="L20" s="365"/>
      <c r="M20" s="320"/>
    </row>
    <row r="21" spans="1:13" x14ac:dyDescent="0.2">
      <c r="A21" s="2" t="s">
        <v>771</v>
      </c>
      <c r="B21" s="361"/>
      <c r="E21" s="321" t="s">
        <v>716</v>
      </c>
      <c r="F21" s="361" t="b">
        <v>0</v>
      </c>
      <c r="I21" s="350"/>
      <c r="J21" s="320"/>
      <c r="K21" s="321" t="s">
        <v>930</v>
      </c>
      <c r="L21" s="361" t="b">
        <v>0</v>
      </c>
      <c r="M21" s="320"/>
    </row>
    <row r="22" spans="1:13" x14ac:dyDescent="0.2">
      <c r="A22" s="321" t="s">
        <v>704</v>
      </c>
      <c r="B22" s="361" t="b">
        <v>0</v>
      </c>
      <c r="C22" t="str">
        <f>IF(OR(D22=0,D22=1,D22=""),"",INDEX(tbl_Ped_aEEG,D22,1))</f>
        <v/>
      </c>
      <c r="D22" s="362">
        <v>1</v>
      </c>
      <c r="E22" s="321" t="s">
        <v>717</v>
      </c>
      <c r="F22" s="361" t="b">
        <v>0</v>
      </c>
      <c r="G22" t="s">
        <v>725</v>
      </c>
      <c r="H22" s="361" t="b">
        <v>0</v>
      </c>
      <c r="I22" s="350"/>
      <c r="J22" s="320"/>
      <c r="K22" s="321" t="s">
        <v>321</v>
      </c>
      <c r="L22" s="361" t="b">
        <v>0</v>
      </c>
      <c r="M22" s="320"/>
    </row>
    <row r="23" spans="1:13" x14ac:dyDescent="0.2">
      <c r="A23" s="321" t="s">
        <v>411</v>
      </c>
      <c r="B23" s="361" t="b">
        <v>0</v>
      </c>
      <c r="E23" s="321" t="s">
        <v>718</v>
      </c>
      <c r="F23" s="361" t="b">
        <v>0</v>
      </c>
      <c r="G23" t="s">
        <v>726</v>
      </c>
      <c r="H23" s="361" t="b">
        <v>0</v>
      </c>
      <c r="I23" s="350"/>
      <c r="J23" s="320"/>
      <c r="K23" s="321" t="s">
        <v>931</v>
      </c>
      <c r="L23" s="361" t="b">
        <v>0</v>
      </c>
      <c r="M23" s="320"/>
    </row>
    <row r="24" spans="1:13" x14ac:dyDescent="0.2">
      <c r="A24" s="321" t="s">
        <v>33</v>
      </c>
      <c r="B24" s="361" t="b">
        <v>0</v>
      </c>
      <c r="E24" s="320"/>
      <c r="G24" t="s">
        <v>727</v>
      </c>
      <c r="H24" s="361" t="b">
        <v>0</v>
      </c>
      <c r="I24" s="350" t="s">
        <v>773</v>
      </c>
      <c r="J24" s="361" t="b">
        <v>0</v>
      </c>
      <c r="K24" s="321" t="s">
        <v>774</v>
      </c>
      <c r="L24" s="361" t="b">
        <v>0</v>
      </c>
      <c r="M24" s="320"/>
    </row>
    <row r="25" spans="1:13" x14ac:dyDescent="0.2">
      <c r="A25" s="321" t="s">
        <v>741</v>
      </c>
      <c r="B25" s="361" t="b">
        <v>0</v>
      </c>
      <c r="E25" s="320"/>
      <c r="G25" t="s">
        <v>728</v>
      </c>
      <c r="H25" s="361" t="b">
        <v>0</v>
      </c>
      <c r="I25" s="350"/>
      <c r="K25" s="321" t="s">
        <v>775</v>
      </c>
      <c r="L25" s="361" t="b">
        <v>0</v>
      </c>
      <c r="M25" s="320"/>
    </row>
    <row r="26" spans="1:13" x14ac:dyDescent="0.2">
      <c r="A26" s="321" t="s">
        <v>742</v>
      </c>
      <c r="B26" s="361" t="b">
        <v>0</v>
      </c>
      <c r="E26" s="320"/>
      <c r="G26" t="s">
        <v>729</v>
      </c>
      <c r="H26" s="361" t="b">
        <v>0</v>
      </c>
      <c r="I26" s="350"/>
      <c r="K26" s="321" t="s">
        <v>776</v>
      </c>
      <c r="L26" s="361" t="b">
        <v>0</v>
      </c>
      <c r="M26" s="320"/>
    </row>
    <row r="27" spans="1:13" x14ac:dyDescent="0.2">
      <c r="A27" s="321" t="s">
        <v>412</v>
      </c>
      <c r="B27" s="361" t="b">
        <v>0</v>
      </c>
      <c r="C27" t="str">
        <f>REPLACE(INDEX(tbl_Ped_VertrekTijden,D27,2),1,1,"")</f>
        <v>12:00</v>
      </c>
      <c r="D27" s="362">
        <v>50</v>
      </c>
      <c r="E27" s="320"/>
      <c r="G27" t="s">
        <v>730</v>
      </c>
      <c r="H27" s="361" t="b">
        <v>0</v>
      </c>
      <c r="I27" s="350"/>
      <c r="K27" s="321" t="s">
        <v>777</v>
      </c>
      <c r="L27" s="361" t="b">
        <v>0</v>
      </c>
      <c r="M27" s="320"/>
    </row>
    <row r="28" spans="1:13" x14ac:dyDescent="0.2">
      <c r="A28" s="321" t="s">
        <v>826</v>
      </c>
      <c r="B28" s="361" t="b">
        <v>0</v>
      </c>
      <c r="E28" s="320"/>
      <c r="G28" t="s">
        <v>731</v>
      </c>
      <c r="H28" s="361" t="b">
        <v>0</v>
      </c>
      <c r="I28" s="350"/>
      <c r="K28" s="321" t="s">
        <v>297</v>
      </c>
      <c r="L28" s="361"/>
    </row>
    <row r="29" spans="1:13" x14ac:dyDescent="0.2">
      <c r="A29" s="321" t="s">
        <v>827</v>
      </c>
      <c r="B29" s="361" t="b">
        <v>0</v>
      </c>
      <c r="E29" s="320"/>
      <c r="G29" t="s">
        <v>732</v>
      </c>
      <c r="H29" s="361" t="b">
        <v>0</v>
      </c>
      <c r="I29" s="350" t="s">
        <v>590</v>
      </c>
      <c r="J29" s="361" t="b">
        <v>0</v>
      </c>
      <c r="K29" s="361">
        <v>0</v>
      </c>
    </row>
    <row r="30" spans="1:13" x14ac:dyDescent="0.2">
      <c r="A30" s="321" t="s">
        <v>693</v>
      </c>
      <c r="B30" s="361" t="b">
        <v>0</v>
      </c>
      <c r="E30" s="320"/>
      <c r="G30" t="s">
        <v>733</v>
      </c>
      <c r="H30" s="361" t="b">
        <v>0</v>
      </c>
      <c r="I30" s="350"/>
    </row>
    <row r="31" spans="1:13" x14ac:dyDescent="0.2">
      <c r="A31" s="321" t="s">
        <v>32</v>
      </c>
      <c r="B31" s="361" t="b">
        <v>0</v>
      </c>
      <c r="E31" s="321" t="s">
        <v>734</v>
      </c>
      <c r="F31" s="361" t="b">
        <v>0</v>
      </c>
      <c r="G31" s="365" t="b">
        <v>0</v>
      </c>
      <c r="H31" s="321"/>
      <c r="I31" s="350"/>
    </row>
    <row r="32" spans="1:13" x14ac:dyDescent="0.2">
      <c r="A32" s="321" t="s">
        <v>19</v>
      </c>
      <c r="B32" s="361" t="b">
        <v>0</v>
      </c>
      <c r="E32" s="2"/>
      <c r="I32" s="350"/>
    </row>
    <row r="33" spans="1:9" x14ac:dyDescent="0.2">
      <c r="A33" s="2" t="s">
        <v>1009</v>
      </c>
      <c r="B33" s="320"/>
      <c r="C33" s="320"/>
      <c r="E33" s="320"/>
      <c r="F33" s="320"/>
      <c r="G33" s="320"/>
      <c r="I33" s="350"/>
    </row>
    <row r="34" spans="1:9" x14ac:dyDescent="0.2">
      <c r="A34" s="321" t="s">
        <v>828</v>
      </c>
      <c r="B34" s="361" t="b">
        <v>0</v>
      </c>
      <c r="C34" s="320" t="str">
        <f>IF(OR(D34=0,D34=1,D34=""),"",INDEX(tbl_Ped_DrainLokatie,D34,0))</f>
        <v/>
      </c>
      <c r="D34" s="362">
        <v>1</v>
      </c>
      <c r="E34">
        <f>IF(OR(D22=0,D22=""),"",INDEX(tbl_Ped_aEEG,D22,1))</f>
        <v>0</v>
      </c>
      <c r="I34" s="350"/>
    </row>
    <row r="35" spans="1:9" x14ac:dyDescent="0.2">
      <c r="C35" s="320" t="str">
        <f>IF(OR(D35=0,D35=1,D35=""),"",INDEX(tbl_Ped_DrainModus,D35,0))</f>
        <v/>
      </c>
      <c r="D35" s="362">
        <v>1</v>
      </c>
      <c r="I35" s="350"/>
    </row>
    <row r="36" spans="1:9" x14ac:dyDescent="0.2">
      <c r="C36" s="320" t="str">
        <f>IF(OR(D36=0,D36=1,D36=""),"",INDEX(tbl_Ped_DrainZuig,D36,0))</f>
        <v/>
      </c>
      <c r="D36" s="362">
        <v>1</v>
      </c>
      <c r="I36" s="350"/>
    </row>
    <row r="37" spans="1:9" x14ac:dyDescent="0.2">
      <c r="A37" s="321" t="s">
        <v>926</v>
      </c>
      <c r="B37" s="361" t="b">
        <v>0</v>
      </c>
      <c r="C37" s="320" t="str">
        <f>IF(OR(D37=0,D37=1,D37=""),"",INDEX(tbl_Ped_DrainLokatie,D37,0))</f>
        <v/>
      </c>
      <c r="D37" s="362">
        <v>1</v>
      </c>
      <c r="E37" s="320"/>
    </row>
    <row r="38" spans="1:9" x14ac:dyDescent="0.2">
      <c r="A38" s="320"/>
      <c r="B38" s="320"/>
      <c r="C38" s="320" t="str">
        <f>IF(OR(D38=0,D38=1,D38=""),"",INDEX(tbl_Ped_DrainModus,D38,0))</f>
        <v/>
      </c>
      <c r="D38" s="362">
        <v>1</v>
      </c>
    </row>
    <row r="39" spans="1:9" x14ac:dyDescent="0.2">
      <c r="A39" s="320"/>
      <c r="B39" s="320"/>
      <c r="C39" s="320" t="str">
        <f>IF(OR(D39=0,D39=1,D39=""),"",INDEX(tbl_Ped_DrainZuig,D39,0))</f>
        <v/>
      </c>
      <c r="D39" s="362">
        <v>1</v>
      </c>
    </row>
    <row r="40" spans="1:9" x14ac:dyDescent="0.2">
      <c r="A40" s="321" t="s">
        <v>1012</v>
      </c>
      <c r="B40" s="361" t="b">
        <v>0</v>
      </c>
      <c r="C40" s="320" t="str">
        <f>IF(OR(D40=0,D40=1,D40=""),"",INDEX(tbl_Ped_DrainLokatie,D40,0))</f>
        <v/>
      </c>
      <c r="D40" s="362">
        <v>1</v>
      </c>
      <c r="E40" s="320"/>
    </row>
    <row r="41" spans="1:9" x14ac:dyDescent="0.2">
      <c r="C41" s="320" t="str">
        <f>IF(OR(D41=0,D41=1,D41=""),"",INDEX(tbl_Ped_DrainModus,D41,0))</f>
        <v/>
      </c>
      <c r="D41" s="362">
        <v>1</v>
      </c>
    </row>
    <row r="42" spans="1:9" x14ac:dyDescent="0.2">
      <c r="C42" s="320" t="str">
        <f>IF(OR(D42=0,D42=1,D42=""),"",INDEX(tbl_Ped_DrainZuig,D42,0))</f>
        <v/>
      </c>
      <c r="D42" s="362">
        <v>1</v>
      </c>
    </row>
    <row r="43" spans="1:9" x14ac:dyDescent="0.2">
      <c r="A43" s="350" t="s">
        <v>747</v>
      </c>
      <c r="B43" s="361" t="b">
        <v>0</v>
      </c>
      <c r="C43" s="321" t="s">
        <v>1013</v>
      </c>
      <c r="D43" s="362" t="b">
        <v>0</v>
      </c>
      <c r="E43" s="320"/>
    </row>
    <row r="44" spans="1:9" x14ac:dyDescent="0.2">
      <c r="A44" s="321" t="s">
        <v>945</v>
      </c>
      <c r="B44" s="361" t="b">
        <v>0</v>
      </c>
      <c r="C44" s="321" t="s">
        <v>1013</v>
      </c>
      <c r="D44" s="362" t="b">
        <v>0</v>
      </c>
      <c r="E44" s="320"/>
    </row>
    <row r="45" spans="1:9" x14ac:dyDescent="0.2">
      <c r="A45" s="350" t="s">
        <v>746</v>
      </c>
      <c r="B45" s="361" t="b">
        <v>0</v>
      </c>
      <c r="C45" s="321" t="s">
        <v>1013</v>
      </c>
      <c r="D45" s="362" t="b">
        <v>0</v>
      </c>
      <c r="E45" s="320"/>
    </row>
    <row r="46" spans="1:9" x14ac:dyDescent="0.2">
      <c r="A46" s="321" t="s">
        <v>1010</v>
      </c>
      <c r="B46" s="361" t="b">
        <v>0</v>
      </c>
      <c r="C46" t="str">
        <f>IF(OR(D46=0,D46=1,D46=""),"",INDEX(tbl_Ped_LiquorDrain,D46,0))</f>
        <v/>
      </c>
      <c r="D46" s="362">
        <v>1</v>
      </c>
      <c r="E46" s="320"/>
    </row>
    <row r="47" spans="1:9" x14ac:dyDescent="0.2">
      <c r="C47" s="320" t="s">
        <v>1011</v>
      </c>
      <c r="D47" s="362">
        <v>0</v>
      </c>
    </row>
    <row r="55" spans="1:3" x14ac:dyDescent="0.2">
      <c r="A55" s="2" t="s">
        <v>736</v>
      </c>
    </row>
    <row r="56" spans="1:3" x14ac:dyDescent="0.2">
      <c r="A56" s="321" t="s">
        <v>765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321" t="s">
        <v>771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321" t="s">
        <v>1009</v>
      </c>
      <c r="B58" s="320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320"/>
    </row>
    <row r="59" spans="1:3" x14ac:dyDescent="0.2">
      <c r="A59" s="321" t="s">
        <v>703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f>
        <v/>
      </c>
    </row>
    <row r="60" spans="1:3" x14ac:dyDescent="0.2">
      <c r="A60" s="321" t="s">
        <v>749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321"/>
    </row>
    <row r="69" spans="1:1" x14ac:dyDescent="0.2">
      <c r="A69" s="321"/>
    </row>
    <row r="70" spans="1:1" x14ac:dyDescent="0.2">
      <c r="A70" s="320"/>
    </row>
    <row r="71" spans="1:1" x14ac:dyDescent="0.2">
      <c r="A71" s="321"/>
    </row>
    <row r="72" spans="1:1" x14ac:dyDescent="0.2">
      <c r="A72" s="321"/>
    </row>
    <row r="73" spans="1:1" x14ac:dyDescent="0.2">
      <c r="A73" s="321"/>
    </row>
    <row r="74" spans="1:1" x14ac:dyDescent="0.2">
      <c r="A74" s="321"/>
    </row>
    <row r="75" spans="1:1" x14ac:dyDescent="0.2">
      <c r="A75" s="321"/>
    </row>
    <row r="76" spans="1:1" x14ac:dyDescent="0.2">
      <c r="A76" s="321"/>
    </row>
    <row r="77" spans="1:1" x14ac:dyDescent="0.2">
      <c r="A77" s="321"/>
    </row>
    <row r="78" spans="1:1" x14ac:dyDescent="0.2">
      <c r="A78" s="321"/>
    </row>
    <row r="79" spans="1:1" x14ac:dyDescent="0.2">
      <c r="A79" s="321"/>
    </row>
    <row r="80" spans="1:1" x14ac:dyDescent="0.2">
      <c r="A80" s="321"/>
    </row>
    <row r="81" spans="1:1" x14ac:dyDescent="0.2">
      <c r="A81" s="321"/>
    </row>
    <row r="82" spans="1:1" x14ac:dyDescent="0.2">
      <c r="A82" s="321"/>
    </row>
    <row r="83" spans="1:1" x14ac:dyDescent="0.2">
      <c r="A83" s="320"/>
    </row>
    <row r="84" spans="1:1" x14ac:dyDescent="0.2">
      <c r="A84" s="321"/>
    </row>
    <row r="85" spans="1:1" x14ac:dyDescent="0.2">
      <c r="A85" s="321"/>
    </row>
    <row r="86" spans="1:1" x14ac:dyDescent="0.2">
      <c r="A86" s="325"/>
    </row>
    <row r="87" spans="1:1" x14ac:dyDescent="0.2">
      <c r="A87" s="321"/>
    </row>
    <row r="88" spans="1:1" x14ac:dyDescent="0.2">
      <c r="A88" s="321"/>
    </row>
    <row r="89" spans="1:1" x14ac:dyDescent="0.2">
      <c r="A89" s="321"/>
    </row>
    <row r="90" spans="1:1" x14ac:dyDescent="0.2">
      <c r="A90" s="321"/>
    </row>
    <row r="91" spans="1:1" x14ac:dyDescent="0.2">
      <c r="A91" s="321"/>
    </row>
    <row r="92" spans="1:1" x14ac:dyDescent="0.2">
      <c r="A92" s="321"/>
    </row>
    <row r="93" spans="1:1" x14ac:dyDescent="0.2">
      <c r="A93" s="321"/>
    </row>
    <row r="94" spans="1:1" x14ac:dyDescent="0.2">
      <c r="A94" s="321"/>
    </row>
    <row r="95" spans="1:1" x14ac:dyDescent="0.2">
      <c r="A95" s="321"/>
    </row>
    <row r="96" spans="1:1" x14ac:dyDescent="0.2">
      <c r="A96" s="321"/>
    </row>
    <row r="97" spans="1:1" x14ac:dyDescent="0.2">
      <c r="A97" s="321"/>
    </row>
    <row r="98" spans="1:1" x14ac:dyDescent="0.2">
      <c r="A98" s="321"/>
    </row>
    <row r="99" spans="1:1" x14ac:dyDescent="0.2">
      <c r="A99" s="321"/>
    </row>
    <row r="100" spans="1:1" x14ac:dyDescent="0.2">
      <c r="A100" s="321"/>
    </row>
    <row r="101" spans="1:1" x14ac:dyDescent="0.2">
      <c r="A101" s="321"/>
    </row>
    <row r="102" spans="1:1" x14ac:dyDescent="0.2">
      <c r="A102" s="321"/>
    </row>
    <row r="103" spans="1:1" x14ac:dyDescent="0.2">
      <c r="A103" s="321"/>
    </row>
    <row r="104" spans="1:1" x14ac:dyDescent="0.2">
      <c r="A104" s="321"/>
    </row>
    <row r="105" spans="1:1" x14ac:dyDescent="0.2">
      <c r="A105" s="321"/>
    </row>
    <row r="106" spans="1:1" x14ac:dyDescent="0.2">
      <c r="A106" s="321"/>
    </row>
    <row r="107" spans="1:1" x14ac:dyDescent="0.2">
      <c r="A107" s="320"/>
    </row>
    <row r="108" spans="1:1" x14ac:dyDescent="0.2">
      <c r="A108" s="320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D43"/>
  <sheetViews>
    <sheetView zoomScale="85" workbookViewId="0">
      <pane ySplit="5" topLeftCell="A6" activePane="bottomLeft" state="frozen"/>
      <selection pane="bottomLeft"/>
    </sheetView>
  </sheetViews>
  <sheetFormatPr defaultColWidth="9.140625" defaultRowHeight="12.75" x14ac:dyDescent="0.2"/>
  <cols>
    <col min="1" max="1" width="3.7109375" style="334" customWidth="1"/>
    <col min="2" max="13" width="10.7109375" style="334" customWidth="1"/>
    <col min="14" max="15" width="2.140625" style="334" customWidth="1"/>
    <col min="16" max="21" width="10.7109375" style="334" customWidth="1"/>
    <col min="22" max="16384" width="9.140625" style="334"/>
  </cols>
  <sheetData>
    <row r="1" spans="1:82" s="141" customFormat="1" ht="7.5" customHeight="1" x14ac:dyDescent="0.2">
      <c r="A1" s="368"/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N1" s="140"/>
      <c r="S1" s="140"/>
      <c r="T1" s="140"/>
      <c r="U1" s="140"/>
      <c r="V1" s="140"/>
      <c r="W1" s="140"/>
      <c r="X1" s="140"/>
      <c r="Y1" s="140"/>
    </row>
    <row r="2" spans="1:82" s="141" customFormat="1" ht="17.25" customHeight="1" x14ac:dyDescent="0.2">
      <c r="A2" s="140"/>
      <c r="B2" s="140"/>
      <c r="C2" s="142" t="s">
        <v>316</v>
      </c>
      <c r="D2" s="143">
        <f ca="1">Var_AfspraakDatum</f>
        <v>42748</v>
      </c>
      <c r="E2" s="144"/>
      <c r="F2" s="142" t="s">
        <v>317</v>
      </c>
      <c r="G2" s="140"/>
      <c r="H2" s="145">
        <f>_Pat_OpnDatum</f>
        <v>1462</v>
      </c>
      <c r="I2" s="142" t="str">
        <f ca="1">"ICU-dag: "&amp;Var_AfspraakDatum-_Pat_OpnDatum+1</f>
        <v>ICU-dag: 41287</v>
      </c>
      <c r="J2" s="148" t="str">
        <f>"Gewicht: "&amp;_Pat_Gewicht/10&amp;" kg"</f>
        <v>Gewicht: 0 kg</v>
      </c>
      <c r="L2" s="140"/>
      <c r="N2" s="140"/>
      <c r="S2" s="140"/>
      <c r="T2" s="140"/>
      <c r="U2" s="140"/>
      <c r="V2" s="140"/>
      <c r="W2" s="140"/>
      <c r="X2" s="140"/>
      <c r="Y2" s="140"/>
    </row>
    <row r="3" spans="1:82" s="141" customFormat="1" ht="17.25" customHeight="1" x14ac:dyDescent="0.2">
      <c r="A3" s="140"/>
      <c r="B3" s="146"/>
      <c r="C3" s="142" t="s">
        <v>28</v>
      </c>
      <c r="D3" s="147" t="str">
        <f>__2_AchterNaam&amp;", "&amp;__3_VoorNaam</f>
        <v xml:space="preserve">, </v>
      </c>
      <c r="E3" s="147"/>
      <c r="F3" s="142" t="s">
        <v>324</v>
      </c>
      <c r="G3" s="140"/>
      <c r="H3" s="145">
        <f>__4_GebDatum</f>
        <v>1462</v>
      </c>
      <c r="J3" s="148" t="str">
        <f>"Lengte: "&amp;_Pat_Lengte&amp;" cm"</f>
        <v>Lengte: 0 cm</v>
      </c>
      <c r="K3" s="142"/>
      <c r="L3" s="140"/>
      <c r="N3" s="319"/>
      <c r="S3" s="140"/>
      <c r="T3" s="140"/>
      <c r="U3" s="140"/>
      <c r="V3" s="140"/>
      <c r="W3" s="140"/>
      <c r="X3" s="140"/>
      <c r="Y3" s="140"/>
    </row>
    <row r="4" spans="1:82" s="141" customFormat="1" ht="17.25" customHeight="1" x14ac:dyDescent="0.2">
      <c r="A4" s="149"/>
      <c r="B4" s="149"/>
      <c r="C4" s="142" t="s">
        <v>357</v>
      </c>
      <c r="D4" s="148">
        <f>__0_PatNum</f>
        <v>0</v>
      </c>
      <c r="E4" s="144"/>
      <c r="F4" s="142" t="s">
        <v>287</v>
      </c>
      <c r="G4" s="149"/>
      <c r="H4" s="150" t="str">
        <f ca="1">TRUNC((Var_AfspraakDatum-__4_GebDatum)/365,0)&amp;" jaar en "&amp;TRUNC(((Var_AfspraakDatum-__4_GebDatum)-365*TRUNC((Var_AfspraakDatum-__4_GebDatum)/365,0))/30,0)&amp;" maand(-en)"</f>
        <v>113 jaar en 1 maand(-en)</v>
      </c>
      <c r="I4" s="142"/>
      <c r="J4" s="142" t="str">
        <f>"Lichamelijk oppervlak: "&amp;ROUND(POWER(_Pat_Gewicht/10,0.425)*POWER(((_Pat_Lengte/100)*100),0.725)*0.007184,2)&amp;" m2"</f>
        <v>Lichamelijk oppervlak: 0 m2</v>
      </c>
      <c r="K4" s="142"/>
      <c r="L4" s="149"/>
      <c r="N4" s="149"/>
      <c r="S4" s="149"/>
      <c r="T4" s="149"/>
      <c r="U4" s="149"/>
      <c r="V4" s="149"/>
      <c r="W4" s="149"/>
      <c r="X4" s="149"/>
      <c r="Y4" s="149"/>
      <c r="Z4" s="151"/>
      <c r="AA4" s="151"/>
      <c r="AB4" s="151"/>
      <c r="AC4" s="151"/>
      <c r="AD4" s="151"/>
      <c r="AE4" s="151"/>
      <c r="AF4" s="151"/>
      <c r="AG4" s="151"/>
      <c r="AH4" s="151"/>
      <c r="AI4" s="151"/>
      <c r="AJ4" s="151"/>
      <c r="AK4" s="151"/>
      <c r="AL4" s="151"/>
      <c r="AM4" s="151"/>
      <c r="AN4" s="151"/>
      <c r="AO4" s="151"/>
      <c r="AP4" s="151"/>
      <c r="AQ4" s="151"/>
      <c r="AR4" s="151"/>
      <c r="AS4" s="151"/>
      <c r="AT4" s="151"/>
      <c r="AU4" s="151"/>
      <c r="AV4" s="151"/>
      <c r="AW4" s="151"/>
      <c r="AX4" s="151"/>
      <c r="AY4" s="151"/>
      <c r="AZ4" s="151"/>
      <c r="BA4" s="151"/>
      <c r="BB4" s="151"/>
      <c r="BC4" s="151"/>
      <c r="BD4" s="151"/>
      <c r="BE4" s="151"/>
      <c r="BF4" s="151"/>
      <c r="BG4" s="151"/>
      <c r="BH4" s="151"/>
      <c r="BI4" s="151"/>
      <c r="BJ4" s="151"/>
      <c r="BK4" s="151"/>
      <c r="BL4" s="151"/>
      <c r="BM4" s="151"/>
      <c r="BN4" s="151"/>
      <c r="BO4" s="151"/>
      <c r="BP4" s="151"/>
      <c r="BQ4" s="151"/>
      <c r="BR4" s="151"/>
      <c r="BS4" s="151"/>
      <c r="BT4" s="151"/>
      <c r="BU4" s="151"/>
      <c r="BV4" s="151"/>
      <c r="BW4" s="151"/>
      <c r="BX4" s="151"/>
      <c r="BY4" s="151"/>
      <c r="BZ4" s="151"/>
      <c r="CA4" s="151"/>
      <c r="CB4" s="151"/>
      <c r="CC4" s="151"/>
      <c r="CD4" s="151"/>
    </row>
    <row r="5" spans="1:82" s="141" customFormat="1" ht="17.25" customHeight="1" x14ac:dyDescent="0.2">
      <c r="A5" s="149"/>
      <c r="B5" s="149"/>
      <c r="C5" s="156" t="s">
        <v>536</v>
      </c>
      <c r="D5" s="156">
        <f>__1_Bed</f>
        <v>0</v>
      </c>
      <c r="E5" s="144"/>
      <c r="F5" s="142"/>
      <c r="G5" s="149"/>
      <c r="H5" s="150"/>
      <c r="I5" s="142"/>
      <c r="J5" s="142"/>
      <c r="K5" s="142"/>
      <c r="L5" s="149"/>
      <c r="N5" s="149"/>
      <c r="S5" s="149"/>
      <c r="T5" s="149"/>
      <c r="U5" s="149"/>
      <c r="V5" s="149"/>
      <c r="W5" s="149"/>
      <c r="X5" s="149"/>
      <c r="Y5" s="149"/>
      <c r="Z5" s="151"/>
      <c r="AA5" s="151"/>
      <c r="AB5" s="151"/>
      <c r="AC5" s="151"/>
      <c r="AD5" s="151"/>
      <c r="AE5" s="151"/>
      <c r="AF5" s="151"/>
      <c r="AG5" s="151"/>
      <c r="AH5" s="151"/>
      <c r="AI5" s="151"/>
      <c r="AJ5" s="151"/>
      <c r="AK5" s="151"/>
      <c r="AL5" s="151"/>
      <c r="AM5" s="151"/>
      <c r="AN5" s="151"/>
      <c r="AO5" s="151"/>
      <c r="AP5" s="151"/>
      <c r="AQ5" s="151"/>
      <c r="AR5" s="151"/>
      <c r="AS5" s="151"/>
      <c r="AT5" s="151"/>
      <c r="AU5" s="151"/>
      <c r="AV5" s="151"/>
      <c r="AW5" s="151"/>
      <c r="AX5" s="151"/>
      <c r="AY5" s="151"/>
      <c r="AZ5" s="151"/>
      <c r="BA5" s="151"/>
      <c r="BB5" s="151"/>
      <c r="BC5" s="151"/>
      <c r="BD5" s="151"/>
      <c r="BE5" s="151"/>
      <c r="BF5" s="151"/>
      <c r="BG5" s="151"/>
      <c r="BH5" s="151"/>
      <c r="BI5" s="151"/>
      <c r="BJ5" s="151"/>
      <c r="BK5" s="151"/>
      <c r="BL5" s="151"/>
      <c r="BM5" s="151"/>
      <c r="BN5" s="151"/>
      <c r="BO5" s="151"/>
      <c r="BP5" s="151"/>
      <c r="BQ5" s="151"/>
      <c r="BR5" s="151"/>
      <c r="BS5" s="151"/>
      <c r="BT5" s="151"/>
      <c r="BU5" s="151"/>
      <c r="BV5" s="151"/>
      <c r="BW5" s="151"/>
      <c r="BX5" s="151"/>
      <c r="BY5" s="151"/>
      <c r="BZ5" s="151"/>
      <c r="CA5" s="151"/>
      <c r="CB5" s="151"/>
      <c r="CC5" s="151"/>
      <c r="CD5" s="151"/>
    </row>
    <row r="6" spans="1:82" s="539" customFormat="1" x14ac:dyDescent="0.2">
      <c r="A6" s="540"/>
      <c r="B6" s="335"/>
    </row>
    <row r="7" spans="1:82" s="539" customFormat="1" x14ac:dyDescent="0.2">
      <c r="A7" s="540"/>
      <c r="B7" s="335"/>
    </row>
    <row r="8" spans="1:82" ht="11.25" customHeight="1" x14ac:dyDescent="0.2">
      <c r="A8" s="372"/>
      <c r="B8" s="330" t="s">
        <v>153</v>
      </c>
      <c r="C8" s="331"/>
      <c r="D8" s="332" t="s">
        <v>754</v>
      </c>
      <c r="E8" s="331"/>
      <c r="F8" s="331"/>
      <c r="G8" s="329"/>
      <c r="H8" s="333"/>
      <c r="I8" s="329"/>
      <c r="J8" s="329"/>
      <c r="K8" s="329"/>
      <c r="L8" s="329"/>
      <c r="M8" s="329"/>
      <c r="N8" s="329"/>
    </row>
    <row r="9" spans="1:82" x14ac:dyDescent="0.2">
      <c r="A9" s="329"/>
      <c r="B9" s="335"/>
    </row>
    <row r="10" spans="1:82" ht="18.75" customHeight="1" x14ac:dyDescent="0.2">
      <c r="A10" s="329"/>
      <c r="B10" s="269" t="s">
        <v>752</v>
      </c>
      <c r="C10" s="336"/>
      <c r="D10" s="269" t="s">
        <v>755</v>
      </c>
      <c r="E10" s="336"/>
      <c r="F10" s="269" t="s">
        <v>756</v>
      </c>
      <c r="G10" s="336"/>
      <c r="H10" s="269" t="s">
        <v>757</v>
      </c>
      <c r="I10" s="336"/>
      <c r="J10" s="269" t="s">
        <v>154</v>
      </c>
      <c r="K10" s="336"/>
      <c r="L10" s="269" t="s">
        <v>758</v>
      </c>
      <c r="M10" s="336"/>
      <c r="N10" s="269"/>
      <c r="O10" s="336"/>
      <c r="P10" s="269" t="s">
        <v>1162</v>
      </c>
      <c r="Q10" s="269" t="s">
        <v>762</v>
      </c>
      <c r="R10" s="269" t="s">
        <v>1160</v>
      </c>
      <c r="S10" s="269" t="s">
        <v>762</v>
      </c>
      <c r="T10" s="269" t="s">
        <v>1163</v>
      </c>
      <c r="U10" s="269" t="s">
        <v>762</v>
      </c>
    </row>
    <row r="11" spans="1:82" ht="26.25" customHeight="1" x14ac:dyDescent="0.2">
      <c r="B11" s="337"/>
      <c r="C11" s="338"/>
      <c r="D11" s="337"/>
      <c r="E11" s="337"/>
      <c r="F11" s="337"/>
      <c r="G11" s="337"/>
      <c r="H11" s="337"/>
      <c r="I11" s="337"/>
      <c r="J11" s="337"/>
      <c r="K11" s="337"/>
      <c r="L11" s="337"/>
      <c r="M11" s="337"/>
      <c r="N11" s="337"/>
      <c r="O11" s="337"/>
      <c r="P11" s="337"/>
      <c r="Q11" s="337"/>
      <c r="R11" s="337"/>
      <c r="S11" s="337"/>
      <c r="T11" s="337"/>
      <c r="U11" s="337"/>
    </row>
    <row r="12" spans="1:82" ht="26.25" customHeight="1" x14ac:dyDescent="0.2">
      <c r="B12" s="337"/>
      <c r="C12" s="338"/>
      <c r="D12" s="337"/>
      <c r="E12" s="337"/>
      <c r="F12" s="337"/>
      <c r="G12" s="337"/>
      <c r="H12" s="337"/>
      <c r="I12" s="337"/>
      <c r="J12" s="337"/>
      <c r="K12" s="337"/>
      <c r="L12" s="337"/>
      <c r="M12" s="337"/>
      <c r="N12" s="337"/>
      <c r="O12" s="337"/>
      <c r="P12" s="337"/>
      <c r="Q12" s="337"/>
      <c r="R12" s="337"/>
      <c r="S12" s="337"/>
      <c r="T12" s="337"/>
      <c r="U12" s="337"/>
    </row>
    <row r="13" spans="1:82" ht="26.25" customHeight="1" x14ac:dyDescent="0.2">
      <c r="A13" s="378"/>
      <c r="B13" s="337"/>
      <c r="C13" s="338"/>
      <c r="D13" s="337"/>
      <c r="E13" s="337"/>
      <c r="F13" s="337"/>
      <c r="G13" s="337"/>
      <c r="H13" s="337"/>
      <c r="I13" s="337"/>
      <c r="J13" s="337"/>
      <c r="K13" s="337"/>
      <c r="L13" s="337"/>
      <c r="M13" s="337"/>
      <c r="N13" s="337"/>
      <c r="O13" s="337"/>
      <c r="P13" s="337"/>
      <c r="Q13" s="337"/>
      <c r="R13" s="337"/>
      <c r="S13" s="337"/>
      <c r="T13" s="337"/>
      <c r="U13" s="337"/>
    </row>
    <row r="14" spans="1:82" ht="26.25" customHeight="1" x14ac:dyDescent="0.2">
      <c r="B14" s="337"/>
      <c r="C14" s="338"/>
      <c r="D14" s="337"/>
      <c r="E14" s="337"/>
      <c r="F14" s="337"/>
      <c r="G14" s="337"/>
      <c r="H14" s="337"/>
      <c r="I14" s="337"/>
      <c r="J14" s="337"/>
      <c r="K14" s="337"/>
      <c r="L14" s="337"/>
      <c r="M14" s="337"/>
      <c r="N14" s="337"/>
      <c r="O14" s="337"/>
      <c r="P14" s="337"/>
      <c r="Q14" s="337"/>
      <c r="R14" s="337"/>
      <c r="S14" s="337"/>
      <c r="T14" s="337"/>
      <c r="U14" s="337"/>
    </row>
    <row r="15" spans="1:82" ht="26.25" customHeight="1" x14ac:dyDescent="0.2">
      <c r="B15" s="337"/>
      <c r="C15" s="338"/>
      <c r="D15" s="337"/>
      <c r="E15" s="337"/>
      <c r="F15" s="337"/>
      <c r="G15" s="337"/>
      <c r="H15" s="337"/>
      <c r="I15" s="337"/>
      <c r="J15" s="337"/>
      <c r="K15" s="337"/>
      <c r="L15" s="337"/>
      <c r="M15" s="337"/>
      <c r="N15" s="337"/>
      <c r="O15" s="337"/>
      <c r="P15" s="337"/>
      <c r="Q15" s="337"/>
      <c r="R15" s="337"/>
      <c r="S15" s="337"/>
      <c r="T15" s="337"/>
      <c r="U15" s="337"/>
    </row>
    <row r="16" spans="1:82" ht="26.25" customHeight="1" x14ac:dyDescent="0.2">
      <c r="B16" s="337"/>
      <c r="C16" s="338"/>
      <c r="D16" s="337"/>
      <c r="E16" s="337"/>
      <c r="F16" s="337"/>
      <c r="G16" s="337"/>
      <c r="H16" s="337"/>
      <c r="I16" s="337"/>
      <c r="J16" s="337"/>
      <c r="K16" s="337"/>
      <c r="L16" s="337"/>
      <c r="M16" s="337"/>
      <c r="N16" s="337"/>
      <c r="O16" s="337"/>
      <c r="P16" s="337"/>
      <c r="Q16" s="337"/>
      <c r="R16" s="337"/>
      <c r="S16" s="337"/>
      <c r="T16" s="337"/>
      <c r="U16" s="337"/>
    </row>
    <row r="17" spans="2:21" ht="26.25" customHeight="1" x14ac:dyDescent="0.2">
      <c r="B17" s="337"/>
      <c r="C17" s="338"/>
      <c r="D17" s="337"/>
      <c r="E17" s="337"/>
      <c r="F17" s="337"/>
      <c r="G17" s="337"/>
      <c r="H17" s="337"/>
      <c r="I17" s="337"/>
      <c r="J17" s="337"/>
      <c r="K17" s="337"/>
      <c r="L17" s="337"/>
      <c r="M17" s="337"/>
      <c r="N17" s="337"/>
      <c r="O17" s="337"/>
      <c r="P17" s="337"/>
      <c r="Q17" s="337"/>
      <c r="R17" s="337"/>
      <c r="S17" s="337"/>
      <c r="T17" s="337"/>
      <c r="U17" s="337"/>
    </row>
    <row r="18" spans="2:21" ht="26.25" customHeight="1" x14ac:dyDescent="0.2">
      <c r="B18" s="337"/>
      <c r="C18" s="338"/>
      <c r="D18" s="337"/>
      <c r="E18" s="337"/>
      <c r="F18" s="337"/>
      <c r="G18" s="337"/>
      <c r="H18" s="337"/>
      <c r="I18" s="337"/>
      <c r="J18" s="337"/>
      <c r="K18" s="337"/>
      <c r="L18" s="337"/>
      <c r="M18" s="337"/>
      <c r="N18" s="337"/>
      <c r="O18" s="337"/>
      <c r="P18" s="337"/>
      <c r="Q18" s="337"/>
      <c r="R18" s="337"/>
      <c r="S18" s="337"/>
      <c r="T18" s="337"/>
      <c r="U18" s="337"/>
    </row>
    <row r="19" spans="2:21" ht="26.25" customHeight="1" x14ac:dyDescent="0.2">
      <c r="B19" s="337"/>
      <c r="C19" s="338"/>
      <c r="D19" s="337"/>
      <c r="E19" s="337"/>
      <c r="F19" s="337"/>
      <c r="G19" s="337"/>
      <c r="H19" s="337"/>
      <c r="I19" s="337"/>
      <c r="J19" s="337"/>
      <c r="K19" s="337"/>
      <c r="L19" s="337"/>
      <c r="M19" s="337"/>
      <c r="N19" s="337"/>
      <c r="O19" s="337"/>
      <c r="P19" s="337"/>
      <c r="Q19" s="337"/>
      <c r="R19" s="337"/>
      <c r="S19" s="337"/>
      <c r="T19" s="337"/>
      <c r="U19" s="337"/>
    </row>
    <row r="20" spans="2:21" ht="26.25" customHeight="1" x14ac:dyDescent="0.2">
      <c r="B20" s="337"/>
      <c r="C20" s="338"/>
      <c r="D20" s="337"/>
      <c r="E20" s="337"/>
      <c r="F20" s="337"/>
      <c r="G20" s="337"/>
      <c r="H20" s="337"/>
      <c r="I20" s="337"/>
      <c r="J20" s="337"/>
      <c r="K20" s="337"/>
      <c r="L20" s="337"/>
      <c r="M20" s="337"/>
      <c r="N20" s="337"/>
      <c r="O20" s="337"/>
      <c r="P20" s="337"/>
      <c r="Q20" s="337"/>
      <c r="R20" s="337"/>
      <c r="S20" s="337"/>
      <c r="T20" s="337"/>
      <c r="U20" s="337"/>
    </row>
    <row r="21" spans="2:21" ht="26.25" customHeight="1" x14ac:dyDescent="0.2">
      <c r="B21" s="337"/>
      <c r="C21" s="338"/>
      <c r="D21" s="337"/>
      <c r="E21" s="337"/>
      <c r="F21" s="337"/>
      <c r="G21" s="337"/>
      <c r="H21" s="337"/>
      <c r="I21" s="337"/>
      <c r="J21" s="337"/>
      <c r="K21" s="337"/>
      <c r="L21" s="337"/>
      <c r="M21" s="337"/>
      <c r="N21" s="337"/>
      <c r="O21" s="337"/>
      <c r="P21" s="337"/>
      <c r="Q21" s="337"/>
      <c r="R21" s="337"/>
      <c r="S21" s="337"/>
      <c r="T21" s="337"/>
      <c r="U21" s="337"/>
    </row>
    <row r="22" spans="2:21" ht="26.25" customHeight="1" x14ac:dyDescent="0.2">
      <c r="B22" s="337"/>
      <c r="C22" s="338"/>
      <c r="D22" s="337"/>
      <c r="E22" s="337"/>
      <c r="F22" s="337"/>
      <c r="G22" s="337"/>
      <c r="H22" s="337"/>
      <c r="I22" s="337"/>
      <c r="J22" s="337"/>
      <c r="K22" s="337"/>
      <c r="L22" s="337"/>
      <c r="M22" s="337"/>
      <c r="N22" s="337"/>
      <c r="O22" s="337"/>
      <c r="P22" s="337"/>
      <c r="Q22" s="337"/>
      <c r="R22" s="337"/>
      <c r="S22" s="337"/>
      <c r="T22" s="337"/>
      <c r="U22" s="337"/>
    </row>
    <row r="23" spans="2:21" ht="26.25" customHeight="1" x14ac:dyDescent="0.2">
      <c r="B23" s="337"/>
      <c r="C23" s="338"/>
      <c r="D23" s="337"/>
      <c r="E23" s="337"/>
      <c r="F23" s="337"/>
      <c r="G23" s="337"/>
      <c r="H23" s="337"/>
      <c r="I23" s="337"/>
      <c r="J23" s="337"/>
      <c r="K23" s="337"/>
      <c r="L23" s="337"/>
      <c r="M23" s="337"/>
      <c r="N23" s="337"/>
      <c r="O23" s="337"/>
      <c r="P23" s="337"/>
      <c r="Q23" s="337"/>
      <c r="R23" s="337"/>
      <c r="S23" s="337"/>
      <c r="T23" s="337"/>
      <c r="U23" s="337"/>
    </row>
    <row r="24" spans="2:21" ht="26.25" customHeight="1" x14ac:dyDescent="0.2">
      <c r="B24" s="337"/>
      <c r="C24" s="338"/>
      <c r="D24" s="337"/>
      <c r="E24" s="337"/>
      <c r="F24" s="337"/>
      <c r="G24" s="337"/>
      <c r="H24" s="337"/>
      <c r="I24" s="337"/>
      <c r="J24" s="337"/>
      <c r="K24" s="337"/>
      <c r="L24" s="337"/>
      <c r="M24" s="337"/>
      <c r="N24" s="337"/>
      <c r="O24" s="337"/>
      <c r="P24" s="337"/>
      <c r="Q24" s="337"/>
      <c r="R24" s="337"/>
      <c r="S24" s="337"/>
      <c r="T24" s="337"/>
      <c r="U24" s="337"/>
    </row>
    <row r="25" spans="2:21" ht="26.25" customHeight="1" x14ac:dyDescent="0.2">
      <c r="B25" s="337"/>
      <c r="C25" s="338"/>
      <c r="D25" s="337"/>
      <c r="E25" s="337"/>
      <c r="F25" s="337"/>
      <c r="G25" s="337"/>
      <c r="H25" s="337"/>
      <c r="I25" s="337"/>
      <c r="J25" s="337"/>
      <c r="K25" s="337"/>
      <c r="L25" s="337"/>
      <c r="M25" s="337"/>
      <c r="N25" s="337"/>
      <c r="O25" s="337"/>
      <c r="P25" s="337"/>
      <c r="Q25" s="337"/>
      <c r="R25" s="337"/>
      <c r="S25" s="337"/>
      <c r="T25" s="337"/>
      <c r="U25" s="337"/>
    </row>
    <row r="26" spans="2:21" ht="26.25" customHeight="1" x14ac:dyDescent="0.2">
      <c r="B26" s="337"/>
      <c r="C26" s="338"/>
      <c r="D26" s="337"/>
      <c r="E26" s="337"/>
      <c r="F26" s="337"/>
      <c r="G26" s="337"/>
      <c r="H26" s="337"/>
      <c r="I26" s="337"/>
      <c r="J26" s="337"/>
      <c r="K26" s="337"/>
      <c r="L26" s="337"/>
      <c r="M26" s="337"/>
      <c r="N26" s="337"/>
      <c r="O26" s="337"/>
      <c r="P26" s="337"/>
      <c r="Q26" s="337"/>
      <c r="R26" s="337"/>
      <c r="S26" s="337"/>
      <c r="T26" s="337"/>
      <c r="U26" s="337"/>
    </row>
    <row r="27" spans="2:21" ht="26.25" customHeight="1" x14ac:dyDescent="0.2">
      <c r="B27" s="337"/>
      <c r="C27" s="338"/>
      <c r="D27" s="337"/>
      <c r="E27" s="337"/>
      <c r="F27" s="337"/>
      <c r="G27" s="337"/>
      <c r="H27" s="337"/>
      <c r="I27" s="337"/>
      <c r="J27" s="337"/>
      <c r="K27" s="337"/>
      <c r="L27" s="337"/>
      <c r="M27" s="337"/>
      <c r="N27" s="337"/>
      <c r="O27" s="337"/>
      <c r="P27" s="337"/>
      <c r="Q27" s="337"/>
      <c r="R27" s="337"/>
      <c r="S27" s="337"/>
      <c r="T27" s="337"/>
      <c r="U27" s="337"/>
    </row>
    <row r="28" spans="2:21" ht="26.25" customHeight="1" x14ac:dyDescent="0.2">
      <c r="B28" s="337"/>
      <c r="C28" s="338"/>
      <c r="D28" s="337"/>
      <c r="E28" s="337"/>
      <c r="F28" s="337"/>
      <c r="G28" s="337"/>
      <c r="H28" s="337"/>
      <c r="I28" s="337"/>
      <c r="J28" s="337"/>
      <c r="K28" s="337"/>
      <c r="L28" s="337"/>
      <c r="M28" s="337"/>
      <c r="N28" s="337"/>
      <c r="O28" s="337"/>
      <c r="P28" s="337"/>
      <c r="Q28" s="337"/>
      <c r="R28" s="337"/>
      <c r="S28" s="337"/>
      <c r="T28" s="337"/>
      <c r="U28" s="337"/>
    </row>
    <row r="29" spans="2:21" ht="26.25" customHeight="1" x14ac:dyDescent="0.2">
      <c r="B29" s="337"/>
      <c r="C29" s="338"/>
      <c r="D29" s="337"/>
      <c r="E29" s="337"/>
      <c r="F29" s="337"/>
      <c r="G29" s="337"/>
      <c r="H29" s="337"/>
      <c r="I29" s="337"/>
      <c r="J29" s="337"/>
      <c r="K29" s="337"/>
      <c r="L29" s="337"/>
      <c r="M29" s="337"/>
      <c r="N29" s="337"/>
      <c r="O29" s="337"/>
      <c r="P29" s="337"/>
      <c r="Q29" s="337"/>
      <c r="R29" s="337"/>
      <c r="S29" s="337"/>
      <c r="T29" s="337"/>
      <c r="U29" s="337"/>
    </row>
    <row r="30" spans="2:21" ht="26.25" customHeight="1" x14ac:dyDescent="0.2">
      <c r="B30" s="337"/>
      <c r="C30" s="338"/>
      <c r="D30" s="337"/>
      <c r="E30" s="337"/>
      <c r="F30" s="337"/>
      <c r="G30" s="337"/>
      <c r="H30" s="337"/>
      <c r="I30" s="337"/>
      <c r="J30" s="337"/>
      <c r="K30" s="337"/>
      <c r="L30" s="337"/>
      <c r="M30" s="337"/>
      <c r="N30" s="337"/>
      <c r="O30" s="337"/>
      <c r="P30" s="337"/>
      <c r="Q30" s="337"/>
      <c r="R30" s="337"/>
      <c r="S30" s="337"/>
      <c r="T30" s="337"/>
      <c r="U30" s="337"/>
    </row>
    <row r="31" spans="2:21" ht="26.25" customHeight="1" x14ac:dyDescent="0.2">
      <c r="B31" s="337"/>
      <c r="C31" s="338"/>
      <c r="D31" s="337"/>
      <c r="E31" s="337"/>
      <c r="F31" s="337"/>
      <c r="G31" s="337"/>
      <c r="H31" s="337"/>
      <c r="I31" s="337"/>
      <c r="J31" s="337"/>
      <c r="K31" s="337"/>
      <c r="L31" s="337"/>
      <c r="M31" s="337"/>
      <c r="N31" s="337"/>
      <c r="O31" s="337"/>
      <c r="P31" s="337"/>
      <c r="Q31" s="337"/>
      <c r="R31" s="337"/>
      <c r="S31" s="337"/>
      <c r="T31" s="337"/>
      <c r="U31" s="337"/>
    </row>
    <row r="32" spans="2:21" ht="26.25" customHeight="1" x14ac:dyDescent="0.2">
      <c r="B32" s="337"/>
      <c r="C32" s="338"/>
      <c r="D32" s="337"/>
      <c r="E32" s="337"/>
      <c r="F32" s="337"/>
      <c r="G32" s="337"/>
      <c r="H32" s="337"/>
      <c r="I32" s="337"/>
      <c r="J32" s="337"/>
      <c r="K32" s="337"/>
      <c r="L32" s="337"/>
      <c r="M32" s="337"/>
      <c r="N32" s="337"/>
      <c r="O32" s="337"/>
      <c r="P32" s="337"/>
      <c r="Q32" s="337"/>
      <c r="R32" s="337"/>
      <c r="S32" s="337"/>
      <c r="T32" s="337"/>
      <c r="U32" s="337"/>
    </row>
    <row r="33" spans="2:21" ht="26.25" customHeight="1" x14ac:dyDescent="0.2">
      <c r="B33" s="337"/>
      <c r="C33" s="338"/>
      <c r="D33" s="337"/>
      <c r="E33" s="337"/>
      <c r="F33" s="337"/>
      <c r="G33" s="337"/>
      <c r="H33" s="337"/>
      <c r="I33" s="337"/>
      <c r="J33" s="337"/>
      <c r="K33" s="337"/>
      <c r="L33" s="337"/>
      <c r="M33" s="337"/>
      <c r="N33" s="337"/>
      <c r="O33" s="337"/>
      <c r="P33" s="337"/>
      <c r="Q33" s="337"/>
      <c r="R33" s="337"/>
      <c r="S33" s="337"/>
      <c r="T33" s="337"/>
      <c r="U33" s="337"/>
    </row>
    <row r="34" spans="2:21" ht="26.25" customHeight="1" x14ac:dyDescent="0.2">
      <c r="B34" s="337"/>
      <c r="C34" s="338"/>
      <c r="D34" s="337"/>
      <c r="E34" s="337"/>
      <c r="F34" s="337"/>
      <c r="G34" s="337"/>
      <c r="H34" s="337"/>
      <c r="I34" s="337"/>
      <c r="J34" s="337"/>
      <c r="K34" s="337"/>
      <c r="L34" s="337"/>
      <c r="M34" s="337"/>
      <c r="N34" s="337"/>
      <c r="O34" s="337"/>
      <c r="P34" s="337"/>
      <c r="Q34" s="337"/>
      <c r="R34" s="337"/>
      <c r="S34" s="337"/>
      <c r="T34" s="337"/>
      <c r="U34" s="337"/>
    </row>
    <row r="35" spans="2:21" ht="26.25" customHeight="1" x14ac:dyDescent="0.2">
      <c r="B35" s="337"/>
      <c r="C35" s="338"/>
      <c r="D35" s="337"/>
      <c r="E35" s="337"/>
      <c r="F35" s="337"/>
      <c r="G35" s="337"/>
      <c r="H35" s="337"/>
      <c r="I35" s="337"/>
      <c r="J35" s="337"/>
      <c r="K35" s="337"/>
      <c r="L35" s="337"/>
      <c r="M35" s="337"/>
      <c r="N35" s="337"/>
      <c r="O35" s="337"/>
      <c r="P35" s="337"/>
      <c r="Q35" s="337"/>
      <c r="R35" s="337"/>
      <c r="S35" s="337"/>
      <c r="T35" s="337"/>
      <c r="U35" s="337"/>
    </row>
    <row r="36" spans="2:21" ht="26.25" customHeight="1" x14ac:dyDescent="0.2">
      <c r="B36" s="337"/>
      <c r="C36" s="338"/>
      <c r="D36" s="337"/>
      <c r="E36" s="337"/>
      <c r="F36" s="337"/>
      <c r="G36" s="337"/>
      <c r="H36" s="337"/>
      <c r="I36" s="337"/>
      <c r="J36" s="337"/>
      <c r="K36" s="337"/>
      <c r="L36" s="337"/>
      <c r="M36" s="337"/>
      <c r="N36" s="337"/>
      <c r="O36" s="337"/>
      <c r="P36" s="337"/>
      <c r="Q36" s="337"/>
      <c r="R36" s="337"/>
      <c r="S36" s="337"/>
      <c r="T36" s="337"/>
      <c r="U36" s="337"/>
    </row>
    <row r="37" spans="2:21" ht="26.25" customHeight="1" x14ac:dyDescent="0.2">
      <c r="B37" s="337"/>
      <c r="C37" s="338"/>
      <c r="D37" s="337"/>
      <c r="E37" s="337"/>
      <c r="F37" s="337"/>
      <c r="G37" s="337"/>
      <c r="H37" s="337"/>
      <c r="I37" s="337"/>
      <c r="J37" s="337"/>
      <c r="K37" s="337"/>
      <c r="L37" s="337"/>
      <c r="M37" s="337"/>
      <c r="N37" s="337"/>
      <c r="O37" s="337"/>
      <c r="P37" s="337"/>
      <c r="Q37" s="337"/>
      <c r="R37" s="337"/>
      <c r="S37" s="337"/>
      <c r="T37" s="337"/>
      <c r="U37" s="337"/>
    </row>
    <row r="38" spans="2:21" ht="26.25" customHeight="1" x14ac:dyDescent="0.2">
      <c r="B38" s="337"/>
      <c r="C38" s="338"/>
      <c r="D38" s="337"/>
      <c r="E38" s="337"/>
      <c r="F38" s="337"/>
      <c r="G38" s="337"/>
      <c r="H38" s="337"/>
      <c r="I38" s="337"/>
      <c r="J38" s="337"/>
      <c r="K38" s="337"/>
      <c r="L38" s="337"/>
      <c r="M38" s="337"/>
      <c r="N38" s="337"/>
      <c r="O38" s="337"/>
      <c r="P38" s="337"/>
      <c r="Q38" s="337"/>
      <c r="R38" s="337"/>
      <c r="S38" s="337"/>
      <c r="T38" s="337"/>
      <c r="U38" s="337"/>
    </row>
    <row r="39" spans="2:21" ht="26.25" customHeight="1" x14ac:dyDescent="0.2">
      <c r="B39" s="337"/>
      <c r="C39" s="338"/>
      <c r="D39" s="337"/>
      <c r="E39" s="337"/>
      <c r="F39" s="337"/>
      <c r="G39" s="337"/>
      <c r="H39" s="337"/>
      <c r="I39" s="337"/>
      <c r="J39" s="337"/>
      <c r="K39" s="337"/>
      <c r="L39" s="337"/>
      <c r="M39" s="337"/>
      <c r="N39" s="337"/>
      <c r="O39" s="337"/>
      <c r="P39" s="337"/>
      <c r="Q39" s="337"/>
      <c r="R39" s="337"/>
      <c r="S39" s="337"/>
      <c r="T39" s="337"/>
      <c r="U39" s="337"/>
    </row>
    <row r="40" spans="2:21" ht="26.25" customHeight="1" x14ac:dyDescent="0.2">
      <c r="B40" s="337"/>
      <c r="C40" s="338"/>
      <c r="D40" s="337"/>
      <c r="E40" s="337"/>
      <c r="F40" s="337"/>
      <c r="G40" s="337"/>
      <c r="H40" s="337"/>
      <c r="I40" s="337"/>
      <c r="J40" s="337"/>
      <c r="K40" s="337"/>
      <c r="L40" s="337"/>
      <c r="M40" s="337"/>
      <c r="N40" s="337"/>
      <c r="O40" s="337"/>
      <c r="P40" s="337"/>
      <c r="Q40" s="337"/>
      <c r="R40" s="337"/>
      <c r="S40" s="337"/>
      <c r="T40" s="337"/>
      <c r="U40" s="337"/>
    </row>
    <row r="41" spans="2:21" ht="26.25" customHeight="1" x14ac:dyDescent="0.2">
      <c r="B41" s="337"/>
      <c r="C41" s="338"/>
      <c r="D41" s="337"/>
      <c r="E41" s="337"/>
      <c r="F41" s="337"/>
      <c r="G41" s="337"/>
      <c r="H41" s="337"/>
      <c r="I41" s="337"/>
      <c r="J41" s="337"/>
      <c r="K41" s="337"/>
      <c r="L41" s="337"/>
      <c r="M41" s="337"/>
      <c r="N41" s="337"/>
      <c r="O41" s="337"/>
      <c r="P41" s="337"/>
      <c r="Q41" s="337"/>
      <c r="R41" s="337"/>
      <c r="S41" s="337"/>
      <c r="T41" s="337"/>
      <c r="U41" s="337"/>
    </row>
    <row r="42" spans="2:21" ht="26.25" customHeight="1" x14ac:dyDescent="0.2">
      <c r="B42" s="337"/>
      <c r="C42" s="338"/>
      <c r="D42" s="337"/>
      <c r="E42" s="337"/>
      <c r="F42" s="337"/>
      <c r="G42" s="337"/>
      <c r="H42" s="337"/>
      <c r="I42" s="337"/>
      <c r="J42" s="337"/>
      <c r="K42" s="337"/>
      <c r="L42" s="337"/>
      <c r="M42" s="337"/>
      <c r="N42" s="337"/>
      <c r="O42" s="337"/>
      <c r="P42" s="337"/>
      <c r="Q42" s="337"/>
      <c r="R42" s="337"/>
      <c r="S42" s="337"/>
      <c r="T42" s="337"/>
      <c r="U42" s="337"/>
    </row>
    <row r="43" spans="2:21" x14ac:dyDescent="0.2">
      <c r="B43" s="339" t="s">
        <v>304</v>
      </c>
      <c r="C43" s="334" t="str">
        <f>IF(_Neo_Lab_Opm=0,"",_Neo_Lab_Opm)</f>
        <v/>
      </c>
    </row>
  </sheetData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20</xdr:row>
                    <xdr:rowOff>0</xdr:rowOff>
                  </from>
                  <to>
                    <xdr:col>2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19</xdr:row>
                    <xdr:rowOff>0</xdr:rowOff>
                  </from>
                  <to>
                    <xdr:col>2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36</xdr:row>
                    <xdr:rowOff>0</xdr:rowOff>
                  </from>
                  <to>
                    <xdr:col>2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22</xdr:row>
                    <xdr:rowOff>0</xdr:rowOff>
                  </from>
                  <to>
                    <xdr:col>2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19050</xdr:rowOff>
                  </from>
                  <to>
                    <xdr:col>2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20</xdr:row>
                    <xdr:rowOff>0</xdr:rowOff>
                  </from>
                  <to>
                    <xdr:col>6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19</xdr:row>
                    <xdr:rowOff>0</xdr:rowOff>
                  </from>
                  <to>
                    <xdr:col>6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36</xdr:row>
                    <xdr:rowOff>0</xdr:rowOff>
                  </from>
                  <to>
                    <xdr:col>6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22</xdr:row>
                    <xdr:rowOff>0</xdr:rowOff>
                  </from>
                  <to>
                    <xdr:col>6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19050</xdr:rowOff>
                  </from>
                  <to>
                    <xdr:col>6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20</xdr:row>
                    <xdr:rowOff>0</xdr:rowOff>
                  </from>
                  <to>
                    <xdr:col>8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0</xdr:rowOff>
                  </from>
                  <to>
                    <xdr:col>8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0</xdr:rowOff>
                  </from>
                  <to>
                    <xdr:col>8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22</xdr:row>
                    <xdr:rowOff>0</xdr:rowOff>
                  </from>
                  <to>
                    <xdr:col>8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19050</xdr:rowOff>
                  </from>
                  <to>
                    <xdr:col>8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15</xdr:col>
                    <xdr:colOff>47625</xdr:colOff>
                    <xdr:row>10</xdr:row>
                    <xdr:rowOff>0</xdr:rowOff>
                  </from>
                  <to>
                    <xdr:col>16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15</xdr:col>
                    <xdr:colOff>47625</xdr:colOff>
                    <xdr:row>11</xdr:row>
                    <xdr:rowOff>0</xdr:rowOff>
                  </from>
                  <to>
                    <xdr:col>16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15</xdr:col>
                    <xdr:colOff>47625</xdr:colOff>
                    <xdr:row>13</xdr:row>
                    <xdr:rowOff>0</xdr:rowOff>
                  </from>
                  <to>
                    <xdr:col>16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15</xdr:col>
                    <xdr:colOff>47625</xdr:colOff>
                    <xdr:row>14</xdr:row>
                    <xdr:rowOff>0</xdr:rowOff>
                  </from>
                  <to>
                    <xdr:col>16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15</xdr:col>
                    <xdr:colOff>38100</xdr:colOff>
                    <xdr:row>20</xdr:row>
                    <xdr:rowOff>0</xdr:rowOff>
                  </from>
                  <to>
                    <xdr:col>16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15</xdr:col>
                    <xdr:colOff>47625</xdr:colOff>
                    <xdr:row>19</xdr:row>
                    <xdr:rowOff>0</xdr:rowOff>
                  </from>
                  <to>
                    <xdr:col>16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15</xdr:col>
                    <xdr:colOff>47625</xdr:colOff>
                    <xdr:row>36</xdr:row>
                    <xdr:rowOff>0</xdr:rowOff>
                  </from>
                  <to>
                    <xdr:col>16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15</xdr:col>
                    <xdr:colOff>47625</xdr:colOff>
                    <xdr:row>22</xdr:row>
                    <xdr:rowOff>0</xdr:rowOff>
                  </from>
                  <to>
                    <xdr:col>16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15</xdr:col>
                    <xdr:colOff>47625</xdr:colOff>
                    <xdr:row>25</xdr:row>
                    <xdr:rowOff>0</xdr:rowOff>
                  </from>
                  <to>
                    <xdr:col>16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15</xdr:col>
                    <xdr:colOff>47625</xdr:colOff>
                    <xdr:row>26</xdr:row>
                    <xdr:rowOff>0</xdr:rowOff>
                  </from>
                  <to>
                    <xdr:col>16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15</xdr:col>
                    <xdr:colOff>47625</xdr:colOff>
                    <xdr:row>27</xdr:row>
                    <xdr:rowOff>0</xdr:rowOff>
                  </from>
                  <to>
                    <xdr:col>16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15</xdr:col>
                    <xdr:colOff>38100</xdr:colOff>
                    <xdr:row>18</xdr:row>
                    <xdr:rowOff>0</xdr:rowOff>
                  </from>
                  <to>
                    <xdr:col>16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15</xdr:col>
                    <xdr:colOff>47625</xdr:colOff>
                    <xdr:row>34</xdr:row>
                    <xdr:rowOff>19050</xdr:rowOff>
                  </from>
                  <to>
                    <xdr:col>16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15</xdr:col>
                    <xdr:colOff>47625</xdr:colOff>
                    <xdr:row>38</xdr:row>
                    <xdr:rowOff>19050</xdr:rowOff>
                  </from>
                  <to>
                    <xdr:col>16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15</xdr:col>
                    <xdr:colOff>47625</xdr:colOff>
                    <xdr:row>12</xdr:row>
                    <xdr:rowOff>0</xdr:rowOff>
                  </from>
                  <to>
                    <xdr:col>16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15</xdr:col>
                    <xdr:colOff>47625</xdr:colOff>
                    <xdr:row>23</xdr:row>
                    <xdr:rowOff>0</xdr:rowOff>
                  </from>
                  <to>
                    <xdr:col>16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20</xdr:row>
                    <xdr:rowOff>0</xdr:rowOff>
                  </from>
                  <to>
                    <xdr:col>4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19</xdr:row>
                    <xdr:rowOff>0</xdr:rowOff>
                  </from>
                  <to>
                    <xdr:col>4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36</xdr:row>
                    <xdr:rowOff>0</xdr:rowOff>
                  </from>
                  <to>
                    <xdr:col>4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22</xdr:row>
                    <xdr:rowOff>0</xdr:rowOff>
                  </from>
                  <to>
                    <xdr:col>4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19050</xdr:rowOff>
                  </from>
                  <to>
                    <xdr:col>4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15</xdr:col>
                    <xdr:colOff>47625</xdr:colOff>
                    <xdr:row>39</xdr:row>
                    <xdr:rowOff>19050</xdr:rowOff>
                  </from>
                  <to>
                    <xdr:col>16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40</xdr:row>
                    <xdr:rowOff>19050</xdr:rowOff>
                  </from>
                  <to>
                    <xdr:col>6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40</xdr:row>
                    <xdr:rowOff>19050</xdr:rowOff>
                  </from>
                  <to>
                    <xdr:col>8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15</xdr:col>
                    <xdr:colOff>47625</xdr:colOff>
                    <xdr:row>40</xdr:row>
                    <xdr:rowOff>19050</xdr:rowOff>
                  </from>
                  <to>
                    <xdr:col>16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40</xdr:row>
                    <xdr:rowOff>19050</xdr:rowOff>
                  </from>
                  <to>
                    <xdr:col>4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15</xdr:col>
                    <xdr:colOff>47625</xdr:colOff>
                    <xdr:row>15</xdr:row>
                    <xdr:rowOff>0</xdr:rowOff>
                  </from>
                  <to>
                    <xdr:col>16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15</xdr:col>
                    <xdr:colOff>47625</xdr:colOff>
                    <xdr:row>17</xdr:row>
                    <xdr:rowOff>0</xdr:rowOff>
                  </from>
                  <to>
                    <xdr:col>16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21</xdr:row>
                    <xdr:rowOff>0</xdr:rowOff>
                  </from>
                  <to>
                    <xdr:col>2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21</xdr:row>
                    <xdr:rowOff>0</xdr:rowOff>
                  </from>
                  <to>
                    <xdr:col>6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21</xdr:row>
                    <xdr:rowOff>0</xdr:rowOff>
                  </from>
                  <to>
                    <xdr:col>8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15</xdr:col>
                    <xdr:colOff>38100</xdr:colOff>
                    <xdr:row>21</xdr:row>
                    <xdr:rowOff>0</xdr:rowOff>
                  </from>
                  <to>
                    <xdr:col>16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21</xdr:row>
                    <xdr:rowOff>0</xdr:rowOff>
                  </from>
                  <to>
                    <xdr:col>4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15</xdr:col>
                    <xdr:colOff>47625</xdr:colOff>
                    <xdr:row>28</xdr:row>
                    <xdr:rowOff>0</xdr:rowOff>
                  </from>
                  <to>
                    <xdr:col>16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15</xdr:col>
                    <xdr:colOff>47625</xdr:colOff>
                    <xdr:row>29</xdr:row>
                    <xdr:rowOff>0</xdr:rowOff>
                  </from>
                  <to>
                    <xdr:col>16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15</xdr:col>
                    <xdr:colOff>47625</xdr:colOff>
                    <xdr:row>30</xdr:row>
                    <xdr:rowOff>0</xdr:rowOff>
                  </from>
                  <to>
                    <xdr:col>16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0</xdr:rowOff>
                  </from>
                  <to>
                    <xdr:col>2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0</xdr:rowOff>
                  </from>
                  <to>
                    <xdr:col>6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0</xdr:rowOff>
                  </from>
                  <to>
                    <xdr:col>8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15</xdr:col>
                    <xdr:colOff>47625</xdr:colOff>
                    <xdr:row>31</xdr:row>
                    <xdr:rowOff>0</xdr:rowOff>
                  </from>
                  <to>
                    <xdr:col>16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0</xdr:rowOff>
                  </from>
                  <to>
                    <xdr:col>4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0</xdr:rowOff>
                  </from>
                  <to>
                    <xdr:col>2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0</xdr:rowOff>
                  </from>
                  <to>
                    <xdr:col>6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0</xdr:rowOff>
                  </from>
                  <to>
                    <xdr:col>8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15</xdr:col>
                    <xdr:colOff>47625</xdr:colOff>
                    <xdr:row>32</xdr:row>
                    <xdr:rowOff>0</xdr:rowOff>
                  </from>
                  <to>
                    <xdr:col>16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0</xdr:rowOff>
                  </from>
                  <to>
                    <xdr:col>4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15</xdr:col>
                    <xdr:colOff>47625</xdr:colOff>
                    <xdr:row>35</xdr:row>
                    <xdr:rowOff>0</xdr:rowOff>
                  </from>
                  <to>
                    <xdr:col>16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24</xdr:row>
                    <xdr:rowOff>19050</xdr:rowOff>
                  </from>
                  <to>
                    <xdr:col>2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24</xdr:row>
                    <xdr:rowOff>19050</xdr:rowOff>
                  </from>
                  <to>
                    <xdr:col>6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24</xdr:row>
                    <xdr:rowOff>19050</xdr:rowOff>
                  </from>
                  <to>
                    <xdr:col>8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15</xdr:col>
                    <xdr:colOff>47625</xdr:colOff>
                    <xdr:row>24</xdr:row>
                    <xdr:rowOff>19050</xdr:rowOff>
                  </from>
                  <to>
                    <xdr:col>16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24</xdr:row>
                    <xdr:rowOff>19050</xdr:rowOff>
                  </from>
                  <to>
                    <xdr:col>4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47625</xdr:colOff>
                    <xdr:row>10</xdr:row>
                    <xdr:rowOff>0</xdr:rowOff>
                  </from>
                  <to>
                    <xdr:col>10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47625</xdr:colOff>
                    <xdr:row>11</xdr:row>
                    <xdr:rowOff>0</xdr:rowOff>
                  </from>
                  <to>
                    <xdr:col>10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47625</xdr:colOff>
                    <xdr:row>13</xdr:row>
                    <xdr:rowOff>0</xdr:rowOff>
                  </from>
                  <to>
                    <xdr:col>10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47625</xdr:colOff>
                    <xdr:row>14</xdr:row>
                    <xdr:rowOff>0</xdr:rowOff>
                  </from>
                  <to>
                    <xdr:col>10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0</xdr:rowOff>
                  </from>
                  <to>
                    <xdr:col>10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47625</xdr:colOff>
                    <xdr:row>19</xdr:row>
                    <xdr:rowOff>0</xdr:rowOff>
                  </from>
                  <to>
                    <xdr:col>10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47625</xdr:colOff>
                    <xdr:row>36</xdr:row>
                    <xdr:rowOff>0</xdr:rowOff>
                  </from>
                  <to>
                    <xdr:col>10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47625</xdr:colOff>
                    <xdr:row>22</xdr:row>
                    <xdr:rowOff>0</xdr:rowOff>
                  </from>
                  <to>
                    <xdr:col>10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47625</xdr:colOff>
                    <xdr:row>25</xdr:row>
                    <xdr:rowOff>0</xdr:rowOff>
                  </from>
                  <to>
                    <xdr:col>10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47625</xdr:colOff>
                    <xdr:row>26</xdr:row>
                    <xdr:rowOff>0</xdr:rowOff>
                  </from>
                  <to>
                    <xdr:col>10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47625</xdr:colOff>
                    <xdr:row>27</xdr:row>
                    <xdr:rowOff>0</xdr:rowOff>
                  </from>
                  <to>
                    <xdr:col>10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0</xdr:rowOff>
                  </from>
                  <to>
                    <xdr:col>10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47625</xdr:colOff>
                    <xdr:row>34</xdr:row>
                    <xdr:rowOff>19050</xdr:rowOff>
                  </from>
                  <to>
                    <xdr:col>10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47625</xdr:colOff>
                    <xdr:row>10</xdr:row>
                    <xdr:rowOff>0</xdr:rowOff>
                  </from>
                  <to>
                    <xdr:col>12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47625</xdr:colOff>
                    <xdr:row>11</xdr:row>
                    <xdr:rowOff>0</xdr:rowOff>
                  </from>
                  <to>
                    <xdr:col>12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47625</xdr:colOff>
                    <xdr:row>13</xdr:row>
                    <xdr:rowOff>0</xdr:rowOff>
                  </from>
                  <to>
                    <xdr:col>12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47625</xdr:colOff>
                    <xdr:row>14</xdr:row>
                    <xdr:rowOff>0</xdr:rowOff>
                  </from>
                  <to>
                    <xdr:col>12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38100</xdr:colOff>
                    <xdr:row>20</xdr:row>
                    <xdr:rowOff>0</xdr:rowOff>
                  </from>
                  <to>
                    <xdr:col>12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47625</xdr:colOff>
                    <xdr:row>19</xdr:row>
                    <xdr:rowOff>0</xdr:rowOff>
                  </from>
                  <to>
                    <xdr:col>12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47625</xdr:colOff>
                    <xdr:row>36</xdr:row>
                    <xdr:rowOff>0</xdr:rowOff>
                  </from>
                  <to>
                    <xdr:col>12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47625</xdr:colOff>
                    <xdr:row>22</xdr:row>
                    <xdr:rowOff>0</xdr:rowOff>
                  </from>
                  <to>
                    <xdr:col>12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47625</xdr:colOff>
                    <xdr:row>25</xdr:row>
                    <xdr:rowOff>0</xdr:rowOff>
                  </from>
                  <to>
                    <xdr:col>12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47625</xdr:colOff>
                    <xdr:row>26</xdr:row>
                    <xdr:rowOff>0</xdr:rowOff>
                  </from>
                  <to>
                    <xdr:col>12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47625</xdr:colOff>
                    <xdr:row>27</xdr:row>
                    <xdr:rowOff>0</xdr:rowOff>
                  </from>
                  <to>
                    <xdr:col>12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38100</xdr:colOff>
                    <xdr:row>18</xdr:row>
                    <xdr:rowOff>0</xdr:rowOff>
                  </from>
                  <to>
                    <xdr:col>12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47625</xdr:colOff>
                    <xdr:row>34</xdr:row>
                    <xdr:rowOff>19050</xdr:rowOff>
                  </from>
                  <to>
                    <xdr:col>12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47625</xdr:colOff>
                    <xdr:row>38</xdr:row>
                    <xdr:rowOff>19050</xdr:rowOff>
                  </from>
                  <to>
                    <xdr:col>10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47625</xdr:colOff>
                    <xdr:row>38</xdr:row>
                    <xdr:rowOff>19050</xdr:rowOff>
                  </from>
                  <to>
                    <xdr:col>12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47625</xdr:colOff>
                    <xdr:row>12</xdr:row>
                    <xdr:rowOff>0</xdr:rowOff>
                  </from>
                  <to>
                    <xdr:col>10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47625</xdr:colOff>
                    <xdr:row>12</xdr:row>
                    <xdr:rowOff>0</xdr:rowOff>
                  </from>
                  <to>
                    <xdr:col>12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47625</xdr:colOff>
                    <xdr:row>23</xdr:row>
                    <xdr:rowOff>0</xdr:rowOff>
                  </from>
                  <to>
                    <xdr:col>10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47625</xdr:colOff>
                    <xdr:row>23</xdr:row>
                    <xdr:rowOff>0</xdr:rowOff>
                  </from>
                  <to>
                    <xdr:col>12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47625</xdr:colOff>
                    <xdr:row>39</xdr:row>
                    <xdr:rowOff>19050</xdr:rowOff>
                  </from>
                  <to>
                    <xdr:col>10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47625</xdr:colOff>
                    <xdr:row>39</xdr:row>
                    <xdr:rowOff>19050</xdr:rowOff>
                  </from>
                  <to>
                    <xdr:col>12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47625</xdr:colOff>
                    <xdr:row>40</xdr:row>
                    <xdr:rowOff>19050</xdr:rowOff>
                  </from>
                  <to>
                    <xdr:col>10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47625</xdr:colOff>
                    <xdr:row>40</xdr:row>
                    <xdr:rowOff>19050</xdr:rowOff>
                  </from>
                  <to>
                    <xdr:col>12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47625</xdr:colOff>
                    <xdr:row>15</xdr:row>
                    <xdr:rowOff>0</xdr:rowOff>
                  </from>
                  <to>
                    <xdr:col>10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47625</xdr:colOff>
                    <xdr:row>15</xdr:row>
                    <xdr:rowOff>0</xdr:rowOff>
                  </from>
                  <to>
                    <xdr:col>12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47625</xdr:colOff>
                    <xdr:row>17</xdr:row>
                    <xdr:rowOff>0</xdr:rowOff>
                  </from>
                  <to>
                    <xdr:col>10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47625</xdr:colOff>
                    <xdr:row>17</xdr:row>
                    <xdr:rowOff>0</xdr:rowOff>
                  </from>
                  <to>
                    <xdr:col>12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0</xdr:rowOff>
                  </from>
                  <to>
                    <xdr:col>10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38100</xdr:colOff>
                    <xdr:row>21</xdr:row>
                    <xdr:rowOff>0</xdr:rowOff>
                  </from>
                  <to>
                    <xdr:col>12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47625</xdr:colOff>
                    <xdr:row>28</xdr:row>
                    <xdr:rowOff>0</xdr:rowOff>
                  </from>
                  <to>
                    <xdr:col>10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47625</xdr:colOff>
                    <xdr:row>28</xdr:row>
                    <xdr:rowOff>0</xdr:rowOff>
                  </from>
                  <to>
                    <xdr:col>12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47625</xdr:colOff>
                    <xdr:row>29</xdr:row>
                    <xdr:rowOff>0</xdr:rowOff>
                  </from>
                  <to>
                    <xdr:col>10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47625</xdr:colOff>
                    <xdr:row>29</xdr:row>
                    <xdr:rowOff>0</xdr:rowOff>
                  </from>
                  <to>
                    <xdr:col>12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47625</xdr:colOff>
                    <xdr:row>30</xdr:row>
                    <xdr:rowOff>0</xdr:rowOff>
                  </from>
                  <to>
                    <xdr:col>10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47625</xdr:colOff>
                    <xdr:row>30</xdr:row>
                    <xdr:rowOff>0</xdr:rowOff>
                  </from>
                  <to>
                    <xdr:col>12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47625</xdr:colOff>
                    <xdr:row>31</xdr:row>
                    <xdr:rowOff>0</xdr:rowOff>
                  </from>
                  <to>
                    <xdr:col>10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47625</xdr:colOff>
                    <xdr:row>31</xdr:row>
                    <xdr:rowOff>0</xdr:rowOff>
                  </from>
                  <to>
                    <xdr:col>12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47625</xdr:colOff>
                    <xdr:row>32</xdr:row>
                    <xdr:rowOff>0</xdr:rowOff>
                  </from>
                  <to>
                    <xdr:col>10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47625</xdr:colOff>
                    <xdr:row>32</xdr:row>
                    <xdr:rowOff>0</xdr:rowOff>
                  </from>
                  <to>
                    <xdr:col>12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47625</xdr:colOff>
                    <xdr:row>35</xdr:row>
                    <xdr:rowOff>0</xdr:rowOff>
                  </from>
                  <to>
                    <xdr:col>10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47625</xdr:colOff>
                    <xdr:row>35</xdr:row>
                    <xdr:rowOff>0</xdr:rowOff>
                  </from>
                  <to>
                    <xdr:col>12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47625</xdr:colOff>
                    <xdr:row>24</xdr:row>
                    <xdr:rowOff>19050</xdr:rowOff>
                  </from>
                  <to>
                    <xdr:col>10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47625</xdr:colOff>
                    <xdr:row>24</xdr:row>
                    <xdr:rowOff>19050</xdr:rowOff>
                  </from>
                  <to>
                    <xdr:col>12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47625</xdr:colOff>
                    <xdr:row>16</xdr:row>
                    <xdr:rowOff>0</xdr:rowOff>
                  </from>
                  <to>
                    <xdr:col>2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47625</xdr:colOff>
                    <xdr:row>16</xdr:row>
                    <xdr:rowOff>0</xdr:rowOff>
                  </from>
                  <to>
                    <xdr:col>6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0</xdr:rowOff>
                  </from>
                  <to>
                    <xdr:col>8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15</xdr:col>
                    <xdr:colOff>47625</xdr:colOff>
                    <xdr:row>16</xdr:row>
                    <xdr:rowOff>0</xdr:rowOff>
                  </from>
                  <to>
                    <xdr:col>16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47625</xdr:colOff>
                    <xdr:row>16</xdr:row>
                    <xdr:rowOff>0</xdr:rowOff>
                  </from>
                  <to>
                    <xdr:col>4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47625</xdr:colOff>
                    <xdr:row>16</xdr:row>
                    <xdr:rowOff>0</xdr:rowOff>
                  </from>
                  <to>
                    <xdr:col>10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47625</xdr:colOff>
                    <xdr:row>16</xdr:row>
                    <xdr:rowOff>0</xdr:rowOff>
                  </from>
                  <to>
                    <xdr:col>12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47625</xdr:colOff>
                    <xdr:row>37</xdr:row>
                    <xdr:rowOff>0</xdr:rowOff>
                  </from>
                  <to>
                    <xdr:col>2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0</xdr:rowOff>
                  </from>
                  <to>
                    <xdr:col>6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0</xdr:rowOff>
                  </from>
                  <to>
                    <xdr:col>8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15</xdr:col>
                    <xdr:colOff>47625</xdr:colOff>
                    <xdr:row>37</xdr:row>
                    <xdr:rowOff>0</xdr:rowOff>
                  </from>
                  <to>
                    <xdr:col>16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0</xdr:rowOff>
                  </from>
                  <to>
                    <xdr:col>4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47625</xdr:colOff>
                    <xdr:row>37</xdr:row>
                    <xdr:rowOff>0</xdr:rowOff>
                  </from>
                  <to>
                    <xdr:col>10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47625</xdr:colOff>
                    <xdr:row>37</xdr:row>
                    <xdr:rowOff>0</xdr:rowOff>
                  </from>
                  <to>
                    <xdr:col>12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15</xdr:col>
                    <xdr:colOff>47625</xdr:colOff>
                    <xdr:row>33</xdr:row>
                    <xdr:rowOff>19050</xdr:rowOff>
                  </from>
                  <to>
                    <xdr:col>16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47625</xdr:colOff>
                    <xdr:row>33</xdr:row>
                    <xdr:rowOff>19050</xdr:rowOff>
                  </from>
                  <to>
                    <xdr:col>10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47625</xdr:colOff>
                    <xdr:row>33</xdr:row>
                    <xdr:rowOff>19050</xdr:rowOff>
                  </from>
                  <to>
                    <xdr:col>12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47625</xdr:colOff>
                    <xdr:row>41</xdr:row>
                    <xdr:rowOff>19050</xdr:rowOff>
                  </from>
                  <to>
                    <xdr:col>2</xdr:col>
                    <xdr:colOff>628650</xdr:colOff>
                    <xdr:row>41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17</xdr:col>
                    <xdr:colOff>47625</xdr:colOff>
                    <xdr:row>10</xdr:row>
                    <xdr:rowOff>0</xdr:rowOff>
                  </from>
                  <to>
                    <xdr:col>18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17</xdr:col>
                    <xdr:colOff>47625</xdr:colOff>
                    <xdr:row>11</xdr:row>
                    <xdr:rowOff>0</xdr:rowOff>
                  </from>
                  <to>
                    <xdr:col>18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17</xdr:col>
                    <xdr:colOff>47625</xdr:colOff>
                    <xdr:row>13</xdr:row>
                    <xdr:rowOff>0</xdr:rowOff>
                  </from>
                  <to>
                    <xdr:col>18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17</xdr:col>
                    <xdr:colOff>47625</xdr:colOff>
                    <xdr:row>14</xdr:row>
                    <xdr:rowOff>0</xdr:rowOff>
                  </from>
                  <to>
                    <xdr:col>18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17</xdr:col>
                    <xdr:colOff>38100</xdr:colOff>
                    <xdr:row>20</xdr:row>
                    <xdr:rowOff>0</xdr:rowOff>
                  </from>
                  <to>
                    <xdr:col>18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17</xdr:col>
                    <xdr:colOff>47625</xdr:colOff>
                    <xdr:row>19</xdr:row>
                    <xdr:rowOff>0</xdr:rowOff>
                  </from>
                  <to>
                    <xdr:col>18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17</xdr:col>
                    <xdr:colOff>47625</xdr:colOff>
                    <xdr:row>36</xdr:row>
                    <xdr:rowOff>0</xdr:rowOff>
                  </from>
                  <to>
                    <xdr:col>18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17</xdr:col>
                    <xdr:colOff>47625</xdr:colOff>
                    <xdr:row>22</xdr:row>
                    <xdr:rowOff>0</xdr:rowOff>
                  </from>
                  <to>
                    <xdr:col>18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17</xdr:col>
                    <xdr:colOff>47625</xdr:colOff>
                    <xdr:row>25</xdr:row>
                    <xdr:rowOff>0</xdr:rowOff>
                  </from>
                  <to>
                    <xdr:col>18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17</xdr:col>
                    <xdr:colOff>47625</xdr:colOff>
                    <xdr:row>26</xdr:row>
                    <xdr:rowOff>0</xdr:rowOff>
                  </from>
                  <to>
                    <xdr:col>18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17</xdr:col>
                    <xdr:colOff>47625</xdr:colOff>
                    <xdr:row>27</xdr:row>
                    <xdr:rowOff>0</xdr:rowOff>
                  </from>
                  <to>
                    <xdr:col>18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17</xdr:col>
                    <xdr:colOff>38100</xdr:colOff>
                    <xdr:row>18</xdr:row>
                    <xdr:rowOff>0</xdr:rowOff>
                  </from>
                  <to>
                    <xdr:col>18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17</xdr:col>
                    <xdr:colOff>47625</xdr:colOff>
                    <xdr:row>34</xdr:row>
                    <xdr:rowOff>19050</xdr:rowOff>
                  </from>
                  <to>
                    <xdr:col>18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17</xdr:col>
                    <xdr:colOff>47625</xdr:colOff>
                    <xdr:row>38</xdr:row>
                    <xdr:rowOff>19050</xdr:rowOff>
                  </from>
                  <to>
                    <xdr:col>18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17</xdr:col>
                    <xdr:colOff>47625</xdr:colOff>
                    <xdr:row>12</xdr:row>
                    <xdr:rowOff>0</xdr:rowOff>
                  </from>
                  <to>
                    <xdr:col>18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17</xdr:col>
                    <xdr:colOff>47625</xdr:colOff>
                    <xdr:row>23</xdr:row>
                    <xdr:rowOff>0</xdr:rowOff>
                  </from>
                  <to>
                    <xdr:col>18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17</xdr:col>
                    <xdr:colOff>47625</xdr:colOff>
                    <xdr:row>39</xdr:row>
                    <xdr:rowOff>19050</xdr:rowOff>
                  </from>
                  <to>
                    <xdr:col>18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17</xdr:col>
                    <xdr:colOff>47625</xdr:colOff>
                    <xdr:row>40</xdr:row>
                    <xdr:rowOff>19050</xdr:rowOff>
                  </from>
                  <to>
                    <xdr:col>18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17</xdr:col>
                    <xdr:colOff>47625</xdr:colOff>
                    <xdr:row>15</xdr:row>
                    <xdr:rowOff>0</xdr:rowOff>
                  </from>
                  <to>
                    <xdr:col>18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17</xdr:col>
                    <xdr:colOff>47625</xdr:colOff>
                    <xdr:row>17</xdr:row>
                    <xdr:rowOff>0</xdr:rowOff>
                  </from>
                  <to>
                    <xdr:col>18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17</xdr:col>
                    <xdr:colOff>38100</xdr:colOff>
                    <xdr:row>21</xdr:row>
                    <xdr:rowOff>0</xdr:rowOff>
                  </from>
                  <to>
                    <xdr:col>18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17</xdr:col>
                    <xdr:colOff>47625</xdr:colOff>
                    <xdr:row>28</xdr:row>
                    <xdr:rowOff>0</xdr:rowOff>
                  </from>
                  <to>
                    <xdr:col>18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17</xdr:col>
                    <xdr:colOff>47625</xdr:colOff>
                    <xdr:row>29</xdr:row>
                    <xdr:rowOff>0</xdr:rowOff>
                  </from>
                  <to>
                    <xdr:col>18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17</xdr:col>
                    <xdr:colOff>47625</xdr:colOff>
                    <xdr:row>30</xdr:row>
                    <xdr:rowOff>0</xdr:rowOff>
                  </from>
                  <to>
                    <xdr:col>18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17</xdr:col>
                    <xdr:colOff>47625</xdr:colOff>
                    <xdr:row>31</xdr:row>
                    <xdr:rowOff>0</xdr:rowOff>
                  </from>
                  <to>
                    <xdr:col>18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17</xdr:col>
                    <xdr:colOff>47625</xdr:colOff>
                    <xdr:row>32</xdr:row>
                    <xdr:rowOff>0</xdr:rowOff>
                  </from>
                  <to>
                    <xdr:col>18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17</xdr:col>
                    <xdr:colOff>47625</xdr:colOff>
                    <xdr:row>35</xdr:row>
                    <xdr:rowOff>0</xdr:rowOff>
                  </from>
                  <to>
                    <xdr:col>18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17</xdr:col>
                    <xdr:colOff>47625</xdr:colOff>
                    <xdr:row>24</xdr:row>
                    <xdr:rowOff>19050</xdr:rowOff>
                  </from>
                  <to>
                    <xdr:col>18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17</xdr:col>
                    <xdr:colOff>47625</xdr:colOff>
                    <xdr:row>16</xdr:row>
                    <xdr:rowOff>0</xdr:rowOff>
                  </from>
                  <to>
                    <xdr:col>18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17</xdr:col>
                    <xdr:colOff>47625</xdr:colOff>
                    <xdr:row>37</xdr:row>
                    <xdr:rowOff>0</xdr:rowOff>
                  </from>
                  <to>
                    <xdr:col>18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17</xdr:col>
                    <xdr:colOff>47625</xdr:colOff>
                    <xdr:row>33</xdr:row>
                    <xdr:rowOff>19050</xdr:rowOff>
                  </from>
                  <to>
                    <xdr:col>18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19</xdr:col>
                    <xdr:colOff>47625</xdr:colOff>
                    <xdr:row>10</xdr:row>
                    <xdr:rowOff>0</xdr:rowOff>
                  </from>
                  <to>
                    <xdr:col>20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19</xdr:col>
                    <xdr:colOff>47625</xdr:colOff>
                    <xdr:row>11</xdr:row>
                    <xdr:rowOff>0</xdr:rowOff>
                  </from>
                  <to>
                    <xdr:col>20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19</xdr:col>
                    <xdr:colOff>47625</xdr:colOff>
                    <xdr:row>13</xdr:row>
                    <xdr:rowOff>0</xdr:rowOff>
                  </from>
                  <to>
                    <xdr:col>20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19</xdr:col>
                    <xdr:colOff>47625</xdr:colOff>
                    <xdr:row>14</xdr:row>
                    <xdr:rowOff>0</xdr:rowOff>
                  </from>
                  <to>
                    <xdr:col>20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19</xdr:col>
                    <xdr:colOff>38100</xdr:colOff>
                    <xdr:row>20</xdr:row>
                    <xdr:rowOff>0</xdr:rowOff>
                  </from>
                  <to>
                    <xdr:col>20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19</xdr:col>
                    <xdr:colOff>47625</xdr:colOff>
                    <xdr:row>19</xdr:row>
                    <xdr:rowOff>0</xdr:rowOff>
                  </from>
                  <to>
                    <xdr:col>20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19</xdr:col>
                    <xdr:colOff>47625</xdr:colOff>
                    <xdr:row>36</xdr:row>
                    <xdr:rowOff>0</xdr:rowOff>
                  </from>
                  <to>
                    <xdr:col>20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19</xdr:col>
                    <xdr:colOff>47625</xdr:colOff>
                    <xdr:row>22</xdr:row>
                    <xdr:rowOff>0</xdr:rowOff>
                  </from>
                  <to>
                    <xdr:col>20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19</xdr:col>
                    <xdr:colOff>47625</xdr:colOff>
                    <xdr:row>25</xdr:row>
                    <xdr:rowOff>0</xdr:rowOff>
                  </from>
                  <to>
                    <xdr:col>20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19</xdr:col>
                    <xdr:colOff>47625</xdr:colOff>
                    <xdr:row>26</xdr:row>
                    <xdr:rowOff>0</xdr:rowOff>
                  </from>
                  <to>
                    <xdr:col>20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19</xdr:col>
                    <xdr:colOff>47625</xdr:colOff>
                    <xdr:row>27</xdr:row>
                    <xdr:rowOff>0</xdr:rowOff>
                  </from>
                  <to>
                    <xdr:col>20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19</xdr:col>
                    <xdr:colOff>38100</xdr:colOff>
                    <xdr:row>18</xdr:row>
                    <xdr:rowOff>0</xdr:rowOff>
                  </from>
                  <to>
                    <xdr:col>20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19</xdr:col>
                    <xdr:colOff>47625</xdr:colOff>
                    <xdr:row>34</xdr:row>
                    <xdr:rowOff>19050</xdr:rowOff>
                  </from>
                  <to>
                    <xdr:col>20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19</xdr:col>
                    <xdr:colOff>47625</xdr:colOff>
                    <xdr:row>38</xdr:row>
                    <xdr:rowOff>19050</xdr:rowOff>
                  </from>
                  <to>
                    <xdr:col>20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19</xdr:col>
                    <xdr:colOff>47625</xdr:colOff>
                    <xdr:row>12</xdr:row>
                    <xdr:rowOff>0</xdr:rowOff>
                  </from>
                  <to>
                    <xdr:col>20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19</xdr:col>
                    <xdr:colOff>47625</xdr:colOff>
                    <xdr:row>23</xdr:row>
                    <xdr:rowOff>0</xdr:rowOff>
                  </from>
                  <to>
                    <xdr:col>20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19</xdr:col>
                    <xdr:colOff>47625</xdr:colOff>
                    <xdr:row>39</xdr:row>
                    <xdr:rowOff>19050</xdr:rowOff>
                  </from>
                  <to>
                    <xdr:col>20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19</xdr:col>
                    <xdr:colOff>47625</xdr:colOff>
                    <xdr:row>40</xdr:row>
                    <xdr:rowOff>19050</xdr:rowOff>
                  </from>
                  <to>
                    <xdr:col>20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19</xdr:col>
                    <xdr:colOff>47625</xdr:colOff>
                    <xdr:row>15</xdr:row>
                    <xdr:rowOff>0</xdr:rowOff>
                  </from>
                  <to>
                    <xdr:col>20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19</xdr:col>
                    <xdr:colOff>47625</xdr:colOff>
                    <xdr:row>17</xdr:row>
                    <xdr:rowOff>0</xdr:rowOff>
                  </from>
                  <to>
                    <xdr:col>20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19</xdr:col>
                    <xdr:colOff>38100</xdr:colOff>
                    <xdr:row>21</xdr:row>
                    <xdr:rowOff>0</xdr:rowOff>
                  </from>
                  <to>
                    <xdr:col>20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19</xdr:col>
                    <xdr:colOff>47625</xdr:colOff>
                    <xdr:row>28</xdr:row>
                    <xdr:rowOff>0</xdr:rowOff>
                  </from>
                  <to>
                    <xdr:col>20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19</xdr:col>
                    <xdr:colOff>47625</xdr:colOff>
                    <xdr:row>29</xdr:row>
                    <xdr:rowOff>0</xdr:rowOff>
                  </from>
                  <to>
                    <xdr:col>20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19</xdr:col>
                    <xdr:colOff>47625</xdr:colOff>
                    <xdr:row>30</xdr:row>
                    <xdr:rowOff>0</xdr:rowOff>
                  </from>
                  <to>
                    <xdr:col>20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19</xdr:col>
                    <xdr:colOff>47625</xdr:colOff>
                    <xdr:row>31</xdr:row>
                    <xdr:rowOff>0</xdr:rowOff>
                  </from>
                  <to>
                    <xdr:col>20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19</xdr:col>
                    <xdr:colOff>47625</xdr:colOff>
                    <xdr:row>32</xdr:row>
                    <xdr:rowOff>0</xdr:rowOff>
                  </from>
                  <to>
                    <xdr:col>20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19</xdr:col>
                    <xdr:colOff>47625</xdr:colOff>
                    <xdr:row>35</xdr:row>
                    <xdr:rowOff>0</xdr:rowOff>
                  </from>
                  <to>
                    <xdr:col>20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19</xdr:col>
                    <xdr:colOff>47625</xdr:colOff>
                    <xdr:row>24</xdr:row>
                    <xdr:rowOff>19050</xdr:rowOff>
                  </from>
                  <to>
                    <xdr:col>20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19</xdr:col>
                    <xdr:colOff>47625</xdr:colOff>
                    <xdr:row>16</xdr:row>
                    <xdr:rowOff>0</xdr:rowOff>
                  </from>
                  <to>
                    <xdr:col>20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19</xdr:col>
                    <xdr:colOff>47625</xdr:colOff>
                    <xdr:row>37</xdr:row>
                    <xdr:rowOff>0</xdr:rowOff>
                  </from>
                  <to>
                    <xdr:col>20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19</xdr:col>
                    <xdr:colOff>47625</xdr:colOff>
                    <xdr:row>33</xdr:row>
                    <xdr:rowOff>19050</xdr:rowOff>
                  </from>
                  <to>
                    <xdr:col>20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3" r:id="rId284" name="Spinner 343">
              <controlPr defaultSize="0" autoPict="0">
                <anchor moveWithCells="1" sizeWithCells="1">
                  <from>
                    <xdr:col>10</xdr:col>
                    <xdr:colOff>638175</xdr:colOff>
                    <xdr:row>2</xdr:row>
                    <xdr:rowOff>57150</xdr:rowOff>
                  </from>
                  <to>
                    <xdr:col>10</xdr:col>
                    <xdr:colOff>714375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activeCellId="9" sqref="C4:C35 E4:E34 G4:G34 I4:I34 K4:K34 M4:M34 O4:O34 Q4:Q34 S4:S34 D38"/>
    </sheetView>
  </sheetViews>
  <sheetFormatPr defaultColWidth="9.140625" defaultRowHeight="12.75" x14ac:dyDescent="0.2"/>
  <cols>
    <col min="1" max="16384" width="9.140625" style="158"/>
  </cols>
  <sheetData>
    <row r="1" spans="1:21" x14ac:dyDescent="0.2">
      <c r="A1" s="373"/>
      <c r="D1" s="174"/>
      <c r="F1" s="174"/>
      <c r="H1" s="174"/>
      <c r="J1" s="174"/>
      <c r="L1" s="174"/>
      <c r="N1" s="174"/>
      <c r="P1" s="174"/>
      <c r="R1" s="174"/>
    </row>
    <row r="2" spans="1:21" x14ac:dyDescent="0.2">
      <c r="A2" s="174"/>
      <c r="D2" s="174"/>
      <c r="F2" s="174"/>
      <c r="H2" s="174"/>
      <c r="L2" s="174"/>
    </row>
    <row r="3" spans="1:21" x14ac:dyDescent="0.2">
      <c r="A3" s="174" t="s">
        <v>751</v>
      </c>
      <c r="B3" s="158" t="s">
        <v>752</v>
      </c>
      <c r="D3" s="158" t="s">
        <v>755</v>
      </c>
      <c r="F3" s="158" t="s">
        <v>756</v>
      </c>
      <c r="H3" s="158" t="s">
        <v>757</v>
      </c>
      <c r="J3" s="158" t="s">
        <v>154</v>
      </c>
      <c r="L3" s="174" t="s">
        <v>758</v>
      </c>
      <c r="N3" s="158" t="s">
        <v>759</v>
      </c>
      <c r="P3" s="158" t="s">
        <v>760</v>
      </c>
      <c r="R3" s="158" t="s">
        <v>761</v>
      </c>
    </row>
    <row r="4" spans="1:21" x14ac:dyDescent="0.2">
      <c r="B4" s="158" t="str">
        <f>IF(C4,"A","")</f>
        <v/>
      </c>
      <c r="C4" s="562" t="b">
        <v>0</v>
      </c>
      <c r="D4" s="158" t="str">
        <f>IF(E4,"A","")</f>
        <v/>
      </c>
      <c r="E4" s="562" t="b">
        <v>0</v>
      </c>
      <c r="F4" s="158" t="str">
        <f>IF(G4,"A","")</f>
        <v/>
      </c>
      <c r="G4" s="562" t="b">
        <v>0</v>
      </c>
      <c r="H4" s="158" t="str">
        <f>IF(I4,"A","")</f>
        <v/>
      </c>
      <c r="I4" s="562" t="b">
        <v>0</v>
      </c>
      <c r="J4" s="158" t="str">
        <f>IF(K4,"A","")</f>
        <v/>
      </c>
      <c r="K4" s="562" t="b">
        <v>0</v>
      </c>
      <c r="L4" s="158" t="str">
        <f>IF(M4,"A","")</f>
        <v/>
      </c>
      <c r="M4" s="562" t="b">
        <v>0</v>
      </c>
      <c r="N4" s="158" t="str">
        <f>IF(O4,"A","")</f>
        <v/>
      </c>
      <c r="O4" s="562" t="b">
        <v>0</v>
      </c>
      <c r="P4" s="158" t="str">
        <f>IF(Q4,"A","")</f>
        <v/>
      </c>
      <c r="Q4" s="562" t="b">
        <v>0</v>
      </c>
      <c r="R4" s="158" t="str">
        <f>IF(S4,"A","")</f>
        <v/>
      </c>
      <c r="S4" s="562" t="b">
        <v>0</v>
      </c>
      <c r="U4" s="208"/>
    </row>
    <row r="5" spans="1:21" x14ac:dyDescent="0.2">
      <c r="B5" s="158" t="str">
        <f>IF(C5,"Na K","")</f>
        <v/>
      </c>
      <c r="C5" s="562" t="b">
        <v>0</v>
      </c>
      <c r="D5" s="158" t="str">
        <f>IF(E5,"Na K","")</f>
        <v/>
      </c>
      <c r="E5" s="562" t="b">
        <v>0</v>
      </c>
      <c r="F5" s="158" t="str">
        <f>IF(G5,"Na K","")</f>
        <v/>
      </c>
      <c r="G5" s="562" t="b">
        <v>0</v>
      </c>
      <c r="H5" s="158" t="str">
        <f>IF(I5,"Na K","")</f>
        <v/>
      </c>
      <c r="I5" s="562" t="b">
        <v>0</v>
      </c>
      <c r="J5" s="158" t="str">
        <f>IF(K5,"Na K","")</f>
        <v/>
      </c>
      <c r="K5" s="562" t="b">
        <v>0</v>
      </c>
      <c r="L5" s="158" t="str">
        <f>IF(M5,"Na K","")</f>
        <v/>
      </c>
      <c r="M5" s="562" t="b">
        <v>0</v>
      </c>
      <c r="N5" s="158" t="str">
        <f>IF(O5,"Na K","")</f>
        <v/>
      </c>
      <c r="O5" s="562" t="b">
        <v>0</v>
      </c>
      <c r="P5" s="158" t="str">
        <f>IF(Q5,"Na K","")</f>
        <v/>
      </c>
      <c r="Q5" s="562" t="b">
        <v>0</v>
      </c>
      <c r="R5" s="158" t="str">
        <f>IF(S5,"Na K","")</f>
        <v/>
      </c>
      <c r="S5" s="562" t="b">
        <v>0</v>
      </c>
      <c r="U5" s="208"/>
    </row>
    <row r="6" spans="1:21" x14ac:dyDescent="0.2">
      <c r="A6" s="360"/>
      <c r="B6" s="158" t="str">
        <f>IF(C6,"Cl","")</f>
        <v/>
      </c>
      <c r="C6" s="562" t="b">
        <v>0</v>
      </c>
      <c r="D6" s="158" t="str">
        <f>IF(E6,"Cl","")</f>
        <v/>
      </c>
      <c r="E6" s="562" t="b">
        <v>0</v>
      </c>
      <c r="F6" s="158" t="str">
        <f>IF(G6,"Cl","")</f>
        <v/>
      </c>
      <c r="G6" s="562" t="b">
        <v>0</v>
      </c>
      <c r="H6" s="158" t="str">
        <f>IF(I6,"Cl","")</f>
        <v/>
      </c>
      <c r="I6" s="562" t="b">
        <v>0</v>
      </c>
      <c r="J6" s="158" t="str">
        <f>IF(K6,"Cl","")</f>
        <v/>
      </c>
      <c r="K6" s="562" t="b">
        <v>0</v>
      </c>
      <c r="L6" s="158" t="str">
        <f>IF(M6,"Cl","")</f>
        <v/>
      </c>
      <c r="M6" s="562" t="b">
        <v>0</v>
      </c>
      <c r="N6" s="158" t="str">
        <f>IF(O6,"Cl","")</f>
        <v/>
      </c>
      <c r="O6" s="562" t="b">
        <v>0</v>
      </c>
      <c r="P6" s="158" t="str">
        <f>IF(Q6,"Cl","")</f>
        <v/>
      </c>
      <c r="Q6" s="562" t="b">
        <v>0</v>
      </c>
      <c r="R6" s="158" t="str">
        <f>IF(S6,"Cl","")</f>
        <v/>
      </c>
      <c r="S6" s="562" t="b">
        <v>0</v>
      </c>
      <c r="U6" s="208"/>
    </row>
    <row r="7" spans="1:21" x14ac:dyDescent="0.2">
      <c r="B7" s="158" t="str">
        <f>IF(C7,"Gluc","")</f>
        <v/>
      </c>
      <c r="C7" s="562" t="b">
        <v>0</v>
      </c>
      <c r="D7" s="158" t="str">
        <f>IF(E7,"Gluc","")</f>
        <v/>
      </c>
      <c r="E7" s="562" t="b">
        <v>0</v>
      </c>
      <c r="F7" s="158" t="str">
        <f>IF(G7,"Gluc","")</f>
        <v/>
      </c>
      <c r="G7" s="562" t="b">
        <v>0</v>
      </c>
      <c r="H7" s="158" t="str">
        <f>IF(I7,"Gluc","")</f>
        <v/>
      </c>
      <c r="I7" s="562" t="b">
        <v>0</v>
      </c>
      <c r="J7" s="158" t="str">
        <f>IF(K7,"Gluc","")</f>
        <v/>
      </c>
      <c r="K7" s="562" t="b">
        <v>0</v>
      </c>
      <c r="L7" s="158" t="str">
        <f>IF(M7,"Gluc","")</f>
        <v/>
      </c>
      <c r="M7" s="562" t="b">
        <v>0</v>
      </c>
      <c r="N7" s="158" t="str">
        <f>IF(O7,"Gluc","")</f>
        <v/>
      </c>
      <c r="O7" s="562" t="b">
        <v>0</v>
      </c>
      <c r="P7" s="158" t="str">
        <f>IF(Q7,"Gluc","")</f>
        <v/>
      </c>
      <c r="Q7" s="562" t="b">
        <v>0</v>
      </c>
      <c r="R7" s="158" t="str">
        <f>IF(S7,"Gluc","")</f>
        <v/>
      </c>
      <c r="S7" s="562" t="b">
        <v>0</v>
      </c>
      <c r="U7" s="208"/>
    </row>
    <row r="8" spans="1:21" x14ac:dyDescent="0.2">
      <c r="B8" s="158" t="str">
        <f>IF(C8,"Hb Ht","")</f>
        <v/>
      </c>
      <c r="C8" s="562" t="b">
        <v>0</v>
      </c>
      <c r="D8" s="158" t="str">
        <f>IF(E8,"Hb Ht","")</f>
        <v/>
      </c>
      <c r="E8" s="562" t="b">
        <v>0</v>
      </c>
      <c r="F8" s="158" t="str">
        <f>IF(G8,"Hb Ht","")</f>
        <v/>
      </c>
      <c r="G8" s="562" t="b">
        <v>0</v>
      </c>
      <c r="H8" s="158" t="str">
        <f>IF(I8,"Hb Ht","")</f>
        <v/>
      </c>
      <c r="I8" s="562" t="b">
        <v>0</v>
      </c>
      <c r="J8" s="158" t="str">
        <f>IF(K8,"Hb Ht","")</f>
        <v/>
      </c>
      <c r="K8" s="562" t="b">
        <v>0</v>
      </c>
      <c r="L8" s="158" t="str">
        <f>IF(M8,"Hb Ht","")</f>
        <v/>
      </c>
      <c r="M8" s="562" t="b">
        <v>0</v>
      </c>
      <c r="N8" s="158" t="str">
        <f>IF(O8,"Hb Ht","")</f>
        <v/>
      </c>
      <c r="O8" s="562" t="b">
        <v>0</v>
      </c>
      <c r="P8" s="158" t="str">
        <f>IF(Q8,"Hb Ht","")</f>
        <v/>
      </c>
      <c r="Q8" s="562" t="b">
        <v>0</v>
      </c>
      <c r="R8" s="158" t="str">
        <f>IF(S8,"Hb Ht","")</f>
        <v/>
      </c>
      <c r="S8" s="562" t="b">
        <v>0</v>
      </c>
      <c r="U8" s="208"/>
    </row>
    <row r="9" spans="1:21" x14ac:dyDescent="0.2">
      <c r="B9" s="158" t="str">
        <f>IF(C9,"L","")</f>
        <v/>
      </c>
      <c r="C9" s="562" t="b">
        <v>0</v>
      </c>
      <c r="D9" s="158" t="str">
        <f>IF(E9,"L","")</f>
        <v/>
      </c>
      <c r="E9" s="562" t="b">
        <v>0</v>
      </c>
      <c r="F9" s="158" t="str">
        <f>IF(G9,"L","")</f>
        <v/>
      </c>
      <c r="G9" s="562" t="b">
        <v>0</v>
      </c>
      <c r="H9" s="158" t="str">
        <f>IF(I9,"L","")</f>
        <v/>
      </c>
      <c r="I9" s="562" t="b">
        <v>0</v>
      </c>
      <c r="J9" s="158" t="str">
        <f>IF(K9,"L","")</f>
        <v/>
      </c>
      <c r="K9" s="562" t="b">
        <v>0</v>
      </c>
      <c r="L9" s="158" t="str">
        <f>IF(M9,"L","")</f>
        <v/>
      </c>
      <c r="M9" s="562" t="b">
        <v>0</v>
      </c>
      <c r="N9" s="158" t="str">
        <f>IF(O9,"L","")</f>
        <v/>
      </c>
      <c r="O9" s="562" t="b">
        <v>0</v>
      </c>
      <c r="P9" s="158" t="str">
        <f>IF(Q9,"L","")</f>
        <v/>
      </c>
      <c r="Q9" s="562" t="b">
        <v>0</v>
      </c>
      <c r="R9" s="158" t="str">
        <f>IF(S9,"L","")</f>
        <v/>
      </c>
      <c r="S9" s="562" t="b">
        <v>0</v>
      </c>
      <c r="U9" s="208"/>
    </row>
    <row r="10" spans="1:21" x14ac:dyDescent="0.2">
      <c r="B10" s="158" t="str">
        <f>IF(C10,"L+diff","")</f>
        <v/>
      </c>
      <c r="C10" s="562" t="b">
        <v>0</v>
      </c>
      <c r="D10" s="158" t="str">
        <f>IF(E10,"L+diff","")</f>
        <v/>
      </c>
      <c r="E10" s="562" t="b">
        <v>0</v>
      </c>
      <c r="F10" s="158" t="str">
        <f>IF(G10,"L+diff","")</f>
        <v/>
      </c>
      <c r="G10" s="562" t="b">
        <v>0</v>
      </c>
      <c r="H10" s="158" t="str">
        <f>IF(I10,"L+diff","")</f>
        <v/>
      </c>
      <c r="I10" s="562" t="b">
        <v>0</v>
      </c>
      <c r="J10" s="158" t="str">
        <f>IF(K10,"L+diff","")</f>
        <v/>
      </c>
      <c r="K10" s="562" t="b">
        <v>0</v>
      </c>
      <c r="L10" s="158" t="str">
        <f>IF(M10,"L+diff","")</f>
        <v/>
      </c>
      <c r="M10" s="562" t="b">
        <v>0</v>
      </c>
      <c r="N10" s="158" t="str">
        <f>IF(O10,"L+diff","")</f>
        <v/>
      </c>
      <c r="O10" s="562" t="b">
        <v>0</v>
      </c>
      <c r="P10" s="158" t="str">
        <f>IF(Q10,"L+diff","")</f>
        <v/>
      </c>
      <c r="Q10" s="562" t="b">
        <v>0</v>
      </c>
      <c r="R10" s="158" t="str">
        <f>IF(S10,"L+diff","")</f>
        <v/>
      </c>
      <c r="S10" s="562" t="b">
        <v>0</v>
      </c>
      <c r="U10" s="208"/>
    </row>
    <row r="11" spans="1:21" x14ac:dyDescent="0.2">
      <c r="B11" s="158" t="str">
        <f>IF(C11,"T","")</f>
        <v/>
      </c>
      <c r="C11" s="562" t="b">
        <v>0</v>
      </c>
      <c r="D11" s="158" t="str">
        <f>IF(E11,"T","")</f>
        <v/>
      </c>
      <c r="E11" s="562" t="b">
        <v>0</v>
      </c>
      <c r="F11" s="158" t="str">
        <f>IF(G11,"T","")</f>
        <v/>
      </c>
      <c r="G11" s="562" t="b">
        <v>0</v>
      </c>
      <c r="H11" s="158" t="str">
        <f>IF(I11,"T","")</f>
        <v/>
      </c>
      <c r="I11" s="562" t="b">
        <v>0</v>
      </c>
      <c r="J11" s="158" t="str">
        <f>IF(K11,"T","")</f>
        <v/>
      </c>
      <c r="K11" s="562" t="b">
        <v>0</v>
      </c>
      <c r="L11" s="158" t="str">
        <f>IF(M11,"T","")</f>
        <v/>
      </c>
      <c r="M11" s="562" t="b">
        <v>0</v>
      </c>
      <c r="N11" s="158" t="str">
        <f>IF(O11,"T","")</f>
        <v/>
      </c>
      <c r="O11" s="562" t="b">
        <v>0</v>
      </c>
      <c r="P11" s="158" t="str">
        <f>IF(Q11,"T","")</f>
        <v/>
      </c>
      <c r="Q11" s="562" t="b">
        <v>0</v>
      </c>
      <c r="R11" s="158" t="str">
        <f>IF(S11,"T","")</f>
        <v/>
      </c>
      <c r="S11" s="562" t="b">
        <v>0</v>
      </c>
      <c r="U11" s="208"/>
    </row>
    <row r="12" spans="1:21" x14ac:dyDescent="0.2">
      <c r="B12" s="158" t="str">
        <f>IF(C12,"CRP","")</f>
        <v/>
      </c>
      <c r="C12" s="562" t="b">
        <v>0</v>
      </c>
      <c r="D12" s="158" t="str">
        <f>IF(E12,"CRP","")</f>
        <v/>
      </c>
      <c r="E12" s="562" t="b">
        <v>0</v>
      </c>
      <c r="F12" s="158" t="str">
        <f>IF(G12,"CRP","")</f>
        <v/>
      </c>
      <c r="G12" s="562" t="b">
        <v>0</v>
      </c>
      <c r="H12" s="158" t="str">
        <f>IF(I12,"CRP","")</f>
        <v/>
      </c>
      <c r="I12" s="562" t="b">
        <v>0</v>
      </c>
      <c r="J12" s="158" t="str">
        <f>IF(K12,"CRP","")</f>
        <v/>
      </c>
      <c r="K12" s="562" t="b">
        <v>0</v>
      </c>
      <c r="L12" s="158" t="str">
        <f>IF(M12,"CRP","")</f>
        <v/>
      </c>
      <c r="M12" s="562" t="b">
        <v>0</v>
      </c>
      <c r="N12" s="158" t="str">
        <f>IF(O12,"CRP","")</f>
        <v/>
      </c>
      <c r="O12" s="562" t="b">
        <v>0</v>
      </c>
      <c r="P12" s="158" t="str">
        <f>IF(Q12,"CRP","")</f>
        <v/>
      </c>
      <c r="Q12" s="562" t="b">
        <v>0</v>
      </c>
      <c r="R12" s="158" t="str">
        <f>IF(S12,"CRP","")</f>
        <v/>
      </c>
      <c r="S12" s="562" t="b">
        <v>0</v>
      </c>
      <c r="U12" s="208"/>
    </row>
    <row r="13" spans="1:21" x14ac:dyDescent="0.2">
      <c r="B13" s="158" t="str">
        <f>IF(C13,"Lac","")</f>
        <v/>
      </c>
      <c r="C13" s="562" t="b">
        <v>0</v>
      </c>
      <c r="D13" s="158" t="str">
        <f>IF(E13,"Lac","")</f>
        <v/>
      </c>
      <c r="E13" s="562" t="b">
        <v>0</v>
      </c>
      <c r="F13" s="158" t="str">
        <f>IF(G13,"Lac","")</f>
        <v/>
      </c>
      <c r="G13" s="562" t="b">
        <v>0</v>
      </c>
      <c r="H13" s="158" t="str">
        <f>IF(I13,"Lac","")</f>
        <v/>
      </c>
      <c r="I13" s="562" t="b">
        <v>0</v>
      </c>
      <c r="J13" s="158" t="str">
        <f>IF(K13,"Lac","")</f>
        <v/>
      </c>
      <c r="K13" s="562" t="b">
        <v>0</v>
      </c>
      <c r="L13" s="158" t="str">
        <f>IF(M13,"Lac","")</f>
        <v/>
      </c>
      <c r="M13" s="562" t="b">
        <v>0</v>
      </c>
      <c r="N13" s="158" t="str">
        <f>IF(O13,"Lac","")</f>
        <v/>
      </c>
      <c r="O13" s="562" t="b">
        <v>0</v>
      </c>
      <c r="P13" s="158" t="str">
        <f>IF(Q13,"Lac","")</f>
        <v/>
      </c>
      <c r="Q13" s="562" t="b">
        <v>0</v>
      </c>
      <c r="R13" s="158" t="str">
        <f>IF(S13,"Lac","")</f>
        <v/>
      </c>
      <c r="S13" s="562" t="b">
        <v>0</v>
      </c>
      <c r="U13" s="208"/>
    </row>
    <row r="14" spans="1:21" x14ac:dyDescent="0.2">
      <c r="B14" s="158" t="str">
        <f>IF(C14,"Ur","")</f>
        <v/>
      </c>
      <c r="C14" s="562" t="b">
        <v>0</v>
      </c>
      <c r="D14" s="158" t="str">
        <f>IF(E14,"Ur","")</f>
        <v/>
      </c>
      <c r="E14" s="562" t="b">
        <v>0</v>
      </c>
      <c r="F14" s="158" t="str">
        <f>IF(G14,"Ur","")</f>
        <v/>
      </c>
      <c r="G14" s="562" t="b">
        <v>0</v>
      </c>
      <c r="H14" s="158" t="str">
        <f>IF(I14,"Ur","")</f>
        <v/>
      </c>
      <c r="I14" s="562" t="b">
        <v>0</v>
      </c>
      <c r="J14" s="158" t="str">
        <f>IF(K14,"Ur","")</f>
        <v/>
      </c>
      <c r="K14" s="562" t="b">
        <v>0</v>
      </c>
      <c r="L14" s="158" t="str">
        <f>IF(M14,"Ur","")</f>
        <v/>
      </c>
      <c r="M14" s="562" t="b">
        <v>0</v>
      </c>
      <c r="N14" s="158" t="str">
        <f>IF(O14,"Ur","")</f>
        <v/>
      </c>
      <c r="O14" s="562" t="b">
        <v>0</v>
      </c>
      <c r="P14" s="158" t="str">
        <f>IF(Q14,"Ur","")</f>
        <v/>
      </c>
      <c r="Q14" s="562" t="b">
        <v>0</v>
      </c>
      <c r="R14" s="158" t="str">
        <f>IF(S14,"Ur","")</f>
        <v/>
      </c>
      <c r="S14" s="562" t="b">
        <v>0</v>
      </c>
      <c r="U14" s="208"/>
    </row>
    <row r="15" spans="1:21" x14ac:dyDescent="0.2">
      <c r="B15" s="158" t="str">
        <f>IF(C15,"Kr","")</f>
        <v/>
      </c>
      <c r="C15" s="562" t="b">
        <v>0</v>
      </c>
      <c r="D15" s="158" t="str">
        <f>IF(E15,"Kr++","")</f>
        <v/>
      </c>
      <c r="E15" s="562" t="b">
        <v>0</v>
      </c>
      <c r="F15" s="158" t="str">
        <f>IF(G15,"Kr","")</f>
        <v/>
      </c>
      <c r="G15" s="562" t="b">
        <v>0</v>
      </c>
      <c r="H15" s="158" t="str">
        <f>IF(I15,"Kr","")</f>
        <v/>
      </c>
      <c r="I15" s="562" t="b">
        <v>0</v>
      </c>
      <c r="J15" s="158" t="str">
        <f>IF(K15,"Kr","")</f>
        <v/>
      </c>
      <c r="K15" s="562" t="b">
        <v>0</v>
      </c>
      <c r="L15" s="158" t="str">
        <f>IF(M15,"Kr","")</f>
        <v/>
      </c>
      <c r="M15" s="562" t="b">
        <v>0</v>
      </c>
      <c r="N15" s="158" t="str">
        <f>IF(O15,"Kr","")</f>
        <v/>
      </c>
      <c r="O15" s="562" t="b">
        <v>0</v>
      </c>
      <c r="P15" s="158" t="str">
        <f>IF(Q15,"Kr","")</f>
        <v/>
      </c>
      <c r="Q15" s="562" t="b">
        <v>0</v>
      </c>
      <c r="R15" s="158" t="str">
        <f>IF(S15,"Kr","")</f>
        <v/>
      </c>
      <c r="S15" s="562" t="b">
        <v>0</v>
      </c>
      <c r="U15" s="208"/>
    </row>
    <row r="16" spans="1:21" x14ac:dyDescent="0.2">
      <c r="B16" s="158" t="str">
        <f>IF(C16,"Ca++","")</f>
        <v/>
      </c>
      <c r="C16" s="562" t="b">
        <v>0</v>
      </c>
      <c r="D16" s="158" t="str">
        <f>IF(E16,"Ca++","")</f>
        <v/>
      </c>
      <c r="E16" s="562" t="b">
        <v>0</v>
      </c>
      <c r="F16" s="158" t="str">
        <f>IF(G16,"Ca++","")</f>
        <v/>
      </c>
      <c r="G16" s="562" t="b">
        <v>0</v>
      </c>
      <c r="H16" s="158" t="str">
        <f>IF(I16,"Ca++","")</f>
        <v/>
      </c>
      <c r="I16" s="562" t="b">
        <v>0</v>
      </c>
      <c r="J16" s="158" t="str">
        <f>IF(K16,"Ca++","")</f>
        <v/>
      </c>
      <c r="K16" s="562" t="b">
        <v>0</v>
      </c>
      <c r="L16" s="158" t="str">
        <f>IF(M16,"Ca++","")</f>
        <v/>
      </c>
      <c r="M16" s="562" t="b">
        <v>0</v>
      </c>
      <c r="N16" s="158" t="str">
        <f>IF(O16,"Ca++","")</f>
        <v/>
      </c>
      <c r="O16" s="562" t="b">
        <v>0</v>
      </c>
      <c r="P16" s="158" t="str">
        <f>IF(Q16,"Ca++","")</f>
        <v/>
      </c>
      <c r="Q16" s="562" t="b">
        <v>0</v>
      </c>
      <c r="R16" s="158" t="str">
        <f>IF(S16,"Ca++","")</f>
        <v/>
      </c>
      <c r="S16" s="562" t="b">
        <v>0</v>
      </c>
      <c r="U16" s="208"/>
    </row>
    <row r="17" spans="2:21" x14ac:dyDescent="0.2">
      <c r="B17" s="158" t="str">
        <f>IF(C17,"Mg++","")</f>
        <v/>
      </c>
      <c r="C17" s="562" t="b">
        <v>0</v>
      </c>
      <c r="D17" s="158" t="str">
        <f>IF(E17,"Mg++","")</f>
        <v/>
      </c>
      <c r="E17" s="562" t="b">
        <v>0</v>
      </c>
      <c r="F17" s="158" t="str">
        <f>IF(G17,"Mg++","")</f>
        <v/>
      </c>
      <c r="G17" s="562" t="b">
        <v>0</v>
      </c>
      <c r="H17" s="158" t="str">
        <f>IF(I17,"Mg++","")</f>
        <v/>
      </c>
      <c r="I17" s="562" t="b">
        <v>0</v>
      </c>
      <c r="J17" s="158" t="str">
        <f>IF(K17,"Mg++","")</f>
        <v/>
      </c>
      <c r="K17" s="562" t="b">
        <v>0</v>
      </c>
      <c r="L17" s="158" t="str">
        <f>IF(M17,"Mg++","")</f>
        <v/>
      </c>
      <c r="M17" s="562" t="b">
        <v>0</v>
      </c>
      <c r="N17" s="158" t="str">
        <f>IF(O17,"Mg++","")</f>
        <v/>
      </c>
      <c r="O17" s="562" t="b">
        <v>0</v>
      </c>
      <c r="P17" s="158" t="str">
        <f>IF(Q17,"Mg++","")</f>
        <v/>
      </c>
      <c r="Q17" s="562" t="b">
        <v>0</v>
      </c>
      <c r="R17" s="158" t="str">
        <f>IF(S17,"Mg++","")</f>
        <v/>
      </c>
      <c r="S17" s="562" t="b">
        <v>0</v>
      </c>
      <c r="U17" s="208"/>
    </row>
    <row r="18" spans="2:21" x14ac:dyDescent="0.2">
      <c r="B18" s="158" t="str">
        <f>IF(C18,"Fosfaat","")</f>
        <v/>
      </c>
      <c r="C18" s="562" t="b">
        <v>0</v>
      </c>
      <c r="D18" s="158" t="str">
        <f>IF(E18,"Fosfaat","")</f>
        <v/>
      </c>
      <c r="E18" s="562" t="b">
        <v>0</v>
      </c>
      <c r="F18" s="158" t="str">
        <f>IF(G18,"Fosfaat","")</f>
        <v/>
      </c>
      <c r="G18" s="562" t="b">
        <v>0</v>
      </c>
      <c r="H18" s="158" t="str">
        <f>IF(I18,"Fosfaat","")</f>
        <v/>
      </c>
      <c r="I18" s="562" t="b">
        <v>0</v>
      </c>
      <c r="J18" s="158" t="str">
        <f>IF(K18,"Fosfaat","")</f>
        <v/>
      </c>
      <c r="K18" s="562" t="b">
        <v>0</v>
      </c>
      <c r="L18" s="158" t="str">
        <f>IF(M18,"Fosfaat","")</f>
        <v/>
      </c>
      <c r="M18" s="562" t="b">
        <v>0</v>
      </c>
      <c r="N18" s="158" t="str">
        <f>IF(O18,"Fosfaat","")</f>
        <v/>
      </c>
      <c r="O18" s="562" t="b">
        <v>0</v>
      </c>
      <c r="P18" s="158" t="str">
        <f>IF(Q18,"Fosfaat","")</f>
        <v/>
      </c>
      <c r="Q18" s="562" t="b">
        <v>0</v>
      </c>
      <c r="R18" s="158" t="str">
        <f>IF(S18,"Fosfaat","")</f>
        <v/>
      </c>
      <c r="S18" s="562" t="b">
        <v>0</v>
      </c>
      <c r="U18" s="208"/>
    </row>
    <row r="19" spans="2:21" x14ac:dyDescent="0.2">
      <c r="B19" s="158" t="str">
        <f>IF(C19,"Alb","")</f>
        <v/>
      </c>
      <c r="C19" s="562" t="b">
        <v>0</v>
      </c>
      <c r="D19" s="158" t="str">
        <f>IF(E19,"Alb","")</f>
        <v/>
      </c>
      <c r="E19" s="562" t="b">
        <v>0</v>
      </c>
      <c r="F19" s="158" t="str">
        <f>IF(G19,"Alb","")</f>
        <v/>
      </c>
      <c r="G19" s="562" t="b">
        <v>0</v>
      </c>
      <c r="H19" s="158" t="str">
        <f>IF(I19,"Alb","")</f>
        <v/>
      </c>
      <c r="I19" s="562" t="b">
        <v>0</v>
      </c>
      <c r="J19" s="158" t="str">
        <f>IF(K19,"Alb","")</f>
        <v/>
      </c>
      <c r="K19" s="562" t="b">
        <v>0</v>
      </c>
      <c r="L19" s="158" t="str">
        <f>IF(M19,"Alb","")</f>
        <v/>
      </c>
      <c r="M19" s="562" t="b">
        <v>0</v>
      </c>
      <c r="N19" s="158" t="str">
        <f>IF(O19,"Alb","")</f>
        <v/>
      </c>
      <c r="O19" s="562" t="b">
        <v>0</v>
      </c>
      <c r="P19" s="158" t="str">
        <f>IF(Q19,"Alb","")</f>
        <v/>
      </c>
      <c r="Q19" s="562" t="b">
        <v>0</v>
      </c>
      <c r="R19" s="158" t="str">
        <f>IF(S19,"Alb","")</f>
        <v/>
      </c>
      <c r="S19" s="562" t="b">
        <v>0</v>
      </c>
      <c r="U19" s="208"/>
    </row>
    <row r="20" spans="2:21" x14ac:dyDescent="0.2">
      <c r="B20" s="158" t="str">
        <f>IF(C20,"Ca","")</f>
        <v/>
      </c>
      <c r="C20" s="562" t="b">
        <v>0</v>
      </c>
      <c r="D20" s="158" t="str">
        <f>IF(E20,"Ca","")</f>
        <v/>
      </c>
      <c r="E20" s="562" t="b">
        <v>0</v>
      </c>
      <c r="F20" s="158" t="str">
        <f>IF(G20,"Ca","")</f>
        <v/>
      </c>
      <c r="G20" s="562" t="b">
        <v>0</v>
      </c>
      <c r="H20" s="158" t="str">
        <f>IF(I20,"Ca","")</f>
        <v/>
      </c>
      <c r="I20" s="562" t="b">
        <v>0</v>
      </c>
      <c r="J20" s="158" t="str">
        <f>IF(K20,"Ca","")</f>
        <v/>
      </c>
      <c r="K20" s="562" t="b">
        <v>0</v>
      </c>
      <c r="L20" s="158" t="str">
        <f>IF(M20,"Ca","")</f>
        <v/>
      </c>
      <c r="M20" s="562" t="b">
        <v>0</v>
      </c>
      <c r="N20" s="158" t="str">
        <f>IF(O20,"Ca","")</f>
        <v/>
      </c>
      <c r="O20" s="562" t="b">
        <v>0</v>
      </c>
      <c r="P20" s="158" t="str">
        <f>IF(Q20,"Ca","")</f>
        <v/>
      </c>
      <c r="Q20" s="562" t="b">
        <v>0</v>
      </c>
      <c r="R20" s="158" t="str">
        <f>IF(S20,"Ca","")</f>
        <v/>
      </c>
      <c r="S20" s="562" t="b">
        <v>0</v>
      </c>
      <c r="U20" s="208"/>
    </row>
    <row r="21" spans="2:21" x14ac:dyDescent="0.2">
      <c r="B21" s="158" t="str">
        <f>IF(C21,"ASAT","")</f>
        <v/>
      </c>
      <c r="C21" s="562" t="b">
        <v>0</v>
      </c>
      <c r="D21" s="158" t="str">
        <f>IF(E21,"ASAT","")</f>
        <v/>
      </c>
      <c r="E21" s="562" t="b">
        <v>0</v>
      </c>
      <c r="F21" s="158" t="str">
        <f>IF(G21,"ASAT","")</f>
        <v/>
      </c>
      <c r="G21" s="562" t="b">
        <v>0</v>
      </c>
      <c r="H21" s="158" t="str">
        <f>IF(I21,"ASAT","")</f>
        <v/>
      </c>
      <c r="I21" s="562" t="b">
        <v>0</v>
      </c>
      <c r="J21" s="158" t="str">
        <f>IF(K21,"ASAT","")</f>
        <v/>
      </c>
      <c r="K21" s="562" t="b">
        <v>0</v>
      </c>
      <c r="L21" s="158" t="str">
        <f>IF(M21,"ASAT","")</f>
        <v/>
      </c>
      <c r="M21" s="562" t="b">
        <v>0</v>
      </c>
      <c r="N21" s="158" t="str">
        <f>IF(O21,"ASAT","")</f>
        <v/>
      </c>
      <c r="O21" s="562" t="b">
        <v>0</v>
      </c>
      <c r="P21" s="158" t="str">
        <f>IF(Q21,"ASAT","")</f>
        <v/>
      </c>
      <c r="Q21" s="562" t="b">
        <v>0</v>
      </c>
      <c r="R21" s="158" t="str">
        <f>IF(S21,"ASAT","")</f>
        <v/>
      </c>
      <c r="S21" s="562" t="b">
        <v>0</v>
      </c>
      <c r="U21" s="208"/>
    </row>
    <row r="22" spans="2:21" x14ac:dyDescent="0.2">
      <c r="B22" s="158" t="str">
        <f>IF(C22,"ALAT","")</f>
        <v/>
      </c>
      <c r="C22" s="562" t="b">
        <v>0</v>
      </c>
      <c r="D22" s="158" t="str">
        <f>IF(E22,"ALAT","")</f>
        <v/>
      </c>
      <c r="E22" s="562" t="b">
        <v>0</v>
      </c>
      <c r="F22" s="158" t="str">
        <f>IF(G22,"ALAT","")</f>
        <v/>
      </c>
      <c r="G22" s="562" t="b">
        <v>0</v>
      </c>
      <c r="H22" s="158" t="str">
        <f>IF(I22,"ALAT","")</f>
        <v/>
      </c>
      <c r="I22" s="562" t="b">
        <v>0</v>
      </c>
      <c r="J22" s="158" t="str">
        <f>IF(K22,"ALAT","")</f>
        <v/>
      </c>
      <c r="K22" s="562" t="b">
        <v>0</v>
      </c>
      <c r="L22" s="158" t="str">
        <f>IF(M22,"ALAT","")</f>
        <v/>
      </c>
      <c r="M22" s="562" t="b">
        <v>0</v>
      </c>
      <c r="N22" s="158" t="str">
        <f>IF(O22,"ALAT","")</f>
        <v/>
      </c>
      <c r="O22" s="562" t="b">
        <v>0</v>
      </c>
      <c r="P22" s="158" t="str">
        <f>IF(Q22,"ALAT","")</f>
        <v/>
      </c>
      <c r="Q22" s="562" t="b">
        <v>0</v>
      </c>
      <c r="R22" s="158" t="str">
        <f>IF(S22,"ALAT","")</f>
        <v/>
      </c>
      <c r="S22" s="562" t="b">
        <v>0</v>
      </c>
      <c r="U22" s="208"/>
    </row>
    <row r="23" spans="2:21" x14ac:dyDescent="0.2">
      <c r="B23" s="158" t="str">
        <f>IF(C23,"GGT","")</f>
        <v/>
      </c>
      <c r="C23" s="562" t="b">
        <v>0</v>
      </c>
      <c r="D23" s="158" t="str">
        <f>IF(E23,"GGT","")</f>
        <v/>
      </c>
      <c r="E23" s="562" t="b">
        <v>0</v>
      </c>
      <c r="F23" s="158" t="str">
        <f>IF(G23,"GGT","")</f>
        <v/>
      </c>
      <c r="G23" s="562" t="b">
        <v>0</v>
      </c>
      <c r="H23" s="158" t="str">
        <f>IF(I23,"GGT","")</f>
        <v/>
      </c>
      <c r="I23" s="562" t="b">
        <v>0</v>
      </c>
      <c r="J23" s="158" t="str">
        <f>IF(K23,"GGT","")</f>
        <v/>
      </c>
      <c r="K23" s="562" t="b">
        <v>0</v>
      </c>
      <c r="L23" s="158" t="str">
        <f>IF(M23,"GGT","")</f>
        <v/>
      </c>
      <c r="M23" s="562" t="b">
        <v>0</v>
      </c>
      <c r="N23" s="158" t="str">
        <f>IF(O23,"GGT","")</f>
        <v/>
      </c>
      <c r="O23" s="562" t="b">
        <v>0</v>
      </c>
      <c r="P23" s="158" t="str">
        <f>IF(Q23,"GGT","")</f>
        <v/>
      </c>
      <c r="Q23" s="562" t="b">
        <v>0</v>
      </c>
      <c r="R23" s="158" t="str">
        <f>IF(S23,"GGT","")</f>
        <v/>
      </c>
      <c r="S23" s="562" t="b">
        <v>0</v>
      </c>
      <c r="U23" s="208"/>
    </row>
    <row r="24" spans="2:21" x14ac:dyDescent="0.2">
      <c r="B24" s="158" t="str">
        <f>IF(C24,"AF","")</f>
        <v/>
      </c>
      <c r="C24" s="562" t="b">
        <v>0</v>
      </c>
      <c r="D24" s="158" t="str">
        <f>IF(E24,"AF","")</f>
        <v/>
      </c>
      <c r="E24" s="562" t="b">
        <v>0</v>
      </c>
      <c r="F24" s="158" t="str">
        <f>IF(G24,"AF","")</f>
        <v/>
      </c>
      <c r="G24" s="562" t="b">
        <v>0</v>
      </c>
      <c r="H24" s="158" t="str">
        <f>IF(I24,"AF","")</f>
        <v/>
      </c>
      <c r="I24" s="562" t="b">
        <v>0</v>
      </c>
      <c r="J24" s="158" t="str">
        <f>IF(K24,"AF","")</f>
        <v/>
      </c>
      <c r="K24" s="562" t="b">
        <v>0</v>
      </c>
      <c r="L24" s="158" t="str">
        <f>IF(M24,"AF","")</f>
        <v/>
      </c>
      <c r="M24" s="562" t="b">
        <v>0</v>
      </c>
      <c r="N24" s="158" t="str">
        <f>IF(O24,"AF","")</f>
        <v/>
      </c>
      <c r="O24" s="562" t="b">
        <v>0</v>
      </c>
      <c r="P24" s="158" t="str">
        <f>IF(Q24,"AF","")</f>
        <v/>
      </c>
      <c r="Q24" s="562" t="b">
        <v>0</v>
      </c>
      <c r="R24" s="158" t="str">
        <f>IF(S24,"AF","")</f>
        <v/>
      </c>
      <c r="S24" s="562" t="b">
        <v>0</v>
      </c>
      <c r="U24" s="208"/>
    </row>
    <row r="25" spans="2:21" x14ac:dyDescent="0.2">
      <c r="B25" s="158" t="str">
        <f>IF(C25,"LDH","")</f>
        <v/>
      </c>
      <c r="C25" s="562" t="b">
        <v>0</v>
      </c>
      <c r="D25" s="158" t="str">
        <f>IF(E25,"LDH","")</f>
        <v/>
      </c>
      <c r="E25" s="562" t="b">
        <v>0</v>
      </c>
      <c r="F25" s="158" t="str">
        <f>IF(G25,"LDH","")</f>
        <v/>
      </c>
      <c r="G25" s="562" t="b">
        <v>0</v>
      </c>
      <c r="H25" s="158" t="str">
        <f>IF(I25,"LDH","")</f>
        <v/>
      </c>
      <c r="I25" s="562" t="b">
        <v>0</v>
      </c>
      <c r="J25" s="158" t="str">
        <f>IF(K25,"LDH","")</f>
        <v/>
      </c>
      <c r="K25" s="562" t="b">
        <v>0</v>
      </c>
      <c r="L25" s="158" t="str">
        <f>IF(M25,"LDH","")</f>
        <v/>
      </c>
      <c r="M25" s="562" t="b">
        <v>0</v>
      </c>
      <c r="N25" s="158" t="str">
        <f>IF(O25,"LDH","")</f>
        <v/>
      </c>
      <c r="O25" s="562" t="b">
        <v>0</v>
      </c>
      <c r="P25" s="158" t="str">
        <f>IF(Q25,"LDH","")</f>
        <v/>
      </c>
      <c r="Q25" s="562" t="b">
        <v>0</v>
      </c>
      <c r="R25" s="158" t="str">
        <f>IF(S25,"LDH","")</f>
        <v/>
      </c>
      <c r="S25" s="562" t="b">
        <v>0</v>
      </c>
      <c r="U25" s="208"/>
    </row>
    <row r="26" spans="2:21" x14ac:dyDescent="0.2">
      <c r="B26" s="158" t="str">
        <f>IF(C26,"Bili","")</f>
        <v/>
      </c>
      <c r="C26" s="562" t="b">
        <v>0</v>
      </c>
      <c r="D26" s="158" t="str">
        <f>IF(E26,"Bili","")</f>
        <v/>
      </c>
      <c r="E26" s="562" t="b">
        <v>0</v>
      </c>
      <c r="F26" s="158" t="str">
        <f>IF(G26,"Bili","")</f>
        <v/>
      </c>
      <c r="G26" s="562" t="b">
        <v>0</v>
      </c>
      <c r="H26" s="158" t="str">
        <f>IF(I26,"Bili","")</f>
        <v/>
      </c>
      <c r="I26" s="562" t="b">
        <v>0</v>
      </c>
      <c r="J26" s="158" t="str">
        <f>IF(K26,"Bili","")</f>
        <v/>
      </c>
      <c r="K26" s="562" t="b">
        <v>0</v>
      </c>
      <c r="L26" s="158" t="str">
        <f>IF(M26,"Bili","")</f>
        <v/>
      </c>
      <c r="M26" s="562" t="b">
        <v>0</v>
      </c>
      <c r="N26" s="158" t="str">
        <f>IF(O26,"Bili","")</f>
        <v/>
      </c>
      <c r="O26" s="562" t="b">
        <v>0</v>
      </c>
      <c r="P26" s="158" t="str">
        <f>IF(Q26,"Bili","")</f>
        <v/>
      </c>
      <c r="Q26" s="562" t="b">
        <v>0</v>
      </c>
      <c r="R26" s="158" t="str">
        <f>IF(S26,"Bili","")</f>
        <v/>
      </c>
      <c r="S26" s="562" t="b">
        <v>0</v>
      </c>
      <c r="U26" s="208"/>
    </row>
    <row r="27" spans="2:21" x14ac:dyDescent="0.2">
      <c r="B27" s="158" t="str">
        <f>IF(C27,"TG","")</f>
        <v/>
      </c>
      <c r="C27" s="562" t="b">
        <v>0</v>
      </c>
      <c r="D27" s="158" t="str">
        <f>IF(E27,"TG","")</f>
        <v/>
      </c>
      <c r="E27" s="562" t="b">
        <v>0</v>
      </c>
      <c r="F27" s="158" t="str">
        <f>IF(G27,"TG","")</f>
        <v/>
      </c>
      <c r="G27" s="562" t="b">
        <v>0</v>
      </c>
      <c r="H27" s="158" t="str">
        <f>IF(I27,"TG","")</f>
        <v/>
      </c>
      <c r="I27" s="562" t="b">
        <v>0</v>
      </c>
      <c r="J27" s="158" t="str">
        <f>IF(K27,"TG","")</f>
        <v/>
      </c>
      <c r="K27" s="562" t="b">
        <v>0</v>
      </c>
      <c r="L27" s="158" t="str">
        <f>IF(M27,"TG","")</f>
        <v/>
      </c>
      <c r="M27" s="562" t="b">
        <v>0</v>
      </c>
      <c r="N27" s="158" t="str">
        <f>IF(O27,"TG","")</f>
        <v/>
      </c>
      <c r="O27" s="562" t="b">
        <v>0</v>
      </c>
      <c r="P27" s="158" t="str">
        <f>IF(Q27,"TG","")</f>
        <v/>
      </c>
      <c r="Q27" s="562" t="b">
        <v>0</v>
      </c>
      <c r="R27" s="158" t="str">
        <f>IF(S27,"TG","")</f>
        <v/>
      </c>
      <c r="S27" s="562" t="b">
        <v>0</v>
      </c>
      <c r="U27" s="208"/>
    </row>
    <row r="28" spans="2:21" x14ac:dyDescent="0.2">
      <c r="B28" s="158" t="str">
        <f>IF(C28,"PT","")</f>
        <v/>
      </c>
      <c r="C28" s="562" t="b">
        <v>0</v>
      </c>
      <c r="D28" s="158" t="str">
        <f>IF(E28,"PT","")</f>
        <v/>
      </c>
      <c r="E28" s="562" t="b">
        <v>0</v>
      </c>
      <c r="F28" s="158" t="str">
        <f>IF(G28,"PT","")</f>
        <v/>
      </c>
      <c r="G28" s="562" t="b">
        <v>0</v>
      </c>
      <c r="H28" s="158" t="str">
        <f>IF(I28,"PT","")</f>
        <v/>
      </c>
      <c r="I28" s="562" t="b">
        <v>0</v>
      </c>
      <c r="J28" s="158" t="str">
        <f>IF(K28,"PT","")</f>
        <v/>
      </c>
      <c r="K28" s="562" t="b">
        <v>0</v>
      </c>
      <c r="L28" s="158" t="str">
        <f>IF(M28,"PT","")</f>
        <v/>
      </c>
      <c r="M28" s="562" t="b">
        <v>0</v>
      </c>
      <c r="N28" s="158" t="str">
        <f>IF(O28,"PT","")</f>
        <v/>
      </c>
      <c r="O28" s="562" t="b">
        <v>0</v>
      </c>
      <c r="P28" s="158" t="str">
        <f>IF(Q28,"PT","")</f>
        <v/>
      </c>
      <c r="Q28" s="562" t="b">
        <v>0</v>
      </c>
      <c r="R28" s="158" t="str">
        <f>IF(S28,"PT","")</f>
        <v/>
      </c>
      <c r="S28" s="562" t="b">
        <v>0</v>
      </c>
      <c r="U28" s="208"/>
    </row>
    <row r="29" spans="2:21" x14ac:dyDescent="0.2">
      <c r="B29" s="158" t="str">
        <f>IF(C29,"APPT","")</f>
        <v/>
      </c>
      <c r="C29" s="562" t="b">
        <v>0</v>
      </c>
      <c r="D29" s="158" t="str">
        <f>IF(E29,"APPT","")</f>
        <v/>
      </c>
      <c r="E29" s="562" t="b">
        <v>0</v>
      </c>
      <c r="F29" s="158" t="str">
        <f>IF(G29,"APPT","")</f>
        <v/>
      </c>
      <c r="G29" s="562" t="b">
        <v>0</v>
      </c>
      <c r="H29" s="158" t="str">
        <f>IF(I29,"APPT","")</f>
        <v/>
      </c>
      <c r="I29" s="562" t="b">
        <v>0</v>
      </c>
      <c r="J29" s="158" t="str">
        <f>IF(K29,"APPT","")</f>
        <v/>
      </c>
      <c r="K29" s="562" t="b">
        <v>0</v>
      </c>
      <c r="L29" s="158" t="str">
        <f>IF(M29,"APPT","")</f>
        <v/>
      </c>
      <c r="M29" s="562" t="b">
        <v>0</v>
      </c>
      <c r="N29" s="158" t="str">
        <f>IF(O29,"APPT","")</f>
        <v/>
      </c>
      <c r="O29" s="562" t="b">
        <v>0</v>
      </c>
      <c r="P29" s="158" t="str">
        <f>IF(Q29,"APPT","")</f>
        <v/>
      </c>
      <c r="Q29" s="562" t="b">
        <v>0</v>
      </c>
      <c r="R29" s="158" t="str">
        <f>IF(S29,"APPT","")</f>
        <v/>
      </c>
      <c r="S29" s="562" t="b">
        <v>0</v>
      </c>
      <c r="U29" s="208"/>
    </row>
    <row r="30" spans="2:21" x14ac:dyDescent="0.2">
      <c r="B30" s="158" t="str">
        <f>IF(C30,"NICU APPT","")</f>
        <v/>
      </c>
      <c r="C30" s="562" t="b">
        <v>0</v>
      </c>
      <c r="D30" s="158" t="str">
        <f>IF(E30,"NICU APPT","")</f>
        <v/>
      </c>
      <c r="E30" s="562" t="b">
        <v>0</v>
      </c>
      <c r="F30" s="158" t="str">
        <f>IF(G30,"NICU APPT","")</f>
        <v/>
      </c>
      <c r="G30" s="562" t="b">
        <v>0</v>
      </c>
      <c r="H30" s="158" t="str">
        <f>IF(I30,"NICU APPT","")</f>
        <v/>
      </c>
      <c r="I30" s="562" t="b">
        <v>0</v>
      </c>
      <c r="J30" s="158" t="str">
        <f>IF(K30,"NICU APPT","")</f>
        <v/>
      </c>
      <c r="K30" s="562" t="b">
        <v>0</v>
      </c>
      <c r="L30" s="158" t="str">
        <f>IF(M30,"NICU APPT","")</f>
        <v/>
      </c>
      <c r="M30" s="562" t="b">
        <v>0</v>
      </c>
      <c r="N30" s="158" t="str">
        <f>IF(O30,"NICU APPT","")</f>
        <v/>
      </c>
      <c r="O30" s="562" t="b">
        <v>0</v>
      </c>
      <c r="P30" s="158" t="str">
        <f>IF(Q30,"NICU APPT","")</f>
        <v/>
      </c>
      <c r="Q30" s="562" t="b">
        <v>0</v>
      </c>
      <c r="R30" s="158" t="str">
        <f>IF(S30,"NICU APPT","")</f>
        <v/>
      </c>
      <c r="S30" s="562" t="b">
        <v>0</v>
      </c>
      <c r="U30" s="208"/>
    </row>
    <row r="31" spans="2:21" x14ac:dyDescent="0.2">
      <c r="B31" s="158" t="str">
        <f>IF(C31,"BG","")</f>
        <v/>
      </c>
      <c r="C31" s="562" t="b">
        <v>0</v>
      </c>
      <c r="D31" s="158" t="str">
        <f>IF(E31,"BG","")</f>
        <v/>
      </c>
      <c r="E31" s="562" t="b">
        <v>0</v>
      </c>
      <c r="F31" s="158" t="str">
        <f>IF(G31,"BG","")</f>
        <v/>
      </c>
      <c r="G31" s="562" t="b">
        <v>0</v>
      </c>
      <c r="H31" s="158" t="str">
        <f>IF(I31,"BG","")</f>
        <v/>
      </c>
      <c r="I31" s="562" t="b">
        <v>0</v>
      </c>
      <c r="J31" s="158" t="str">
        <f>IF(K31,"BG","")</f>
        <v/>
      </c>
      <c r="K31" s="562" t="b">
        <v>0</v>
      </c>
      <c r="L31" s="158" t="str">
        <f>IF(M31,"BG","")</f>
        <v/>
      </c>
      <c r="M31" s="562" t="b">
        <v>0</v>
      </c>
      <c r="N31" s="158" t="str">
        <f>IF(O31,"BG","")</f>
        <v/>
      </c>
      <c r="O31" s="562" t="b">
        <v>0</v>
      </c>
      <c r="P31" s="158" t="str">
        <f>IF(Q31,"BG","")</f>
        <v/>
      </c>
      <c r="Q31" s="562" t="b">
        <v>0</v>
      </c>
      <c r="R31" s="158" t="str">
        <f>IF(S31,"BG","")</f>
        <v/>
      </c>
      <c r="S31" s="562" t="b">
        <v>0</v>
      </c>
      <c r="U31" s="208"/>
    </row>
    <row r="32" spans="2:21" x14ac:dyDescent="0.2">
      <c r="B32" s="158" t="str">
        <f>IF(C32,"antiAx","")</f>
        <v/>
      </c>
      <c r="C32" s="562" t="b">
        <v>0</v>
      </c>
      <c r="D32" s="158" t="str">
        <f>IF(E32,"antiAx","")</f>
        <v/>
      </c>
      <c r="E32" s="562" t="b">
        <v>0</v>
      </c>
      <c r="F32" s="158" t="str">
        <f>IF(G32,"antiAx","")</f>
        <v/>
      </c>
      <c r="G32" s="562" t="b">
        <v>0</v>
      </c>
      <c r="H32" s="158" t="str">
        <f>IF(I32,"antiAx","")</f>
        <v/>
      </c>
      <c r="I32" s="562" t="b">
        <v>0</v>
      </c>
      <c r="J32" s="158" t="str">
        <f>IF(K32,"antiAx","")</f>
        <v/>
      </c>
      <c r="K32" s="562" t="b">
        <v>0</v>
      </c>
      <c r="L32" s="158" t="str">
        <f>IF(M32,"antiAx","")</f>
        <v/>
      </c>
      <c r="M32" s="562" t="b">
        <v>0</v>
      </c>
      <c r="N32" s="158" t="str">
        <f>IF(O32,"antiAx","")</f>
        <v/>
      </c>
      <c r="O32" s="562" t="b">
        <v>0</v>
      </c>
      <c r="P32" s="158" t="str">
        <f>IF(Q32,"antiAx","")</f>
        <v/>
      </c>
      <c r="Q32" s="562" t="b">
        <v>0</v>
      </c>
      <c r="R32" s="158" t="str">
        <f>IF(S32,"antiAx","")</f>
        <v/>
      </c>
      <c r="S32" s="562" t="b">
        <v>0</v>
      </c>
      <c r="U32" s="208"/>
    </row>
    <row r="33" spans="2:21" x14ac:dyDescent="0.2">
      <c r="B33" s="158" t="str">
        <f>IF(C33,"BNP","")</f>
        <v/>
      </c>
      <c r="C33" s="562" t="b">
        <v>0</v>
      </c>
      <c r="D33" s="158" t="str">
        <f>IF(E33,"BNP","")</f>
        <v/>
      </c>
      <c r="E33" s="562" t="b">
        <v>0</v>
      </c>
      <c r="F33" s="158" t="str">
        <f>IF(G33,"BNP","")</f>
        <v/>
      </c>
      <c r="G33" s="562" t="b">
        <v>0</v>
      </c>
      <c r="H33" s="158" t="str">
        <f>IF(I33,"BNP","")</f>
        <v/>
      </c>
      <c r="I33" s="562" t="b">
        <v>0</v>
      </c>
      <c r="J33" s="158" t="str">
        <f>IF(K33,"BNP","")</f>
        <v/>
      </c>
      <c r="K33" s="562" t="b">
        <v>0</v>
      </c>
      <c r="L33" s="158" t="str">
        <f>IF(M33,"BNP","")</f>
        <v/>
      </c>
      <c r="M33" s="562" t="b">
        <v>0</v>
      </c>
      <c r="N33" s="158" t="str">
        <f>IF(O33,"BNP","")</f>
        <v/>
      </c>
      <c r="O33" s="562" t="b">
        <v>0</v>
      </c>
      <c r="P33" s="158" t="str">
        <f>IF(Q33,"BNP","")</f>
        <v/>
      </c>
      <c r="Q33" s="562" t="b">
        <v>0</v>
      </c>
      <c r="R33" s="158" t="str">
        <f>IF(S33,"BNP","")</f>
        <v/>
      </c>
      <c r="S33" s="562" t="b">
        <v>0</v>
      </c>
      <c r="U33" s="208"/>
    </row>
    <row r="34" spans="2:21" x14ac:dyDescent="0.2">
      <c r="B34" s="158" t="str">
        <f>IF(C34,"Troponine","")</f>
        <v/>
      </c>
      <c r="C34" s="562" t="b">
        <v>0</v>
      </c>
      <c r="D34" s="158" t="str">
        <f>IF(E34,"Troponine","")</f>
        <v/>
      </c>
      <c r="E34" s="562" t="b">
        <v>0</v>
      </c>
      <c r="F34" s="158" t="str">
        <f>IF(G34,"Troponine","")</f>
        <v/>
      </c>
      <c r="G34" s="562" t="b">
        <v>0</v>
      </c>
      <c r="H34" s="158" t="str">
        <f>IF(I34,"Troponine","")</f>
        <v/>
      </c>
      <c r="I34" s="562" t="b">
        <v>0</v>
      </c>
      <c r="J34" s="158" t="str">
        <f>IF(K34,"Troponine","")</f>
        <v/>
      </c>
      <c r="K34" s="562" t="b">
        <v>0</v>
      </c>
      <c r="L34" s="158" t="str">
        <f>IF(M34,"Troponine","")</f>
        <v/>
      </c>
      <c r="M34" s="562" t="b">
        <v>0</v>
      </c>
      <c r="N34" s="158" t="str">
        <f>IF(O34,"Troponine","")</f>
        <v/>
      </c>
      <c r="O34" s="562" t="b">
        <v>0</v>
      </c>
      <c r="P34" s="158" t="str">
        <f>IF(Q34,"Troponine","")</f>
        <v/>
      </c>
      <c r="Q34" s="562" t="b">
        <v>0</v>
      </c>
      <c r="R34" s="158" t="str">
        <f>IF(S34,"Troponine","")</f>
        <v/>
      </c>
      <c r="S34" s="562" t="b">
        <v>0</v>
      </c>
      <c r="U34" s="208"/>
    </row>
    <row r="35" spans="2:21" x14ac:dyDescent="0.2">
      <c r="B35" s="158" t="str">
        <f>IF(C35,"Coombs-test","")</f>
        <v/>
      </c>
      <c r="C35" s="562" t="b">
        <v>0</v>
      </c>
    </row>
    <row r="38" spans="2:21" x14ac:dyDescent="0.2">
      <c r="B38" s="158" t="s">
        <v>932</v>
      </c>
      <c r="D38" s="360"/>
    </row>
  </sheetData>
  <pageMargins left="0.75" right="0.75" top="1" bottom="1" header="0.5" footer="0.5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40625" defaultRowHeight="12.75" x14ac:dyDescent="0.2"/>
  <cols>
    <col min="1" max="1" width="9.140625" style="40"/>
    <col min="2" max="2" width="10.28515625" style="8" customWidth="1"/>
    <col min="3" max="3" width="19.7109375" style="40" customWidth="1"/>
    <col min="4" max="4" width="28.85546875" style="40" bestFit="1" customWidth="1"/>
    <col min="5" max="5" width="17.7109375" style="40" customWidth="1"/>
    <col min="6" max="7" width="18.7109375" style="40" customWidth="1"/>
    <col min="8" max="11" width="9.140625" style="40"/>
    <col min="12" max="21" width="9.140625" style="40" hidden="1" customWidth="1"/>
    <col min="22" max="22" width="0" style="40" hidden="1" customWidth="1"/>
    <col min="23" max="16384" width="9.140625" style="40"/>
  </cols>
  <sheetData>
    <row r="1" spans="1:25 4305:4305" x14ac:dyDescent="0.2">
      <c r="A1" s="367"/>
      <c r="J1" s="340"/>
      <c r="K1" s="340"/>
      <c r="L1" s="340" t="s">
        <v>812</v>
      </c>
      <c r="M1" s="340" t="s">
        <v>820</v>
      </c>
      <c r="N1" s="340" t="s">
        <v>813</v>
      </c>
      <c r="O1" s="340"/>
      <c r="P1" s="340"/>
      <c r="Q1" s="340"/>
      <c r="R1" s="340"/>
      <c r="S1" s="340" t="s">
        <v>821</v>
      </c>
      <c r="T1" s="340" t="s">
        <v>822</v>
      </c>
      <c r="U1" s="340"/>
      <c r="V1" s="340"/>
      <c r="W1" s="340"/>
      <c r="X1" s="340"/>
      <c r="Y1" s="125"/>
    </row>
    <row r="2" spans="1:25 4305:4305" ht="15" customHeight="1" x14ac:dyDescent="0.2">
      <c r="B2" s="117" t="str">
        <f>"Patient: "&amp;__2_AchterNaam&amp;", "&amp;__3_VoorNaam</f>
        <v xml:space="preserve">Patient: , </v>
      </c>
      <c r="C2" s="115"/>
      <c r="D2" s="99"/>
      <c r="E2" s="118"/>
      <c r="F2" s="99"/>
      <c r="G2" s="107"/>
      <c r="H2" s="41"/>
      <c r="I2" s="41"/>
      <c r="J2" s="340"/>
      <c r="K2" s="340"/>
      <c r="L2" s="340">
        <v>0</v>
      </c>
      <c r="M2" s="340">
        <v>40</v>
      </c>
      <c r="N2" s="340">
        <v>3.5</v>
      </c>
      <c r="O2" s="340">
        <v>0</v>
      </c>
      <c r="P2" s="340">
        <v>3.5</v>
      </c>
      <c r="Q2" s="340">
        <v>51</v>
      </c>
      <c r="R2" s="340"/>
      <c r="S2" s="340">
        <v>1</v>
      </c>
      <c r="T2" s="340">
        <v>1</v>
      </c>
      <c r="U2" s="340">
        <v>1</v>
      </c>
      <c r="V2" s="340"/>
      <c r="W2" s="340"/>
      <c r="X2" s="340"/>
      <c r="Y2" s="125"/>
      <c r="FIO2" s="40">
        <v>30</v>
      </c>
    </row>
    <row r="3" spans="1:25 4305:4305" ht="15" customHeight="1" x14ac:dyDescent="0.2">
      <c r="B3" s="117" t="str">
        <f>"Geb datum.: "</f>
        <v xml:space="preserve">Geb datum.: </v>
      </c>
      <c r="C3" s="128">
        <f>__4_GebDatum</f>
        <v>1462</v>
      </c>
      <c r="D3" s="99"/>
      <c r="E3" s="118"/>
      <c r="F3" s="112"/>
      <c r="G3" s="107"/>
      <c r="H3" s="41"/>
      <c r="I3" s="41"/>
      <c r="J3" s="340"/>
      <c r="K3" s="340"/>
      <c r="L3" s="340">
        <v>1</v>
      </c>
      <c r="M3" s="340">
        <v>30</v>
      </c>
      <c r="N3" s="340">
        <v>4.5</v>
      </c>
      <c r="O3" s="340">
        <v>1</v>
      </c>
      <c r="P3" s="340">
        <v>4.2</v>
      </c>
      <c r="Q3" s="340">
        <v>54</v>
      </c>
      <c r="R3" s="340"/>
      <c r="S3" s="340">
        <v>2</v>
      </c>
      <c r="T3" s="340">
        <v>2</v>
      </c>
      <c r="U3" s="340">
        <v>2</v>
      </c>
      <c r="V3" s="340"/>
      <c r="W3" s="340"/>
      <c r="X3" s="340"/>
      <c r="Y3" s="125"/>
    </row>
    <row r="4" spans="1:25 4305:4305" ht="15.75" customHeight="1" x14ac:dyDescent="0.2">
      <c r="B4" s="111"/>
      <c r="C4" s="114" t="s">
        <v>684</v>
      </c>
      <c r="D4" s="114" t="s">
        <v>685</v>
      </c>
      <c r="E4" s="114" t="s">
        <v>686</v>
      </c>
      <c r="F4" s="114"/>
      <c r="G4" s="114"/>
      <c r="H4" s="41"/>
      <c r="J4" s="341"/>
      <c r="K4" s="341"/>
      <c r="L4" s="340">
        <v>2</v>
      </c>
      <c r="M4" s="340">
        <v>25</v>
      </c>
      <c r="N4" s="340">
        <v>4.5</v>
      </c>
      <c r="O4" s="340">
        <v>2</v>
      </c>
      <c r="P4" s="340">
        <v>5</v>
      </c>
      <c r="Q4" s="340">
        <v>57</v>
      </c>
      <c r="R4" s="340"/>
      <c r="S4" s="340">
        <v>3</v>
      </c>
      <c r="T4" s="340">
        <v>3</v>
      </c>
      <c r="U4" s="340">
        <v>3</v>
      </c>
      <c r="V4" s="340"/>
      <c r="W4" s="340"/>
      <c r="X4" s="340"/>
      <c r="Y4" s="125"/>
    </row>
    <row r="5" spans="1:25 4305:4305" ht="15" customHeight="1" x14ac:dyDescent="0.2">
      <c r="B5" s="111"/>
      <c r="C5" s="114">
        <f>_Pat_Weken</f>
        <v>0</v>
      </c>
      <c r="D5" s="114">
        <f>_Pat_Dagen</f>
        <v>0</v>
      </c>
      <c r="E5" s="114">
        <f>(_Pat_Gewicht/10)</f>
        <v>0</v>
      </c>
      <c r="F5" s="114"/>
      <c r="G5" s="114"/>
      <c r="H5" s="41"/>
      <c r="J5" s="341"/>
      <c r="K5" s="341"/>
      <c r="L5" s="340">
        <v>3</v>
      </c>
      <c r="M5" s="340">
        <v>25</v>
      </c>
      <c r="N5" s="340">
        <v>5</v>
      </c>
      <c r="O5" s="340">
        <v>3</v>
      </c>
      <c r="P5" s="340">
        <v>5.7</v>
      </c>
      <c r="Q5" s="340">
        <v>60</v>
      </c>
      <c r="R5" s="340"/>
      <c r="S5" s="340">
        <v>4</v>
      </c>
      <c r="T5" s="340">
        <v>3</v>
      </c>
      <c r="U5" s="340"/>
      <c r="V5" s="340"/>
      <c r="W5" s="340"/>
      <c r="X5" s="340"/>
      <c r="Y5" s="125"/>
    </row>
    <row r="6" spans="1:25 4305:4305" ht="15" customHeight="1" thickBot="1" x14ac:dyDescent="0.25">
      <c r="A6" s="367"/>
      <c r="B6" s="20"/>
      <c r="C6" s="116"/>
      <c r="D6" s="116"/>
      <c r="E6" s="116"/>
      <c r="F6" s="116"/>
      <c r="G6" s="116"/>
      <c r="H6" s="41"/>
      <c r="J6" s="341"/>
      <c r="K6" s="341"/>
      <c r="L6" s="340">
        <v>4</v>
      </c>
      <c r="M6" s="340">
        <v>25</v>
      </c>
      <c r="N6" s="340">
        <v>5</v>
      </c>
      <c r="O6" s="340">
        <v>4</v>
      </c>
      <c r="P6" s="340">
        <v>6.5</v>
      </c>
      <c r="Q6" s="340">
        <v>63</v>
      </c>
      <c r="R6" s="340"/>
      <c r="S6" s="340">
        <v>5</v>
      </c>
      <c r="T6" s="340">
        <v>5</v>
      </c>
      <c r="U6" s="340">
        <v>5</v>
      </c>
      <c r="V6" s="340"/>
      <c r="W6" s="340"/>
      <c r="X6" s="340"/>
      <c r="Y6" s="125"/>
    </row>
    <row r="7" spans="1:25 4305:4305" ht="20.100000000000001" customHeight="1" x14ac:dyDescent="0.2">
      <c r="B7" s="111" t="s">
        <v>326</v>
      </c>
      <c r="C7" s="119" t="s">
        <v>54</v>
      </c>
      <c r="D7" s="120" t="str">
        <f>"Maat: "&amp;IF((_Pat_Gewicht/10)&lt;1,2.5,IF(AND((_Pat_Gewicht/10)&gt;=1,(_Pat_Gewicht/10)&lt;2),3,3.5))</f>
        <v>Maat: 2,5</v>
      </c>
      <c r="E7" s="121"/>
      <c r="F7" s="121"/>
      <c r="G7" s="135"/>
      <c r="H7" s="41"/>
      <c r="I7" s="41"/>
      <c r="J7" s="340"/>
      <c r="K7" s="340"/>
      <c r="L7" s="340">
        <v>5</v>
      </c>
      <c r="M7" s="340">
        <v>25</v>
      </c>
      <c r="N7" s="340">
        <v>5.5</v>
      </c>
      <c r="O7" s="340">
        <v>5</v>
      </c>
      <c r="P7" s="340">
        <v>7</v>
      </c>
      <c r="Q7" s="340">
        <v>65</v>
      </c>
      <c r="R7" s="340"/>
      <c r="S7" s="340">
        <v>6</v>
      </c>
      <c r="T7" s="340">
        <v>5</v>
      </c>
      <c r="U7" s="340"/>
      <c r="V7" s="340"/>
      <c r="W7" s="340"/>
      <c r="X7" s="340"/>
      <c r="Y7" s="125"/>
    </row>
    <row r="8" spans="1:25 4305:4305" ht="20.100000000000001" customHeight="1" x14ac:dyDescent="0.2">
      <c r="B8" s="111"/>
      <c r="C8" s="110"/>
      <c r="D8" s="42" t="str">
        <f>"Nasaal: "&amp;((_Pat_Gewicht/10)+6)*1.2</f>
        <v>Nasaal: 7,2</v>
      </c>
      <c r="E8" s="41"/>
      <c r="F8" s="41"/>
      <c r="G8" s="136"/>
      <c r="H8" s="41"/>
      <c r="I8" s="41"/>
      <c r="J8" s="340"/>
      <c r="K8" s="340"/>
      <c r="L8" s="340">
        <v>6</v>
      </c>
      <c r="M8" s="340">
        <v>20</v>
      </c>
      <c r="N8" s="340">
        <v>5.5</v>
      </c>
      <c r="O8" s="340">
        <v>6</v>
      </c>
      <c r="P8" s="340">
        <v>7.7</v>
      </c>
      <c r="Q8" s="340">
        <v>67</v>
      </c>
      <c r="R8" s="340"/>
      <c r="S8" s="340">
        <v>7</v>
      </c>
      <c r="T8" s="340">
        <v>7</v>
      </c>
      <c r="U8" s="340">
        <v>7</v>
      </c>
      <c r="V8" s="340"/>
      <c r="W8" s="340"/>
      <c r="X8" s="340"/>
      <c r="Y8" s="125"/>
    </row>
    <row r="9" spans="1:25 4305:4305" ht="20.100000000000001" customHeight="1" x14ac:dyDescent="0.2">
      <c r="B9" s="111"/>
      <c r="C9" s="110"/>
      <c r="D9" s="42" t="str">
        <f>"Oraal: "&amp;((_Pat_Gewicht/10)+6)</f>
        <v>Oraal: 6</v>
      </c>
      <c r="E9" s="41"/>
      <c r="F9" s="41"/>
      <c r="G9" s="136"/>
      <c r="H9" s="41"/>
      <c r="I9" s="41"/>
      <c r="J9" s="340"/>
      <c r="K9" s="340"/>
      <c r="L9" s="340">
        <v>7</v>
      </c>
      <c r="M9" s="340">
        <v>20</v>
      </c>
      <c r="N9" s="340">
        <v>6</v>
      </c>
      <c r="O9" s="340">
        <v>7</v>
      </c>
      <c r="P9" s="340">
        <v>8.1999999999999993</v>
      </c>
      <c r="Q9" s="340">
        <v>69</v>
      </c>
      <c r="R9" s="340"/>
      <c r="S9" s="340">
        <v>8</v>
      </c>
      <c r="T9" s="340">
        <v>7</v>
      </c>
      <c r="U9" s="340"/>
      <c r="V9" s="340"/>
      <c r="W9" s="340"/>
      <c r="X9" s="340"/>
      <c r="Y9" s="125"/>
    </row>
    <row r="10" spans="1:25 4305:4305" ht="20.100000000000001" customHeight="1" x14ac:dyDescent="0.2">
      <c r="B10" s="111"/>
      <c r="C10" s="110" t="s">
        <v>1172</v>
      </c>
      <c r="D10" s="525">
        <f>(1.5*(_Pat_Gewicht/10))+5.5</f>
        <v>5.5</v>
      </c>
      <c r="E10" s="41"/>
      <c r="F10" s="41"/>
      <c r="G10" s="136"/>
      <c r="H10" s="41"/>
      <c r="I10" s="41"/>
      <c r="J10" s="340"/>
      <c r="K10" s="340"/>
      <c r="L10" s="340"/>
      <c r="M10" s="340"/>
      <c r="N10" s="340"/>
      <c r="O10" s="340"/>
      <c r="P10" s="340"/>
      <c r="Q10" s="340"/>
      <c r="R10" s="340"/>
      <c r="S10" s="340"/>
      <c r="T10" s="340"/>
      <c r="U10" s="340"/>
      <c r="V10" s="340"/>
      <c r="W10" s="340"/>
      <c r="X10" s="340"/>
      <c r="Y10" s="125"/>
    </row>
    <row r="11" spans="1:25 4305:4305" ht="20.100000000000001" customHeight="1" x14ac:dyDescent="0.2">
      <c r="B11" s="111"/>
      <c r="C11" s="110" t="s">
        <v>1173</v>
      </c>
      <c r="D11" s="525">
        <f>(4*(_Pat_Gewicht/10))+7</f>
        <v>7</v>
      </c>
      <c r="E11" s="41"/>
      <c r="F11" s="41"/>
      <c r="G11" s="136"/>
      <c r="H11" s="41"/>
      <c r="I11" s="41"/>
      <c r="J11" s="340"/>
      <c r="K11" s="340"/>
      <c r="L11" s="340"/>
      <c r="M11" s="340"/>
      <c r="N11" s="340"/>
      <c r="O11" s="340"/>
      <c r="P11" s="340"/>
      <c r="Q11" s="340"/>
      <c r="R11" s="340"/>
      <c r="S11" s="340"/>
      <c r="T11" s="340"/>
      <c r="U11" s="340"/>
      <c r="V11" s="340"/>
      <c r="W11" s="340"/>
      <c r="X11" s="340"/>
      <c r="Y11" s="125"/>
    </row>
    <row r="12" spans="1:25 4305:4305" ht="20.100000000000001" customHeight="1" x14ac:dyDescent="0.2">
      <c r="B12" s="111"/>
      <c r="C12" s="110" t="s">
        <v>55</v>
      </c>
      <c r="D12" s="42" t="e">
        <f>IF(ROUND((E5)*4,0)&gt;150,150,VLOOKUP(ROUND(E5*4,0),S2:T347,2))&amp;" Joules Asynchroon"</f>
        <v>#N/A</v>
      </c>
      <c r="E12" s="41"/>
      <c r="F12" s="41"/>
      <c r="G12" s="136" t="s">
        <v>0</v>
      </c>
      <c r="H12" s="41"/>
      <c r="I12" s="41"/>
      <c r="J12" s="340"/>
      <c r="K12" s="340"/>
      <c r="L12" s="340">
        <v>9</v>
      </c>
      <c r="M12" s="340">
        <v>20</v>
      </c>
      <c r="N12" s="340">
        <v>6.5</v>
      </c>
      <c r="O12" s="340">
        <v>9</v>
      </c>
      <c r="P12" s="340">
        <v>9</v>
      </c>
      <c r="Q12" s="340">
        <v>72</v>
      </c>
      <c r="R12" s="340"/>
      <c r="S12" s="340">
        <v>10</v>
      </c>
      <c r="T12" s="340">
        <v>10</v>
      </c>
      <c r="U12" s="340">
        <v>10</v>
      </c>
      <c r="V12" s="340"/>
      <c r="W12" s="340"/>
      <c r="X12" s="340"/>
      <c r="Y12" s="125"/>
    </row>
    <row r="13" spans="1:25 4305:4305" ht="20.100000000000001" customHeight="1" x14ac:dyDescent="0.2">
      <c r="B13" s="111"/>
      <c r="C13" s="110" t="s">
        <v>126</v>
      </c>
      <c r="D13" s="42" t="str">
        <f>IF(OR(ROUND(0.01*(E5),2)&gt;1,C5&gt;=18),"1 mg iv",ROUND(0.01*(E5),2)&amp;" mg iv")</f>
        <v>0 mg iv</v>
      </c>
      <c r="E13" s="41" t="str">
        <f>"= "&amp;IF(ROUND(0.01*(E5),2)&gt;1,"1 ml van 1mg = 10 ml (1:10.000)",ROUND(0.1*(E5),2)&amp;" ml van 1mg = 10 ml (1:10.000)")</f>
        <v>= 0 ml van 1mg = 10 ml (1:10.000)</v>
      </c>
      <c r="F13" s="41"/>
      <c r="G13" s="136" t="s">
        <v>1</v>
      </c>
      <c r="H13" s="41"/>
      <c r="I13" s="41"/>
      <c r="J13" s="340"/>
      <c r="K13" s="340"/>
      <c r="L13" s="340">
        <v>10</v>
      </c>
      <c r="M13" s="340">
        <v>20</v>
      </c>
      <c r="N13" s="340">
        <v>6.5</v>
      </c>
      <c r="O13" s="340">
        <v>10</v>
      </c>
      <c r="P13" s="340">
        <v>9.3000000000000007</v>
      </c>
      <c r="Q13" s="340">
        <v>73</v>
      </c>
      <c r="R13" s="340"/>
      <c r="S13" s="340">
        <v>11</v>
      </c>
      <c r="T13" s="340">
        <v>10</v>
      </c>
      <c r="U13" s="340"/>
      <c r="V13" s="340"/>
      <c r="W13" s="340"/>
      <c r="X13" s="340"/>
      <c r="Y13" s="125"/>
    </row>
    <row r="14" spans="1:25 4305:4305" ht="20.100000000000001" customHeight="1" x14ac:dyDescent="0.2">
      <c r="B14" s="111"/>
      <c r="C14" s="110" t="s">
        <v>578</v>
      </c>
      <c r="D14" s="42" t="str">
        <f>IF(0.2*E5&lt;=25,0.2*E5&amp;" gram iv","25 gram iv")</f>
        <v>0 gram iv</v>
      </c>
      <c r="E14" s="41" t="str">
        <f>"="&amp;" "&amp;IF(2*E5&lt;=250,ROUND(2*E5,2)&amp;" ml Glucose 10%","250 ml Glucose 10%")</f>
        <v>= 0 ml Glucose 10%</v>
      </c>
      <c r="F14" s="41"/>
      <c r="G14" s="136" t="s">
        <v>3</v>
      </c>
      <c r="H14" s="41"/>
      <c r="I14" s="41"/>
      <c r="J14" s="340"/>
      <c r="K14" s="340"/>
      <c r="L14" s="340">
        <v>11</v>
      </c>
      <c r="M14" s="340">
        <v>20</v>
      </c>
      <c r="N14" s="340">
        <v>7</v>
      </c>
      <c r="O14" s="340">
        <v>11</v>
      </c>
      <c r="P14" s="340">
        <v>9.5</v>
      </c>
      <c r="Q14" s="340">
        <v>74</v>
      </c>
      <c r="R14" s="340"/>
      <c r="S14" s="340">
        <v>12</v>
      </c>
      <c r="T14" s="340">
        <v>10</v>
      </c>
      <c r="U14" s="340"/>
      <c r="V14" s="340"/>
      <c r="W14" s="340"/>
      <c r="X14" s="340"/>
      <c r="Y14" s="125"/>
    </row>
    <row r="15" spans="1:25 4305:4305" ht="20.100000000000001" customHeight="1" thickBot="1" x14ac:dyDescent="0.25">
      <c r="B15" s="111"/>
      <c r="C15" s="122" t="s">
        <v>814</v>
      </c>
      <c r="D15" s="123" t="str">
        <f>IF(ROUND(20*E5/10,0)*10&gt;500,500,ROUND(20*E5/10,0)*10)&amp;" ml NaCl 0,9% iv per bolus"</f>
        <v>0 ml NaCl 0,9% iv per bolus</v>
      </c>
      <c r="E15" s="124"/>
      <c r="F15" s="124"/>
      <c r="G15" s="137" t="s">
        <v>4</v>
      </c>
      <c r="H15" s="41"/>
      <c r="I15" s="41"/>
      <c r="J15" s="340"/>
      <c r="K15" s="340"/>
      <c r="L15" s="340">
        <v>12</v>
      </c>
      <c r="M15" s="340">
        <v>15</v>
      </c>
      <c r="N15" s="340">
        <v>7</v>
      </c>
      <c r="O15" s="340">
        <v>12</v>
      </c>
      <c r="P15" s="340">
        <v>10</v>
      </c>
      <c r="Q15" s="340">
        <v>76</v>
      </c>
      <c r="R15" s="340"/>
      <c r="S15" s="340">
        <v>13</v>
      </c>
      <c r="T15" s="340">
        <v>10</v>
      </c>
      <c r="U15" s="340"/>
      <c r="V15" s="340"/>
      <c r="W15" s="340"/>
      <c r="X15" s="340"/>
      <c r="Y15" s="125"/>
    </row>
    <row r="16" spans="1:25 4305:4305" ht="20.100000000000001" customHeight="1" thickBot="1" x14ac:dyDescent="0.25">
      <c r="B16" s="20"/>
      <c r="C16" s="41"/>
      <c r="D16" s="42"/>
      <c r="E16" s="41"/>
      <c r="F16" s="41"/>
      <c r="G16" s="136"/>
      <c r="H16" s="41"/>
      <c r="I16" s="41"/>
      <c r="J16" s="340"/>
      <c r="K16" s="340"/>
      <c r="L16" s="340">
        <v>16</v>
      </c>
      <c r="M16" s="340">
        <v>15</v>
      </c>
      <c r="N16" s="340">
        <v>7</v>
      </c>
      <c r="O16" s="340"/>
      <c r="P16" s="340"/>
      <c r="Q16" s="340"/>
      <c r="R16" s="340"/>
      <c r="S16" s="340">
        <v>17</v>
      </c>
      <c r="T16" s="340">
        <v>20</v>
      </c>
      <c r="U16" s="340"/>
      <c r="V16" s="340"/>
      <c r="W16" s="340"/>
      <c r="X16" s="340"/>
      <c r="Y16" s="125"/>
    </row>
    <row r="17" spans="2:26" ht="20.100000000000001" customHeight="1" x14ac:dyDescent="0.2">
      <c r="B17" s="111" t="s">
        <v>392</v>
      </c>
      <c r="C17" s="119" t="s">
        <v>815</v>
      </c>
      <c r="D17" s="120" t="str">
        <f>IF(0.1*E5&gt;2,"2 mg iv",0.1*E5&amp;" mg iv")</f>
        <v>0 mg iv</v>
      </c>
      <c r="E17" s="121" t="str">
        <f>"= "&amp;IF(0.1*E5&gt;2,"0,1 ml van een 10 mg/ml oplossing",ROUND(0.1*E5,2)&amp;" ml van een 10 mg/ml oplossing")</f>
        <v>= 0 ml van een 10 mg/ml oplossing</v>
      </c>
      <c r="F17" s="121"/>
      <c r="G17" s="135" t="s">
        <v>687</v>
      </c>
      <c r="H17" s="41"/>
      <c r="I17" s="41"/>
      <c r="J17" s="340"/>
      <c r="K17" s="340"/>
      <c r="L17" s="340">
        <v>17</v>
      </c>
      <c r="M17" s="340">
        <v>15</v>
      </c>
      <c r="N17" s="340">
        <v>7</v>
      </c>
      <c r="O17" s="340"/>
      <c r="P17" s="340"/>
      <c r="Q17" s="340"/>
      <c r="R17" s="340"/>
      <c r="S17" s="340">
        <v>18</v>
      </c>
      <c r="T17" s="340">
        <v>20</v>
      </c>
      <c r="U17" s="340"/>
      <c r="V17" s="340"/>
      <c r="W17" s="340"/>
      <c r="X17" s="340"/>
      <c r="Y17" s="125"/>
    </row>
    <row r="18" spans="2:26" ht="15.75" customHeight="1" thickBot="1" x14ac:dyDescent="0.25">
      <c r="B18" s="20"/>
      <c r="C18" s="109"/>
      <c r="D18" s="42"/>
      <c r="E18" s="526"/>
      <c r="F18" s="526"/>
      <c r="G18" s="136"/>
      <c r="H18" s="113"/>
      <c r="I18" s="113"/>
      <c r="J18" s="342"/>
      <c r="K18" s="340"/>
      <c r="L18" s="340">
        <v>18</v>
      </c>
      <c r="M18" s="340">
        <v>15</v>
      </c>
      <c r="N18" s="340">
        <v>7</v>
      </c>
      <c r="O18" s="340"/>
      <c r="P18" s="340"/>
      <c r="Q18" s="340"/>
      <c r="R18" s="340"/>
      <c r="S18" s="340">
        <v>19</v>
      </c>
      <c r="T18" s="340">
        <v>20</v>
      </c>
      <c r="U18" s="340"/>
      <c r="V18" s="340"/>
      <c r="W18" s="340"/>
      <c r="X18" s="340"/>
      <c r="Y18" s="125"/>
    </row>
    <row r="19" spans="2:26" ht="20.100000000000001" customHeight="1" x14ac:dyDescent="0.2">
      <c r="B19" s="111" t="s">
        <v>280</v>
      </c>
      <c r="C19" s="119" t="s">
        <v>816</v>
      </c>
      <c r="D19" s="120" t="str">
        <f>0.1*E5&amp;" mg iv"</f>
        <v>0 mg iv</v>
      </c>
      <c r="E19" s="121" t="str">
        <f>"= "&amp;ROUND((0.1*E5),2)&amp;" ml van Anexate 0,1 mg/ml"</f>
        <v>= 0 ml van Anexate 0,1 mg/ml</v>
      </c>
      <c r="F19" s="121"/>
      <c r="G19" s="135"/>
      <c r="H19" s="113"/>
      <c r="I19" s="113"/>
      <c r="J19" s="342"/>
      <c r="K19" s="340"/>
      <c r="L19" s="340"/>
      <c r="M19" s="340"/>
      <c r="N19" s="340"/>
      <c r="O19" s="340"/>
      <c r="P19" s="340"/>
      <c r="Q19" s="340"/>
      <c r="R19" s="340"/>
      <c r="S19" s="340">
        <v>20</v>
      </c>
      <c r="T19" s="340">
        <v>20</v>
      </c>
      <c r="U19" s="340">
        <v>20</v>
      </c>
      <c r="V19" s="340"/>
      <c r="W19" s="340"/>
      <c r="X19" s="340"/>
      <c r="Y19" s="125"/>
    </row>
    <row r="20" spans="2:26" ht="20.100000000000001" customHeight="1" x14ac:dyDescent="0.2">
      <c r="B20" s="111"/>
      <c r="C20" s="110" t="s">
        <v>817</v>
      </c>
      <c r="D20" s="42" t="str">
        <f>IF(0.01*E5&gt;0.4,"0,4 mg iv",0.01*E5&amp;" mg iv")</f>
        <v>0 mg iv</v>
      </c>
      <c r="E20" s="1063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1063"/>
      <c r="G20" s="136" t="s">
        <v>9</v>
      </c>
      <c r="H20" s="41"/>
      <c r="I20" s="41"/>
      <c r="J20" s="340"/>
      <c r="K20" s="340"/>
      <c r="L20" s="340"/>
      <c r="M20" s="340"/>
      <c r="N20" s="340"/>
      <c r="O20" s="340"/>
      <c r="P20" s="340"/>
      <c r="Q20" s="340"/>
      <c r="R20" s="340"/>
      <c r="S20" s="340">
        <v>21</v>
      </c>
      <c r="T20" s="340">
        <v>30</v>
      </c>
      <c r="U20" s="340"/>
      <c r="V20" s="340"/>
      <c r="W20" s="340"/>
      <c r="X20" s="340"/>
      <c r="Y20" s="125"/>
    </row>
    <row r="21" spans="2:26" ht="20.100000000000001" customHeight="1" thickBot="1" x14ac:dyDescent="0.25">
      <c r="B21" s="111"/>
      <c r="C21" s="122"/>
      <c r="D21" s="123"/>
      <c r="E21" s="1064"/>
      <c r="F21" s="1064"/>
      <c r="G21" s="137"/>
      <c r="H21" s="41"/>
      <c r="I21" s="41"/>
      <c r="J21" s="340"/>
      <c r="K21" s="340"/>
      <c r="L21" s="340" t="s">
        <v>1170</v>
      </c>
      <c r="M21" s="340" t="s">
        <v>1171</v>
      </c>
      <c r="N21" s="340" t="s">
        <v>813</v>
      </c>
      <c r="O21" s="340"/>
      <c r="P21" s="340"/>
      <c r="Q21" s="340"/>
      <c r="R21" s="340"/>
      <c r="S21" s="340">
        <v>22</v>
      </c>
      <c r="T21" s="340">
        <v>30</v>
      </c>
      <c r="U21" s="340"/>
      <c r="V21" s="340"/>
      <c r="W21" s="340"/>
      <c r="X21" s="340"/>
      <c r="Y21" s="125"/>
    </row>
    <row r="22" spans="2:26" ht="20.100000000000001" customHeight="1" thickBot="1" x14ac:dyDescent="0.25">
      <c r="B22" s="20"/>
      <c r="C22" s="109"/>
      <c r="D22" s="42"/>
      <c r="E22" s="526"/>
      <c r="F22" s="526"/>
      <c r="G22" s="136"/>
      <c r="H22" s="41"/>
      <c r="I22" s="41"/>
      <c r="J22" s="340"/>
      <c r="K22" s="340"/>
      <c r="L22" s="340">
        <v>0</v>
      </c>
      <c r="M22" s="340">
        <v>1</v>
      </c>
      <c r="N22" s="340">
        <v>2.5</v>
      </c>
      <c r="O22" s="340"/>
      <c r="P22" s="340"/>
      <c r="Q22" s="340"/>
      <c r="R22" s="340"/>
      <c r="S22" s="340">
        <v>23</v>
      </c>
      <c r="T22" s="340">
        <v>30</v>
      </c>
      <c r="U22" s="340"/>
      <c r="V22" s="340"/>
      <c r="W22" s="340"/>
      <c r="X22" s="340"/>
      <c r="Y22" s="125"/>
    </row>
    <row r="23" spans="2:26" ht="20.100000000000001" customHeight="1" x14ac:dyDescent="0.2">
      <c r="B23" s="111" t="s">
        <v>281</v>
      </c>
      <c r="C23" s="119" t="s">
        <v>783</v>
      </c>
      <c r="D23" s="527" t="str">
        <f>CONCATENATE(0.0144*(_Pat_Gewicht/10), " mg in 12 ml glucose 10%")</f>
        <v>0 mg in 12 ml glucose 10%</v>
      </c>
      <c r="E23" s="121" t="s">
        <v>1174</v>
      </c>
      <c r="F23" s="121"/>
      <c r="G23" s="135" t="s">
        <v>688</v>
      </c>
      <c r="H23" s="41"/>
      <c r="I23" s="41"/>
      <c r="J23" s="340"/>
      <c r="K23" s="340"/>
      <c r="L23" s="340">
        <v>1</v>
      </c>
      <c r="M23" s="340">
        <v>2</v>
      </c>
      <c r="N23" s="340">
        <v>3</v>
      </c>
      <c r="O23" s="340"/>
      <c r="P23" s="340"/>
      <c r="Q23" s="340"/>
      <c r="R23" s="340"/>
      <c r="S23" s="340">
        <v>24</v>
      </c>
      <c r="T23" s="340">
        <v>30</v>
      </c>
      <c r="U23" s="340"/>
      <c r="V23" s="340"/>
      <c r="W23" s="340"/>
      <c r="X23" s="340"/>
      <c r="Y23" s="125"/>
    </row>
    <row r="24" spans="2:26" ht="20.100000000000001" customHeight="1" x14ac:dyDescent="0.25">
      <c r="B24" s="111"/>
      <c r="C24" s="110" t="s">
        <v>818</v>
      </c>
      <c r="D24" s="42" t="str">
        <f>CONCATENATE(7.2*(_Pat_Gewicht/10), " mg in 12 ml glucose 10%")</f>
        <v>0 mg in 12 ml glucose 10%</v>
      </c>
      <c r="E24" s="41" t="s">
        <v>1175</v>
      </c>
      <c r="F24" s="41"/>
      <c r="G24" s="136" t="s">
        <v>341</v>
      </c>
      <c r="H24" s="41"/>
      <c r="I24" s="41"/>
      <c r="J24" s="345"/>
      <c r="K24" s="340"/>
      <c r="L24" s="340">
        <v>2</v>
      </c>
      <c r="M24" s="340">
        <v>150</v>
      </c>
      <c r="N24" s="340">
        <v>3.5</v>
      </c>
      <c r="O24" s="340"/>
      <c r="P24" s="340"/>
      <c r="Q24" s="340"/>
      <c r="R24" s="340"/>
      <c r="S24" s="340">
        <v>25</v>
      </c>
      <c r="T24" s="340">
        <v>30</v>
      </c>
      <c r="U24" s="340"/>
      <c r="V24" s="340"/>
      <c r="W24" s="340"/>
      <c r="X24" s="340"/>
      <c r="Y24" s="125"/>
    </row>
    <row r="25" spans="2:26" ht="20.100000000000001" customHeight="1" thickBot="1" x14ac:dyDescent="0.25">
      <c r="B25" s="111"/>
      <c r="C25" s="122" t="s">
        <v>819</v>
      </c>
      <c r="D25" s="123" t="str">
        <f>CONCATENATE(0.072*(_Pat_Gewicht/10), " mg in 12 ml glucose 10%")</f>
        <v>0 mg in 12 ml glucose 10%</v>
      </c>
      <c r="E25" s="528" t="s">
        <v>1176</v>
      </c>
      <c r="F25" s="124"/>
      <c r="G25" s="137" t="s">
        <v>401</v>
      </c>
      <c r="H25" s="41"/>
      <c r="I25" s="41"/>
      <c r="J25" s="340"/>
      <c r="K25" s="340"/>
      <c r="L25" s="340"/>
      <c r="M25" s="340"/>
      <c r="N25" s="340"/>
      <c r="O25" s="340"/>
      <c r="P25" s="340"/>
      <c r="Q25" s="340"/>
      <c r="R25" s="340"/>
      <c r="S25" s="340">
        <v>29</v>
      </c>
      <c r="T25" s="340">
        <v>30</v>
      </c>
      <c r="U25" s="340"/>
      <c r="V25" s="340"/>
      <c r="W25" s="340"/>
      <c r="X25" s="340"/>
      <c r="Y25" s="125"/>
    </row>
    <row r="26" spans="2:26" ht="20.100000000000001" customHeight="1" thickBot="1" x14ac:dyDescent="0.25">
      <c r="B26" s="20"/>
      <c r="C26" s="41"/>
      <c r="D26" s="42"/>
      <c r="E26" s="41"/>
      <c r="F26" s="41"/>
      <c r="G26" s="136"/>
      <c r="H26" s="41"/>
      <c r="I26" s="41"/>
      <c r="J26" s="340"/>
      <c r="K26" s="340"/>
      <c r="L26" s="340"/>
      <c r="M26" s="340"/>
      <c r="N26" s="340"/>
      <c r="O26" s="340"/>
      <c r="P26" s="340"/>
      <c r="Q26" s="340"/>
      <c r="R26" s="340"/>
      <c r="S26" s="340">
        <v>32</v>
      </c>
      <c r="T26" s="340">
        <v>50</v>
      </c>
      <c r="U26" s="340"/>
      <c r="V26" s="340"/>
      <c r="W26" s="340"/>
      <c r="X26" s="340"/>
      <c r="Y26" s="125"/>
    </row>
    <row r="27" spans="2:26" ht="26.25" thickBot="1" x14ac:dyDescent="0.25">
      <c r="B27" s="536" t="s">
        <v>89</v>
      </c>
      <c r="C27" s="532" t="s">
        <v>283</v>
      </c>
      <c r="D27" s="530" t="str">
        <f>CONCATENATE(0.1*(_Pat_Gewicht/10), " mg")</f>
        <v>0 mg</v>
      </c>
      <c r="E27" s="531" t="str">
        <f>"= "&amp;0.02*(_Pat_Gewicht/10)&amp;" ml van Midazolam 5mg/ml oplossing"</f>
        <v>= 0 ml van Midazolam 5mg/ml oplossing</v>
      </c>
      <c r="F27" s="531"/>
      <c r="G27" s="537"/>
      <c r="H27" s="41"/>
      <c r="I27" s="41"/>
      <c r="J27" s="340"/>
      <c r="K27" s="340"/>
      <c r="L27" s="340"/>
      <c r="M27" s="340"/>
      <c r="N27" s="340"/>
      <c r="O27" s="340"/>
      <c r="P27" s="340"/>
      <c r="Q27" s="340"/>
      <c r="R27" s="340"/>
      <c r="S27" s="340">
        <v>33</v>
      </c>
      <c r="T27" s="340">
        <v>50</v>
      </c>
      <c r="U27" s="340"/>
      <c r="V27" s="340"/>
      <c r="W27" s="340"/>
      <c r="X27" s="340"/>
      <c r="Y27" s="125"/>
    </row>
    <row r="28" spans="2:26" ht="20.100000000000001" customHeight="1" thickBot="1" x14ac:dyDescent="0.25">
      <c r="B28" s="529"/>
      <c r="C28" s="532" t="s">
        <v>1177</v>
      </c>
      <c r="D28" s="533" t="str">
        <f>CONCATENATE(20*(_Pat_Gewicht/10), " mg")</f>
        <v>0 mg</v>
      </c>
      <c r="E28" s="534" t="str">
        <f>"= "&amp;0.4*(_Pat_Gewicht/10)&amp;" ml van Fenobarbital 50mg/ml oplossing"</f>
        <v>= 0 ml van Fenobarbital 50mg/ml oplossing</v>
      </c>
      <c r="F28" s="534"/>
      <c r="G28" s="535"/>
      <c r="H28" s="41"/>
      <c r="I28" s="41"/>
      <c r="J28" s="340"/>
      <c r="K28" s="340"/>
      <c r="L28" s="340"/>
      <c r="M28" s="340"/>
      <c r="N28" s="340"/>
      <c r="O28" s="340"/>
      <c r="P28" s="340"/>
      <c r="Q28" s="340"/>
      <c r="R28" s="340"/>
      <c r="S28" s="340">
        <v>41</v>
      </c>
      <c r="T28" s="340">
        <v>50</v>
      </c>
      <c r="U28" s="340"/>
      <c r="V28" s="340"/>
      <c r="W28" s="340"/>
      <c r="X28" s="340"/>
      <c r="Y28" s="125"/>
    </row>
    <row r="29" spans="2:26" ht="13.5" customHeight="1" thickBot="1" x14ac:dyDescent="0.25">
      <c r="B29" s="20"/>
      <c r="C29" s="41"/>
      <c r="D29" s="42"/>
      <c r="E29" s="41"/>
      <c r="F29" s="41"/>
      <c r="G29" s="138"/>
      <c r="H29" s="41"/>
      <c r="I29" s="41"/>
      <c r="J29" s="340"/>
      <c r="K29" s="340"/>
      <c r="L29" s="340"/>
      <c r="M29" s="340"/>
      <c r="N29" s="340"/>
      <c r="O29" s="340"/>
      <c r="P29" s="340"/>
      <c r="Q29" s="340"/>
      <c r="R29" s="340"/>
      <c r="S29" s="340">
        <v>42</v>
      </c>
      <c r="T29" s="340">
        <v>50</v>
      </c>
      <c r="U29" s="340"/>
      <c r="V29" s="340"/>
      <c r="W29" s="340"/>
      <c r="X29" s="340"/>
      <c r="Y29" s="125"/>
    </row>
    <row r="30" spans="2:26" ht="19.5" customHeight="1" x14ac:dyDescent="0.2">
      <c r="B30" s="546" t="s">
        <v>749</v>
      </c>
      <c r="C30" s="547" t="s">
        <v>1178</v>
      </c>
      <c r="D30" s="559" t="str">
        <f>CONCATENATE(0.225*(_Pat_Gewicht/10)," (mmol IV)")</f>
        <v>0 (mmol IV)</v>
      </c>
      <c r="E30" s="548" t="str">
        <f>"= "&amp;1*(_Pat_Gewicht/10)&amp;" ml IV van Calcium gluconaat 10%"</f>
        <v>= 0 ml IV van Calcium gluconaat 10%</v>
      </c>
      <c r="F30" s="548"/>
      <c r="G30" s="553"/>
      <c r="H30" s="541"/>
      <c r="I30" s="541"/>
      <c r="J30" s="557"/>
      <c r="K30" s="557"/>
      <c r="L30" s="557"/>
      <c r="M30" s="557"/>
      <c r="N30" s="557"/>
      <c r="O30" s="557"/>
      <c r="P30" s="557"/>
      <c r="Q30" s="557"/>
      <c r="R30" s="557"/>
      <c r="S30" s="557">
        <v>45</v>
      </c>
      <c r="T30" s="557">
        <v>50</v>
      </c>
      <c r="U30" s="557"/>
      <c r="V30" s="557"/>
      <c r="W30" s="557"/>
      <c r="X30" s="557"/>
      <c r="Y30" s="552"/>
      <c r="Z30" s="125"/>
    </row>
    <row r="31" spans="2:26" ht="19.5" customHeight="1" x14ac:dyDescent="0.25">
      <c r="B31" s="546"/>
      <c r="C31" s="545" t="s">
        <v>131</v>
      </c>
      <c r="D31" s="542" t="str">
        <f>CONCATENATE(0.1*(_Pat_Gewicht/10)," mg")</f>
        <v>0 mg</v>
      </c>
      <c r="E31" s="541" t="str">
        <f>"= "&amp;0.1*(_Pat_Gewicht/10)&amp;" ml van Morfine 1mg/1ml oplossing"</f>
        <v>= 0 ml van Morfine 1mg/1ml oplossing</v>
      </c>
      <c r="F31" s="541"/>
      <c r="G31" s="554"/>
      <c r="H31" s="541"/>
      <c r="I31" s="541"/>
      <c r="J31" s="558"/>
      <c r="K31" s="557"/>
      <c r="L31" s="557"/>
      <c r="M31" s="557"/>
      <c r="N31" s="557"/>
      <c r="O31" s="557"/>
      <c r="P31" s="557"/>
      <c r="Q31" s="557"/>
      <c r="R31" s="557"/>
      <c r="S31" s="557">
        <v>46</v>
      </c>
      <c r="T31" s="557">
        <v>50</v>
      </c>
      <c r="U31" s="557"/>
      <c r="V31" s="557"/>
      <c r="W31" s="557"/>
      <c r="X31" s="557"/>
      <c r="Y31" s="552"/>
    </row>
    <row r="32" spans="2:26" ht="19.5" customHeight="1" thickBot="1" x14ac:dyDescent="0.25">
      <c r="B32" s="546"/>
      <c r="C32" s="549" t="s">
        <v>804</v>
      </c>
      <c r="D32" s="550" t="str">
        <f>CONCATENATE(0.6*(_Pat_Gewicht/10)," mg")</f>
        <v>0 mg</v>
      </c>
      <c r="E32" s="551" t="str">
        <f>"= "&amp;0.06*(_Pat_Gewicht/10)&amp;" ml van Rocorium 10mg/1ml oplossing"</f>
        <v>= 0 ml van Rocorium 10mg/1ml oplossing</v>
      </c>
      <c r="F32" s="551"/>
      <c r="G32" s="555"/>
      <c r="H32" s="541"/>
      <c r="I32" s="541"/>
      <c r="J32" s="557"/>
      <c r="K32" s="557"/>
      <c r="L32" s="557"/>
      <c r="M32" s="557"/>
      <c r="N32" s="557"/>
      <c r="O32" s="557"/>
      <c r="P32" s="557"/>
      <c r="Q32" s="557"/>
      <c r="R32" s="557"/>
      <c r="S32" s="557">
        <v>47</v>
      </c>
      <c r="T32" s="557">
        <v>50</v>
      </c>
      <c r="U32" s="557"/>
      <c r="V32" s="557"/>
      <c r="W32" s="557"/>
      <c r="X32" s="557"/>
      <c r="Y32" s="552"/>
    </row>
    <row r="33" spans="2:25" ht="19.5" customHeight="1" x14ac:dyDescent="0.2">
      <c r="B33" s="540"/>
      <c r="C33" s="538"/>
      <c r="D33" s="538"/>
      <c r="E33" s="538"/>
      <c r="F33" s="538"/>
      <c r="G33" s="538"/>
      <c r="H33" s="541"/>
      <c r="I33" s="541"/>
      <c r="J33" s="557"/>
      <c r="K33" s="557"/>
      <c r="L33" s="557"/>
      <c r="M33" s="557"/>
      <c r="N33" s="557"/>
      <c r="O33" s="557"/>
      <c r="P33" s="557"/>
      <c r="Q33" s="557"/>
      <c r="R33" s="557"/>
      <c r="S33" s="557">
        <v>48</v>
      </c>
      <c r="T33" s="557">
        <v>50</v>
      </c>
      <c r="U33" s="557"/>
      <c r="V33" s="557"/>
      <c r="W33" s="557"/>
      <c r="X33" s="557"/>
      <c r="Y33" s="552"/>
    </row>
    <row r="34" spans="2:25" x14ac:dyDescent="0.2">
      <c r="B34" s="540"/>
      <c r="C34" s="541"/>
      <c r="D34" s="542"/>
      <c r="E34" s="541"/>
      <c r="F34" s="541"/>
      <c r="G34" s="556"/>
      <c r="H34" s="541"/>
      <c r="I34" s="541"/>
      <c r="J34" s="557"/>
      <c r="K34" s="557"/>
      <c r="L34" s="557"/>
      <c r="M34" s="557"/>
      <c r="N34" s="557"/>
      <c r="O34" s="557"/>
      <c r="P34" s="557"/>
      <c r="Q34" s="557"/>
      <c r="R34" s="557"/>
      <c r="S34" s="557">
        <v>49</v>
      </c>
      <c r="T34" s="557">
        <v>50</v>
      </c>
      <c r="U34" s="557"/>
      <c r="V34" s="557"/>
      <c r="W34" s="557"/>
      <c r="X34" s="557"/>
      <c r="Y34" s="552"/>
    </row>
    <row r="35" spans="2:25" x14ac:dyDescent="0.2">
      <c r="B35" s="539"/>
      <c r="C35" s="541"/>
      <c r="D35" s="541"/>
      <c r="E35" s="541"/>
      <c r="F35" s="541"/>
      <c r="G35" s="541"/>
      <c r="H35" s="541"/>
      <c r="I35" s="541"/>
      <c r="J35" s="557"/>
      <c r="K35" s="557"/>
      <c r="L35" s="557"/>
      <c r="M35" s="557"/>
      <c r="N35" s="557"/>
      <c r="O35" s="557"/>
      <c r="P35" s="557"/>
      <c r="Q35" s="557"/>
      <c r="R35" s="557"/>
      <c r="S35" s="557">
        <v>50</v>
      </c>
      <c r="T35" s="557">
        <v>50</v>
      </c>
      <c r="U35" s="557">
        <v>50</v>
      </c>
      <c r="V35" s="557"/>
      <c r="W35" s="557"/>
      <c r="X35" s="557"/>
      <c r="Y35" s="552"/>
    </row>
    <row r="36" spans="2:25" x14ac:dyDescent="0.2">
      <c r="B36" s="544" t="s">
        <v>82</v>
      </c>
      <c r="C36" s="543"/>
      <c r="D36" s="541"/>
      <c r="E36" s="541"/>
      <c r="F36" s="541"/>
      <c r="G36" s="541"/>
      <c r="H36" s="541"/>
      <c r="I36" s="541"/>
      <c r="J36" s="557"/>
      <c r="K36" s="557"/>
      <c r="L36" s="557"/>
      <c r="M36" s="557"/>
      <c r="N36" s="557"/>
      <c r="O36" s="557"/>
      <c r="P36" s="557"/>
      <c r="Q36" s="557"/>
      <c r="R36" s="557"/>
      <c r="S36" s="557">
        <v>51</v>
      </c>
      <c r="T36" s="557">
        <v>70</v>
      </c>
      <c r="U36" s="557"/>
      <c r="V36" s="557"/>
      <c r="W36" s="557"/>
      <c r="X36" s="557"/>
      <c r="Y36" s="552"/>
    </row>
    <row r="37" spans="2:25" x14ac:dyDescent="0.2">
      <c r="B37" s="48"/>
      <c r="C37" s="41"/>
      <c r="D37" s="41"/>
      <c r="E37" s="41"/>
      <c r="F37" s="41"/>
      <c r="G37" s="41"/>
      <c r="H37" s="41"/>
      <c r="I37" s="41"/>
      <c r="J37" s="340"/>
      <c r="K37" s="340"/>
      <c r="L37" s="340"/>
      <c r="M37" s="340"/>
      <c r="N37" s="340"/>
      <c r="O37" s="340"/>
      <c r="P37" s="340"/>
      <c r="Q37" s="340"/>
      <c r="R37" s="340"/>
      <c r="S37" s="340">
        <v>50</v>
      </c>
      <c r="T37" s="340">
        <v>50</v>
      </c>
      <c r="U37" s="340">
        <v>50</v>
      </c>
      <c r="V37" s="340"/>
      <c r="W37" s="340"/>
      <c r="X37" s="340"/>
      <c r="Y37" s="125"/>
    </row>
    <row r="38" spans="2:25" x14ac:dyDescent="0.2">
      <c r="B38" s="48"/>
      <c r="C38" s="41"/>
      <c r="D38" s="41"/>
      <c r="E38" s="41"/>
      <c r="F38" s="41"/>
      <c r="G38" s="41"/>
      <c r="H38" s="41"/>
      <c r="I38" s="41"/>
      <c r="J38" s="340"/>
      <c r="K38" s="340"/>
      <c r="L38" s="340"/>
      <c r="M38" s="340"/>
      <c r="N38" s="340"/>
      <c r="O38" s="340"/>
      <c r="P38" s="340"/>
      <c r="Q38" s="340"/>
      <c r="R38" s="340"/>
      <c r="S38" s="340">
        <v>51</v>
      </c>
      <c r="T38" s="340">
        <v>70</v>
      </c>
      <c r="U38" s="340"/>
      <c r="V38" s="340"/>
      <c r="W38" s="340"/>
      <c r="X38" s="340"/>
      <c r="Y38" s="125"/>
    </row>
    <row r="39" spans="2:25" x14ac:dyDescent="0.2">
      <c r="B39" s="48"/>
      <c r="C39" s="41"/>
      <c r="D39" s="41"/>
      <c r="E39" s="41"/>
      <c r="F39" s="41"/>
      <c r="G39" s="41"/>
      <c r="H39" s="41"/>
      <c r="I39" s="41"/>
      <c r="J39" s="340"/>
      <c r="K39" s="340"/>
      <c r="L39" s="340"/>
      <c r="M39" s="340"/>
      <c r="N39" s="340"/>
      <c r="O39" s="340"/>
      <c r="P39" s="340"/>
      <c r="Q39" s="340"/>
      <c r="R39" s="340"/>
      <c r="S39" s="340">
        <v>52</v>
      </c>
      <c r="T39" s="340">
        <v>70</v>
      </c>
      <c r="U39" s="340"/>
      <c r="V39" s="340"/>
      <c r="W39" s="340"/>
      <c r="X39" s="340"/>
      <c r="Y39" s="125"/>
    </row>
    <row r="40" spans="2:25" x14ac:dyDescent="0.2">
      <c r="B40" s="48"/>
      <c r="C40" s="41"/>
      <c r="D40" s="41"/>
      <c r="E40" s="41"/>
      <c r="F40" s="41"/>
      <c r="G40" s="41"/>
      <c r="H40" s="41"/>
      <c r="I40" s="41"/>
      <c r="J40" s="340"/>
      <c r="K40" s="340"/>
      <c r="L40" s="340"/>
      <c r="M40" s="340"/>
      <c r="N40" s="340"/>
      <c r="O40" s="340"/>
      <c r="P40" s="340"/>
      <c r="Q40" s="340"/>
      <c r="R40" s="340"/>
      <c r="S40" s="340">
        <v>53</v>
      </c>
      <c r="T40" s="340">
        <v>70</v>
      </c>
      <c r="U40" s="340"/>
      <c r="V40" s="340"/>
      <c r="W40" s="340"/>
      <c r="X40" s="340"/>
      <c r="Y40" s="125"/>
    </row>
    <row r="41" spans="2:25" x14ac:dyDescent="0.2">
      <c r="B41" s="48"/>
      <c r="C41" s="41"/>
      <c r="D41" s="41"/>
      <c r="E41" s="41"/>
      <c r="F41" s="41"/>
      <c r="G41" s="41"/>
      <c r="H41" s="41"/>
      <c r="I41" s="41"/>
      <c r="J41" s="340"/>
      <c r="K41" s="340"/>
      <c r="L41" s="340"/>
      <c r="M41" s="340"/>
      <c r="N41" s="340"/>
      <c r="O41" s="340"/>
      <c r="P41" s="340"/>
      <c r="Q41" s="340"/>
      <c r="R41" s="340"/>
      <c r="S41" s="340">
        <v>54</v>
      </c>
      <c r="T41" s="340">
        <v>70</v>
      </c>
      <c r="U41" s="340"/>
      <c r="V41" s="340"/>
      <c r="W41" s="340"/>
      <c r="X41" s="340"/>
      <c r="Y41" s="125"/>
    </row>
    <row r="42" spans="2:25" x14ac:dyDescent="0.2">
      <c r="B42" s="48"/>
      <c r="C42" s="41"/>
      <c r="D42" s="41"/>
      <c r="E42" s="41"/>
      <c r="F42" s="41"/>
      <c r="G42" s="41"/>
      <c r="H42" s="41"/>
      <c r="I42" s="41"/>
      <c r="J42" s="340"/>
      <c r="K42" s="340"/>
      <c r="L42" s="340"/>
      <c r="M42" s="340"/>
      <c r="N42" s="340"/>
      <c r="O42" s="340"/>
      <c r="P42" s="340"/>
      <c r="Q42" s="340"/>
      <c r="R42" s="340"/>
      <c r="S42" s="340">
        <v>55</v>
      </c>
      <c r="T42" s="340">
        <v>70</v>
      </c>
      <c r="U42" s="340"/>
      <c r="V42" s="340"/>
      <c r="W42" s="340"/>
      <c r="X42" s="340"/>
      <c r="Y42" s="125"/>
    </row>
    <row r="43" spans="2:25" x14ac:dyDescent="0.2">
      <c r="B43" s="48"/>
      <c r="C43" s="41"/>
      <c r="D43" s="41"/>
      <c r="E43" s="41"/>
      <c r="F43" s="41"/>
      <c r="G43" s="41"/>
      <c r="H43" s="41"/>
      <c r="I43" s="41"/>
      <c r="J43" s="340"/>
      <c r="K43" s="340"/>
      <c r="L43" s="340"/>
      <c r="M43" s="340"/>
      <c r="N43" s="340"/>
      <c r="O43" s="340"/>
      <c r="P43" s="340"/>
      <c r="Q43" s="340"/>
      <c r="R43" s="340"/>
      <c r="S43" s="340">
        <v>56</v>
      </c>
      <c r="T43" s="340">
        <v>70</v>
      </c>
      <c r="U43" s="340"/>
      <c r="V43" s="340"/>
      <c r="W43" s="340"/>
      <c r="X43" s="340"/>
      <c r="Y43" s="125"/>
    </row>
    <row r="44" spans="2:25" x14ac:dyDescent="0.2">
      <c r="B44" s="48"/>
      <c r="C44" s="41"/>
      <c r="D44" s="41"/>
      <c r="E44" s="41"/>
      <c r="F44" s="41"/>
      <c r="G44" s="41"/>
      <c r="H44" s="41"/>
      <c r="I44" s="41"/>
      <c r="J44" s="340"/>
      <c r="K44" s="340"/>
      <c r="L44" s="340"/>
      <c r="M44" s="340"/>
      <c r="N44" s="340"/>
      <c r="O44" s="340"/>
      <c r="P44" s="340"/>
      <c r="Q44" s="340"/>
      <c r="R44" s="340"/>
      <c r="S44" s="340">
        <v>57</v>
      </c>
      <c r="T44" s="340">
        <v>70</v>
      </c>
      <c r="U44" s="340"/>
      <c r="V44" s="340"/>
      <c r="W44" s="340"/>
      <c r="X44" s="340"/>
      <c r="Y44" s="125"/>
    </row>
    <row r="45" spans="2:25" x14ac:dyDescent="0.2">
      <c r="B45" s="48"/>
      <c r="C45" s="41"/>
      <c r="D45" s="41"/>
      <c r="E45" s="41"/>
      <c r="F45" s="41"/>
      <c r="G45" s="41"/>
      <c r="H45" s="41"/>
      <c r="I45" s="41"/>
      <c r="J45" s="340"/>
      <c r="K45" s="340"/>
      <c r="L45" s="340"/>
      <c r="M45" s="340"/>
      <c r="N45" s="340"/>
      <c r="O45" s="340"/>
      <c r="P45" s="340"/>
      <c r="Q45" s="340"/>
      <c r="R45" s="340"/>
      <c r="S45" s="340">
        <v>58</v>
      </c>
      <c r="T45" s="340">
        <v>70</v>
      </c>
      <c r="U45" s="340"/>
      <c r="V45" s="340"/>
      <c r="W45" s="340"/>
      <c r="X45" s="340"/>
      <c r="Y45" s="125"/>
    </row>
    <row r="46" spans="2:25" x14ac:dyDescent="0.2">
      <c r="B46" s="48"/>
      <c r="C46" s="41"/>
      <c r="D46" s="41"/>
      <c r="E46" s="41"/>
      <c r="F46" s="41"/>
      <c r="G46" s="41"/>
      <c r="H46" s="41"/>
      <c r="I46" s="41"/>
      <c r="J46" s="340"/>
      <c r="K46" s="340"/>
      <c r="L46" s="340"/>
      <c r="M46" s="340"/>
      <c r="N46" s="340"/>
      <c r="O46" s="340"/>
      <c r="P46" s="340"/>
      <c r="Q46" s="340"/>
      <c r="R46" s="340"/>
      <c r="S46" s="340">
        <v>59</v>
      </c>
      <c r="T46" s="340">
        <v>70</v>
      </c>
      <c r="U46" s="340"/>
      <c r="V46" s="340"/>
      <c r="W46" s="340"/>
      <c r="X46" s="340"/>
      <c r="Y46" s="125"/>
    </row>
    <row r="47" spans="2:25" x14ac:dyDescent="0.2">
      <c r="B47" s="48"/>
      <c r="C47" s="41"/>
      <c r="D47" s="41"/>
      <c r="E47" s="41"/>
      <c r="F47" s="41"/>
      <c r="G47" s="41"/>
      <c r="H47" s="41"/>
      <c r="I47" s="41"/>
      <c r="J47" s="340"/>
      <c r="K47" s="340"/>
      <c r="L47" s="340"/>
      <c r="M47" s="340"/>
      <c r="N47" s="340"/>
      <c r="O47" s="340"/>
      <c r="P47" s="340"/>
      <c r="Q47" s="340"/>
      <c r="R47" s="340"/>
      <c r="S47" s="340">
        <v>60</v>
      </c>
      <c r="T47" s="340">
        <v>70</v>
      </c>
      <c r="U47" s="340"/>
      <c r="V47" s="340"/>
      <c r="W47" s="340"/>
      <c r="X47" s="340"/>
      <c r="Y47" s="125"/>
    </row>
    <row r="48" spans="2:25" x14ac:dyDescent="0.2">
      <c r="B48" s="48"/>
      <c r="C48" s="41"/>
      <c r="D48" s="41"/>
      <c r="E48" s="41"/>
      <c r="F48" s="41"/>
      <c r="G48" s="41"/>
      <c r="H48" s="41"/>
      <c r="I48" s="41"/>
      <c r="J48" s="340"/>
      <c r="K48" s="340"/>
      <c r="L48" s="340"/>
      <c r="M48" s="340"/>
      <c r="N48" s="340"/>
      <c r="O48" s="340"/>
      <c r="P48" s="340"/>
      <c r="Q48" s="340"/>
      <c r="R48" s="340"/>
      <c r="S48" s="340">
        <v>61</v>
      </c>
      <c r="T48" s="340">
        <v>70</v>
      </c>
      <c r="U48" s="340"/>
      <c r="V48" s="340"/>
      <c r="W48" s="340"/>
      <c r="X48" s="340"/>
      <c r="Y48" s="125"/>
    </row>
    <row r="49" spans="2:25" x14ac:dyDescent="0.2">
      <c r="B49" s="48"/>
      <c r="C49" s="41"/>
      <c r="D49" s="41"/>
      <c r="E49" s="41"/>
      <c r="F49" s="41"/>
      <c r="G49" s="41"/>
      <c r="H49" s="41"/>
      <c r="I49" s="41"/>
      <c r="J49" s="340"/>
      <c r="K49" s="340"/>
      <c r="L49" s="340"/>
      <c r="M49" s="340"/>
      <c r="N49" s="340"/>
      <c r="O49" s="340"/>
      <c r="P49" s="340"/>
      <c r="Q49" s="340"/>
      <c r="R49" s="340"/>
      <c r="S49" s="340">
        <v>62</v>
      </c>
      <c r="T49" s="340">
        <v>70</v>
      </c>
      <c r="U49" s="340"/>
      <c r="V49" s="340"/>
      <c r="W49" s="340"/>
      <c r="X49" s="340"/>
      <c r="Y49" s="125"/>
    </row>
    <row r="50" spans="2:25" x14ac:dyDescent="0.2">
      <c r="B50" s="48"/>
      <c r="C50" s="41"/>
      <c r="D50" s="41"/>
      <c r="E50" s="41"/>
      <c r="F50" s="41"/>
      <c r="G50" s="41"/>
      <c r="H50" s="41"/>
      <c r="I50" s="41"/>
      <c r="J50" s="340"/>
      <c r="K50" s="340"/>
      <c r="L50" s="340"/>
      <c r="M50" s="340"/>
      <c r="N50" s="340"/>
      <c r="O50" s="340"/>
      <c r="P50" s="340"/>
      <c r="Q50" s="340"/>
      <c r="R50" s="340"/>
      <c r="S50" s="340">
        <v>63</v>
      </c>
      <c r="T50" s="340">
        <v>70</v>
      </c>
      <c r="U50" s="340"/>
      <c r="V50" s="340"/>
      <c r="W50" s="340"/>
      <c r="X50" s="340"/>
      <c r="Y50" s="125"/>
    </row>
    <row r="51" spans="2:25" x14ac:dyDescent="0.2">
      <c r="B51" s="48"/>
      <c r="C51" s="41"/>
      <c r="D51" s="41"/>
      <c r="E51" s="41"/>
      <c r="F51" s="41"/>
      <c r="G51" s="41"/>
      <c r="H51" s="41"/>
      <c r="I51" s="41"/>
      <c r="J51" s="340"/>
      <c r="K51" s="340"/>
      <c r="L51" s="340"/>
      <c r="M51" s="340"/>
      <c r="N51" s="340"/>
      <c r="O51" s="340"/>
      <c r="P51" s="340"/>
      <c r="Q51" s="340"/>
      <c r="R51" s="340"/>
      <c r="S51" s="340">
        <v>64</v>
      </c>
      <c r="T51" s="340">
        <v>70</v>
      </c>
      <c r="U51" s="340"/>
      <c r="V51" s="340"/>
      <c r="W51" s="340"/>
      <c r="X51" s="340"/>
      <c r="Y51" s="125"/>
    </row>
    <row r="52" spans="2:25" x14ac:dyDescent="0.2">
      <c r="B52" s="48"/>
      <c r="C52" s="41"/>
      <c r="D52" s="41"/>
      <c r="E52" s="41"/>
      <c r="F52" s="41"/>
      <c r="G52" s="41"/>
      <c r="H52" s="41"/>
      <c r="I52" s="41"/>
      <c r="J52" s="340"/>
      <c r="K52" s="340"/>
      <c r="L52" s="340"/>
      <c r="M52" s="340"/>
      <c r="N52" s="340"/>
      <c r="O52" s="340"/>
      <c r="P52" s="340"/>
      <c r="Q52" s="340"/>
      <c r="R52" s="340"/>
      <c r="S52" s="340">
        <v>65</v>
      </c>
      <c r="T52" s="340">
        <v>70</v>
      </c>
      <c r="U52" s="340"/>
      <c r="V52" s="340"/>
      <c r="W52" s="340"/>
      <c r="X52" s="340"/>
      <c r="Y52" s="125"/>
    </row>
    <row r="53" spans="2:25" x14ac:dyDescent="0.2">
      <c r="B53" s="48"/>
      <c r="C53" s="41"/>
      <c r="D53" s="41"/>
      <c r="E53" s="41"/>
      <c r="F53" s="41"/>
      <c r="G53" s="41"/>
      <c r="H53" s="41"/>
      <c r="I53" s="41"/>
      <c r="J53" s="340"/>
      <c r="K53" s="340"/>
      <c r="L53" s="340"/>
      <c r="M53" s="340"/>
      <c r="N53" s="340"/>
      <c r="O53" s="340"/>
      <c r="P53" s="340"/>
      <c r="Q53" s="340"/>
      <c r="R53" s="340"/>
      <c r="S53" s="340">
        <v>66</v>
      </c>
      <c r="T53" s="340">
        <v>70</v>
      </c>
      <c r="U53" s="340"/>
      <c r="V53" s="340"/>
      <c r="W53" s="340"/>
      <c r="X53" s="340"/>
      <c r="Y53" s="125"/>
    </row>
    <row r="54" spans="2:25" x14ac:dyDescent="0.2">
      <c r="B54" s="48"/>
      <c r="C54" s="41"/>
      <c r="D54" s="41"/>
      <c r="E54" s="41"/>
      <c r="F54" s="41"/>
      <c r="G54" s="41"/>
      <c r="H54" s="41"/>
      <c r="I54" s="41"/>
      <c r="J54" s="340"/>
      <c r="K54" s="340"/>
      <c r="L54" s="340"/>
      <c r="M54" s="340"/>
      <c r="N54" s="340"/>
      <c r="O54" s="340"/>
      <c r="P54" s="340"/>
      <c r="Q54" s="340"/>
      <c r="R54" s="340"/>
      <c r="S54" s="340">
        <v>67</v>
      </c>
      <c r="T54" s="340">
        <v>70</v>
      </c>
      <c r="U54" s="340"/>
      <c r="V54" s="340"/>
      <c r="W54" s="340"/>
      <c r="X54" s="340"/>
      <c r="Y54" s="125"/>
    </row>
    <row r="55" spans="2:25" x14ac:dyDescent="0.2">
      <c r="B55" s="48"/>
      <c r="C55" s="41"/>
      <c r="D55" s="41"/>
      <c r="E55" s="41"/>
      <c r="F55" s="41"/>
      <c r="G55" s="41"/>
      <c r="H55" s="41"/>
      <c r="I55" s="41"/>
      <c r="J55" s="340"/>
      <c r="K55" s="340"/>
      <c r="L55" s="340"/>
      <c r="M55" s="340"/>
      <c r="N55" s="340"/>
      <c r="O55" s="340"/>
      <c r="P55" s="340"/>
      <c r="Q55" s="340"/>
      <c r="R55" s="340"/>
      <c r="S55" s="340">
        <v>68</v>
      </c>
      <c r="T55" s="340">
        <v>70</v>
      </c>
      <c r="U55" s="340"/>
      <c r="V55" s="340"/>
      <c r="W55" s="340"/>
      <c r="X55" s="340"/>
      <c r="Y55" s="125"/>
    </row>
    <row r="56" spans="2:25" x14ac:dyDescent="0.2">
      <c r="B56" s="48"/>
      <c r="C56" s="41"/>
      <c r="D56" s="41"/>
      <c r="E56" s="41"/>
      <c r="F56" s="41"/>
      <c r="G56" s="41"/>
      <c r="H56" s="41"/>
      <c r="I56" s="41"/>
      <c r="J56" s="340"/>
      <c r="K56" s="340"/>
      <c r="L56" s="340"/>
      <c r="M56" s="340"/>
      <c r="N56" s="340"/>
      <c r="O56" s="340"/>
      <c r="P56" s="340"/>
      <c r="Q56" s="340"/>
      <c r="R56" s="340"/>
      <c r="S56" s="340">
        <v>69</v>
      </c>
      <c r="T56" s="340">
        <v>70</v>
      </c>
      <c r="U56" s="340"/>
      <c r="V56" s="340"/>
      <c r="W56" s="340"/>
      <c r="X56" s="340"/>
      <c r="Y56" s="125"/>
    </row>
    <row r="57" spans="2:25" x14ac:dyDescent="0.2">
      <c r="B57" s="48"/>
      <c r="C57" s="41"/>
      <c r="D57" s="41"/>
      <c r="E57" s="41"/>
      <c r="F57" s="41"/>
      <c r="G57" s="41"/>
      <c r="H57" s="41"/>
      <c r="I57" s="41"/>
      <c r="J57" s="340"/>
      <c r="K57" s="340"/>
      <c r="L57" s="340"/>
      <c r="M57" s="340"/>
      <c r="N57" s="340"/>
      <c r="O57" s="340"/>
      <c r="P57" s="340"/>
      <c r="Q57" s="340"/>
      <c r="R57" s="340"/>
      <c r="S57" s="340">
        <v>70</v>
      </c>
      <c r="T57" s="340">
        <v>70</v>
      </c>
      <c r="U57" s="340">
        <v>70</v>
      </c>
      <c r="V57" s="340"/>
      <c r="W57" s="340"/>
      <c r="X57" s="340"/>
      <c r="Y57" s="125"/>
    </row>
    <row r="58" spans="2:25" x14ac:dyDescent="0.2">
      <c r="B58" s="48"/>
      <c r="C58" s="41"/>
      <c r="D58" s="41"/>
      <c r="E58" s="41"/>
      <c r="F58" s="41"/>
      <c r="G58" s="41"/>
      <c r="H58" s="41"/>
      <c r="I58" s="41"/>
      <c r="J58" s="340"/>
      <c r="K58" s="340"/>
      <c r="L58" s="340"/>
      <c r="M58" s="340"/>
      <c r="N58" s="340"/>
      <c r="O58" s="340"/>
      <c r="P58" s="340"/>
      <c r="Q58" s="340"/>
      <c r="R58" s="340"/>
      <c r="S58" s="340">
        <v>71</v>
      </c>
      <c r="T58" s="340">
        <v>100</v>
      </c>
      <c r="U58" s="340"/>
      <c r="V58" s="340"/>
      <c r="W58" s="340"/>
      <c r="X58" s="340"/>
      <c r="Y58" s="125"/>
    </row>
    <row r="59" spans="2:25" x14ac:dyDescent="0.2">
      <c r="B59" s="48"/>
      <c r="C59" s="41"/>
      <c r="D59" s="41"/>
      <c r="E59" s="41"/>
      <c r="F59" s="41"/>
      <c r="G59" s="41"/>
      <c r="H59" s="41"/>
      <c r="I59" s="41"/>
      <c r="J59" s="340"/>
      <c r="K59" s="340"/>
      <c r="L59" s="340"/>
      <c r="M59" s="340"/>
      <c r="N59" s="340"/>
      <c r="O59" s="340"/>
      <c r="P59" s="340"/>
      <c r="Q59" s="340"/>
      <c r="R59" s="340"/>
      <c r="S59" s="340">
        <v>72</v>
      </c>
      <c r="T59" s="340">
        <v>100</v>
      </c>
      <c r="U59" s="340"/>
      <c r="V59" s="340"/>
      <c r="W59" s="340"/>
      <c r="X59" s="340"/>
      <c r="Y59" s="125"/>
    </row>
    <row r="60" spans="2:25" x14ac:dyDescent="0.2">
      <c r="B60" s="48"/>
      <c r="C60" s="41"/>
      <c r="D60" s="41"/>
      <c r="E60" s="41"/>
      <c r="F60" s="41"/>
      <c r="G60" s="41"/>
      <c r="H60" s="41"/>
      <c r="I60" s="41"/>
      <c r="J60" s="340"/>
      <c r="K60" s="340"/>
      <c r="L60" s="340"/>
      <c r="M60" s="340"/>
      <c r="N60" s="340"/>
      <c r="O60" s="340"/>
      <c r="P60" s="340"/>
      <c r="Q60" s="340"/>
      <c r="R60" s="340"/>
      <c r="S60" s="340">
        <v>73</v>
      </c>
      <c r="T60" s="340">
        <v>100</v>
      </c>
      <c r="U60" s="340"/>
      <c r="V60" s="340"/>
      <c r="W60" s="340"/>
      <c r="X60" s="340"/>
      <c r="Y60" s="125"/>
    </row>
    <row r="61" spans="2:25" x14ac:dyDescent="0.2">
      <c r="B61" s="48"/>
      <c r="C61" s="41"/>
      <c r="D61" s="41"/>
      <c r="E61" s="41"/>
      <c r="F61" s="41"/>
      <c r="G61" s="41"/>
      <c r="H61" s="41"/>
      <c r="I61" s="41"/>
      <c r="J61" s="340"/>
      <c r="K61" s="340"/>
      <c r="L61" s="340"/>
      <c r="M61" s="340"/>
      <c r="N61" s="340"/>
      <c r="O61" s="340"/>
      <c r="P61" s="340"/>
      <c r="Q61" s="340"/>
      <c r="R61" s="340"/>
      <c r="S61" s="340">
        <v>74</v>
      </c>
      <c r="T61" s="340">
        <v>100</v>
      </c>
      <c r="U61" s="340"/>
      <c r="V61" s="340"/>
      <c r="W61" s="340"/>
      <c r="X61" s="340"/>
      <c r="Y61" s="125"/>
    </row>
    <row r="62" spans="2:25" x14ac:dyDescent="0.2">
      <c r="B62" s="48"/>
      <c r="C62" s="41"/>
      <c r="D62" s="41"/>
      <c r="E62" s="41"/>
      <c r="F62" s="41"/>
      <c r="G62" s="41"/>
      <c r="H62" s="41"/>
      <c r="I62" s="41"/>
      <c r="J62" s="340"/>
      <c r="K62" s="340"/>
      <c r="L62" s="340"/>
      <c r="M62" s="340"/>
      <c r="N62" s="340"/>
      <c r="O62" s="340"/>
      <c r="P62" s="340"/>
      <c r="Q62" s="340"/>
      <c r="R62" s="340"/>
      <c r="S62" s="340">
        <v>75</v>
      </c>
      <c r="T62" s="340">
        <v>100</v>
      </c>
      <c r="U62" s="340"/>
      <c r="V62" s="340"/>
      <c r="W62" s="340"/>
      <c r="X62" s="340"/>
      <c r="Y62" s="125"/>
    </row>
    <row r="63" spans="2:25" x14ac:dyDescent="0.2">
      <c r="B63" s="48"/>
      <c r="C63" s="41"/>
      <c r="D63" s="41"/>
      <c r="E63" s="41"/>
      <c r="F63" s="41"/>
      <c r="G63" s="41"/>
      <c r="H63" s="41"/>
      <c r="I63" s="41"/>
      <c r="J63" s="340"/>
      <c r="K63" s="340"/>
      <c r="L63" s="340"/>
      <c r="M63" s="340"/>
      <c r="N63" s="340"/>
      <c r="O63" s="340"/>
      <c r="P63" s="340"/>
      <c r="Q63" s="340"/>
      <c r="R63" s="340"/>
      <c r="S63" s="340">
        <v>76</v>
      </c>
      <c r="T63" s="340">
        <v>100</v>
      </c>
      <c r="U63" s="340"/>
      <c r="V63" s="340"/>
      <c r="W63" s="340"/>
      <c r="X63" s="340"/>
      <c r="Y63" s="125"/>
    </row>
    <row r="64" spans="2:25" x14ac:dyDescent="0.2">
      <c r="H64" s="41"/>
      <c r="I64" s="41"/>
      <c r="J64" s="340"/>
      <c r="K64" s="340"/>
      <c r="L64" s="340"/>
      <c r="M64" s="340"/>
      <c r="N64" s="340"/>
      <c r="O64" s="340"/>
      <c r="P64" s="340"/>
      <c r="Q64" s="340"/>
      <c r="R64" s="340"/>
      <c r="S64" s="340">
        <v>77</v>
      </c>
      <c r="T64" s="340">
        <v>100</v>
      </c>
      <c r="U64" s="340"/>
      <c r="V64" s="340"/>
      <c r="W64" s="340"/>
      <c r="X64" s="340"/>
      <c r="Y64" s="125"/>
    </row>
    <row r="65" spans="10:25" x14ac:dyDescent="0.2">
      <c r="J65" s="340"/>
      <c r="K65" s="340"/>
      <c r="L65" s="340"/>
      <c r="M65" s="340"/>
      <c r="N65" s="340"/>
      <c r="O65" s="340"/>
      <c r="P65" s="340"/>
      <c r="Q65" s="340"/>
      <c r="R65" s="340"/>
      <c r="S65" s="340">
        <v>78</v>
      </c>
      <c r="T65" s="340">
        <v>100</v>
      </c>
      <c r="U65" s="340"/>
      <c r="V65" s="340"/>
      <c r="W65" s="340"/>
      <c r="X65" s="340"/>
      <c r="Y65" s="125"/>
    </row>
    <row r="66" spans="10:25" x14ac:dyDescent="0.2">
      <c r="J66" s="340"/>
      <c r="K66" s="340"/>
      <c r="L66" s="340"/>
      <c r="M66" s="340"/>
      <c r="N66" s="340"/>
      <c r="O66" s="340"/>
      <c r="P66" s="340"/>
      <c r="Q66" s="340"/>
      <c r="R66" s="340"/>
      <c r="S66" s="340">
        <v>79</v>
      </c>
      <c r="T66" s="340">
        <v>100</v>
      </c>
      <c r="U66" s="340"/>
      <c r="V66" s="340"/>
      <c r="W66" s="340"/>
      <c r="X66" s="340"/>
      <c r="Y66" s="125"/>
    </row>
    <row r="67" spans="10:25" x14ac:dyDescent="0.2">
      <c r="J67" s="340"/>
      <c r="K67" s="340"/>
      <c r="L67" s="340"/>
      <c r="M67" s="340"/>
      <c r="N67" s="340"/>
      <c r="O67" s="340"/>
      <c r="P67" s="340"/>
      <c r="Q67" s="340"/>
      <c r="R67" s="340"/>
      <c r="S67" s="340">
        <v>80</v>
      </c>
      <c r="T67" s="340">
        <v>100</v>
      </c>
      <c r="U67" s="340"/>
      <c r="V67" s="340"/>
      <c r="W67" s="340"/>
      <c r="X67" s="340"/>
      <c r="Y67" s="125"/>
    </row>
    <row r="68" spans="10:25" x14ac:dyDescent="0.2">
      <c r="J68" s="340"/>
      <c r="K68" s="340"/>
      <c r="L68" s="340"/>
      <c r="M68" s="340"/>
      <c r="N68" s="340"/>
      <c r="O68" s="340"/>
      <c r="P68" s="340"/>
      <c r="Q68" s="340"/>
      <c r="R68" s="340"/>
      <c r="S68" s="340">
        <v>81</v>
      </c>
      <c r="T68" s="340">
        <v>100</v>
      </c>
      <c r="U68" s="340"/>
      <c r="V68" s="340"/>
      <c r="W68" s="340"/>
      <c r="X68" s="340"/>
      <c r="Y68" s="125"/>
    </row>
    <row r="69" spans="10:25" x14ac:dyDescent="0.2">
      <c r="J69" s="340"/>
      <c r="K69" s="340"/>
      <c r="L69" s="340"/>
      <c r="M69" s="340"/>
      <c r="N69" s="340"/>
      <c r="O69" s="340"/>
      <c r="P69" s="340"/>
      <c r="Q69" s="340"/>
      <c r="R69" s="340"/>
      <c r="S69" s="340">
        <v>82</v>
      </c>
      <c r="T69" s="340">
        <v>100</v>
      </c>
      <c r="U69" s="340"/>
      <c r="V69" s="340"/>
      <c r="W69" s="340"/>
      <c r="X69" s="340"/>
      <c r="Y69" s="125"/>
    </row>
    <row r="70" spans="10:25" x14ac:dyDescent="0.2">
      <c r="J70" s="340"/>
      <c r="K70" s="340"/>
      <c r="L70" s="340"/>
      <c r="M70" s="340"/>
      <c r="N70" s="340"/>
      <c r="O70" s="340"/>
      <c r="P70" s="340"/>
      <c r="Q70" s="340"/>
      <c r="R70" s="340"/>
      <c r="S70" s="340">
        <v>83</v>
      </c>
      <c r="T70" s="340">
        <v>100</v>
      </c>
      <c r="U70" s="340"/>
      <c r="V70" s="340"/>
      <c r="W70" s="340"/>
      <c r="X70" s="340"/>
      <c r="Y70" s="125"/>
    </row>
    <row r="71" spans="10:25" x14ac:dyDescent="0.2">
      <c r="J71" s="340"/>
      <c r="K71" s="340"/>
      <c r="L71" s="340"/>
      <c r="M71" s="340"/>
      <c r="N71" s="340"/>
      <c r="O71" s="340"/>
      <c r="P71" s="340"/>
      <c r="Q71" s="340"/>
      <c r="R71" s="340"/>
      <c r="S71" s="340">
        <v>84</v>
      </c>
      <c r="T71" s="340">
        <v>100</v>
      </c>
      <c r="U71" s="340"/>
      <c r="V71" s="340"/>
      <c r="W71" s="340"/>
      <c r="X71" s="340"/>
      <c r="Y71" s="125"/>
    </row>
    <row r="72" spans="10:25" x14ac:dyDescent="0.2">
      <c r="J72" s="340"/>
      <c r="K72" s="340"/>
      <c r="L72" s="340"/>
      <c r="M72" s="340"/>
      <c r="N72" s="340"/>
      <c r="O72" s="340"/>
      <c r="P72" s="340"/>
      <c r="Q72" s="340"/>
      <c r="R72" s="340"/>
      <c r="S72" s="340">
        <v>85</v>
      </c>
      <c r="T72" s="340">
        <v>100</v>
      </c>
      <c r="U72" s="340"/>
      <c r="V72" s="340"/>
      <c r="W72" s="340"/>
      <c r="X72" s="340"/>
      <c r="Y72" s="125"/>
    </row>
    <row r="73" spans="10:25" x14ac:dyDescent="0.2">
      <c r="J73" s="340"/>
      <c r="K73" s="340"/>
      <c r="L73" s="340"/>
      <c r="M73" s="340"/>
      <c r="N73" s="340"/>
      <c r="O73" s="340"/>
      <c r="P73" s="340"/>
      <c r="Q73" s="340"/>
      <c r="R73" s="340"/>
      <c r="S73" s="340">
        <v>86</v>
      </c>
      <c r="T73" s="340">
        <v>100</v>
      </c>
      <c r="U73" s="340"/>
      <c r="V73" s="340"/>
      <c r="W73" s="340"/>
      <c r="X73" s="340"/>
      <c r="Y73" s="125"/>
    </row>
    <row r="74" spans="10:25" x14ac:dyDescent="0.2">
      <c r="J74" s="340"/>
      <c r="K74" s="340"/>
      <c r="L74" s="340"/>
      <c r="M74" s="340"/>
      <c r="N74" s="340"/>
      <c r="O74" s="340"/>
      <c r="P74" s="340"/>
      <c r="Q74" s="340"/>
      <c r="R74" s="340"/>
      <c r="S74" s="340">
        <v>87</v>
      </c>
      <c r="T74" s="340">
        <v>100</v>
      </c>
      <c r="U74" s="340"/>
      <c r="V74" s="340"/>
      <c r="W74" s="340"/>
      <c r="X74" s="340"/>
      <c r="Y74" s="125"/>
    </row>
    <row r="75" spans="10:25" x14ac:dyDescent="0.2">
      <c r="J75" s="340"/>
      <c r="K75" s="340"/>
      <c r="L75" s="340"/>
      <c r="M75" s="340"/>
      <c r="N75" s="340"/>
      <c r="O75" s="340"/>
      <c r="P75" s="340"/>
      <c r="Q75" s="340"/>
      <c r="R75" s="340"/>
      <c r="S75" s="340">
        <v>88</v>
      </c>
      <c r="T75" s="340">
        <v>100</v>
      </c>
      <c r="U75" s="340"/>
      <c r="V75" s="340"/>
      <c r="W75" s="340"/>
      <c r="X75" s="340"/>
      <c r="Y75" s="125"/>
    </row>
    <row r="76" spans="10:25" x14ac:dyDescent="0.2">
      <c r="J76" s="340"/>
      <c r="K76" s="340"/>
      <c r="L76" s="340"/>
      <c r="M76" s="340"/>
      <c r="N76" s="340"/>
      <c r="O76" s="340"/>
      <c r="P76" s="340"/>
      <c r="Q76" s="340"/>
      <c r="R76" s="340"/>
      <c r="S76" s="340">
        <v>89</v>
      </c>
      <c r="T76" s="340">
        <v>100</v>
      </c>
      <c r="U76" s="340"/>
      <c r="V76" s="340"/>
      <c r="W76" s="340"/>
      <c r="X76" s="340"/>
      <c r="Y76" s="125"/>
    </row>
    <row r="77" spans="10:25" x14ac:dyDescent="0.2">
      <c r="J77" s="340"/>
      <c r="K77" s="340"/>
      <c r="L77" s="340"/>
      <c r="M77" s="340"/>
      <c r="N77" s="340"/>
      <c r="O77" s="340"/>
      <c r="P77" s="340"/>
      <c r="Q77" s="340"/>
      <c r="R77" s="340"/>
      <c r="S77" s="340">
        <v>90</v>
      </c>
      <c r="T77" s="340">
        <v>100</v>
      </c>
      <c r="U77" s="340"/>
      <c r="V77" s="340"/>
      <c r="W77" s="340"/>
      <c r="X77" s="340"/>
      <c r="Y77" s="125"/>
    </row>
    <row r="78" spans="10:25" x14ac:dyDescent="0.2">
      <c r="J78" s="340"/>
      <c r="K78" s="340"/>
      <c r="L78" s="340"/>
      <c r="M78" s="340"/>
      <c r="N78" s="340"/>
      <c r="O78" s="340"/>
      <c r="P78" s="340"/>
      <c r="Q78" s="340"/>
      <c r="R78" s="340"/>
      <c r="S78" s="340">
        <v>91</v>
      </c>
      <c r="T78" s="340">
        <v>100</v>
      </c>
      <c r="U78" s="340"/>
      <c r="V78" s="340"/>
      <c r="W78" s="340"/>
      <c r="X78" s="340"/>
      <c r="Y78" s="125"/>
    </row>
    <row r="79" spans="10:25" x14ac:dyDescent="0.2">
      <c r="J79" s="340"/>
      <c r="K79" s="340"/>
      <c r="L79" s="340"/>
      <c r="M79" s="340"/>
      <c r="N79" s="340"/>
      <c r="O79" s="340"/>
      <c r="P79" s="340"/>
      <c r="Q79" s="340"/>
      <c r="R79" s="340"/>
      <c r="S79" s="340">
        <v>92</v>
      </c>
      <c r="T79" s="340">
        <v>100</v>
      </c>
      <c r="U79" s="340"/>
      <c r="V79" s="340"/>
      <c r="W79" s="340"/>
      <c r="X79" s="340"/>
      <c r="Y79" s="125"/>
    </row>
    <row r="80" spans="10:25" x14ac:dyDescent="0.2">
      <c r="J80" s="340"/>
      <c r="K80" s="340"/>
      <c r="L80" s="340"/>
      <c r="M80" s="340"/>
      <c r="N80" s="340"/>
      <c r="O80" s="340"/>
      <c r="P80" s="340"/>
      <c r="Q80" s="340"/>
      <c r="R80" s="340"/>
      <c r="S80" s="340">
        <v>93</v>
      </c>
      <c r="T80" s="340">
        <v>100</v>
      </c>
      <c r="U80" s="340"/>
      <c r="V80" s="340"/>
      <c r="W80" s="340"/>
      <c r="X80" s="340"/>
      <c r="Y80" s="125"/>
    </row>
    <row r="81" spans="10:25" x14ac:dyDescent="0.2">
      <c r="J81" s="340"/>
      <c r="K81" s="340"/>
      <c r="L81" s="340"/>
      <c r="M81" s="340"/>
      <c r="N81" s="340"/>
      <c r="O81" s="340"/>
      <c r="P81" s="340"/>
      <c r="Q81" s="340"/>
      <c r="R81" s="340"/>
      <c r="S81" s="340">
        <v>94</v>
      </c>
      <c r="T81" s="340">
        <v>100</v>
      </c>
      <c r="U81" s="340"/>
      <c r="V81" s="340"/>
      <c r="W81" s="340"/>
      <c r="X81" s="340"/>
      <c r="Y81" s="125"/>
    </row>
    <row r="82" spans="10:25" x14ac:dyDescent="0.2">
      <c r="J82" s="340"/>
      <c r="K82" s="340"/>
      <c r="L82" s="340"/>
      <c r="M82" s="340"/>
      <c r="N82" s="340"/>
      <c r="O82" s="340"/>
      <c r="P82" s="340"/>
      <c r="Q82" s="340"/>
      <c r="R82" s="340"/>
      <c r="S82" s="340">
        <v>95</v>
      </c>
      <c r="T82" s="340">
        <v>100</v>
      </c>
      <c r="U82" s="340"/>
      <c r="V82" s="340"/>
      <c r="W82" s="340"/>
      <c r="X82" s="340"/>
      <c r="Y82" s="125"/>
    </row>
    <row r="83" spans="10:25" x14ac:dyDescent="0.2">
      <c r="J83" s="340"/>
      <c r="K83" s="340"/>
      <c r="L83" s="340"/>
      <c r="M83" s="340"/>
      <c r="N83" s="340"/>
      <c r="O83" s="340"/>
      <c r="P83" s="340"/>
      <c r="Q83" s="340"/>
      <c r="R83" s="340"/>
      <c r="S83" s="340">
        <v>96</v>
      </c>
      <c r="T83" s="340">
        <v>100</v>
      </c>
      <c r="U83" s="340"/>
      <c r="V83" s="340"/>
      <c r="W83" s="340"/>
      <c r="X83" s="340"/>
      <c r="Y83" s="125"/>
    </row>
    <row r="84" spans="10:25" x14ac:dyDescent="0.2">
      <c r="J84" s="340"/>
      <c r="K84" s="340"/>
      <c r="L84" s="340"/>
      <c r="M84" s="340"/>
      <c r="N84" s="340"/>
      <c r="O84" s="340"/>
      <c r="P84" s="340"/>
      <c r="Q84" s="340"/>
      <c r="R84" s="340"/>
      <c r="S84" s="340">
        <v>97</v>
      </c>
      <c r="T84" s="340">
        <v>100</v>
      </c>
      <c r="U84" s="340"/>
      <c r="V84" s="340"/>
      <c r="W84" s="340"/>
      <c r="X84" s="340"/>
      <c r="Y84" s="125"/>
    </row>
    <row r="85" spans="10:25" x14ac:dyDescent="0.2">
      <c r="J85" s="340"/>
      <c r="K85" s="340"/>
      <c r="L85" s="340"/>
      <c r="M85" s="340"/>
      <c r="N85" s="340"/>
      <c r="O85" s="340"/>
      <c r="P85" s="340"/>
      <c r="Q85" s="340"/>
      <c r="R85" s="340"/>
      <c r="S85" s="340">
        <v>98</v>
      </c>
      <c r="T85" s="340">
        <v>100</v>
      </c>
      <c r="U85" s="340"/>
      <c r="V85" s="340"/>
      <c r="W85" s="340"/>
      <c r="X85" s="340"/>
      <c r="Y85" s="125"/>
    </row>
    <row r="86" spans="10:25" x14ac:dyDescent="0.2">
      <c r="J86" s="340"/>
      <c r="K86" s="340"/>
      <c r="L86" s="340"/>
      <c r="M86" s="340"/>
      <c r="N86" s="340"/>
      <c r="O86" s="340"/>
      <c r="P86" s="340"/>
      <c r="Q86" s="340"/>
      <c r="R86" s="340"/>
      <c r="S86" s="340">
        <v>99</v>
      </c>
      <c r="T86" s="340">
        <v>100</v>
      </c>
      <c r="U86" s="340"/>
      <c r="V86" s="340"/>
      <c r="W86" s="340"/>
      <c r="X86" s="340"/>
      <c r="Y86" s="125"/>
    </row>
    <row r="87" spans="10:25" x14ac:dyDescent="0.2">
      <c r="J87" s="340"/>
      <c r="K87" s="340"/>
      <c r="L87" s="340"/>
      <c r="M87" s="340"/>
      <c r="N87" s="340"/>
      <c r="O87" s="340"/>
      <c r="P87" s="340"/>
      <c r="Q87" s="340"/>
      <c r="R87" s="340"/>
      <c r="S87" s="340">
        <v>100</v>
      </c>
      <c r="T87" s="340">
        <v>100</v>
      </c>
      <c r="U87" s="340">
        <v>100</v>
      </c>
      <c r="V87" s="340"/>
      <c r="W87" s="340"/>
      <c r="X87" s="340"/>
      <c r="Y87" s="125"/>
    </row>
    <row r="88" spans="10:25" x14ac:dyDescent="0.2">
      <c r="J88" s="340"/>
      <c r="K88" s="340"/>
      <c r="L88" s="340"/>
      <c r="M88" s="340"/>
      <c r="N88" s="340"/>
      <c r="O88" s="340"/>
      <c r="P88" s="340"/>
      <c r="Q88" s="340"/>
      <c r="R88" s="340"/>
      <c r="S88" s="340">
        <v>101</v>
      </c>
      <c r="T88" s="340">
        <v>150</v>
      </c>
      <c r="U88" s="340"/>
      <c r="V88" s="340"/>
      <c r="W88" s="340"/>
      <c r="X88" s="340"/>
      <c r="Y88" s="125"/>
    </row>
    <row r="89" spans="10:25" x14ac:dyDescent="0.2">
      <c r="J89" s="340"/>
      <c r="K89" s="340"/>
      <c r="L89" s="340"/>
      <c r="M89" s="340"/>
      <c r="N89" s="340"/>
      <c r="O89" s="340"/>
      <c r="P89" s="340"/>
      <c r="Q89" s="340"/>
      <c r="R89" s="340"/>
      <c r="S89" s="340">
        <v>102</v>
      </c>
      <c r="T89" s="340">
        <v>150</v>
      </c>
      <c r="U89" s="340"/>
      <c r="V89" s="340"/>
      <c r="W89" s="340"/>
      <c r="X89" s="340"/>
      <c r="Y89" s="125"/>
    </row>
    <row r="90" spans="10:25" x14ac:dyDescent="0.2">
      <c r="J90" s="340"/>
      <c r="K90" s="340"/>
      <c r="L90" s="340"/>
      <c r="M90" s="340"/>
      <c r="N90" s="340"/>
      <c r="O90" s="340"/>
      <c r="P90" s="340"/>
      <c r="Q90" s="340"/>
      <c r="R90" s="340"/>
      <c r="S90" s="340">
        <v>103</v>
      </c>
      <c r="T90" s="340">
        <v>150</v>
      </c>
      <c r="U90" s="340"/>
      <c r="V90" s="340"/>
      <c r="W90" s="340"/>
      <c r="X90" s="340"/>
      <c r="Y90" s="125"/>
    </row>
    <row r="91" spans="10:25" x14ac:dyDescent="0.2">
      <c r="J91" s="340"/>
      <c r="K91" s="340"/>
      <c r="L91" s="340"/>
      <c r="M91" s="340"/>
      <c r="N91" s="340"/>
      <c r="O91" s="340"/>
      <c r="P91" s="340"/>
      <c r="Q91" s="340"/>
      <c r="R91" s="340"/>
      <c r="S91" s="340">
        <v>104</v>
      </c>
      <c r="T91" s="340">
        <v>150</v>
      </c>
      <c r="U91" s="340"/>
      <c r="V91" s="340"/>
      <c r="W91" s="340"/>
      <c r="X91" s="340"/>
      <c r="Y91" s="125"/>
    </row>
    <row r="92" spans="10:25" x14ac:dyDescent="0.2">
      <c r="J92" s="340"/>
      <c r="K92" s="340"/>
      <c r="L92" s="340"/>
      <c r="M92" s="340"/>
      <c r="N92" s="340"/>
      <c r="O92" s="340"/>
      <c r="P92" s="340"/>
      <c r="Q92" s="340"/>
      <c r="R92" s="340"/>
      <c r="S92" s="340">
        <v>105</v>
      </c>
      <c r="T92" s="340">
        <v>150</v>
      </c>
      <c r="U92" s="340"/>
      <c r="V92" s="340"/>
      <c r="W92" s="340"/>
      <c r="X92" s="340"/>
      <c r="Y92" s="125"/>
    </row>
    <row r="93" spans="10:25" x14ac:dyDescent="0.2">
      <c r="J93" s="340"/>
      <c r="K93" s="340"/>
      <c r="L93" s="340"/>
      <c r="M93" s="340"/>
      <c r="N93" s="340"/>
      <c r="O93" s="340"/>
      <c r="P93" s="340"/>
      <c r="Q93" s="340"/>
      <c r="R93" s="340"/>
      <c r="S93" s="340">
        <v>106</v>
      </c>
      <c r="T93" s="340">
        <v>150</v>
      </c>
      <c r="U93" s="340"/>
      <c r="V93" s="340"/>
      <c r="W93" s="340"/>
      <c r="X93" s="340"/>
      <c r="Y93" s="125"/>
    </row>
    <row r="94" spans="10:25" x14ac:dyDescent="0.2">
      <c r="J94" s="340"/>
      <c r="K94" s="340"/>
      <c r="L94" s="340"/>
      <c r="M94" s="340"/>
      <c r="N94" s="340"/>
      <c r="O94" s="340"/>
      <c r="P94" s="340"/>
      <c r="Q94" s="340"/>
      <c r="R94" s="340"/>
      <c r="S94" s="340">
        <v>107</v>
      </c>
      <c r="T94" s="340">
        <v>150</v>
      </c>
      <c r="U94" s="340"/>
      <c r="V94" s="340"/>
      <c r="W94" s="340"/>
      <c r="X94" s="340"/>
      <c r="Y94" s="125"/>
    </row>
    <row r="95" spans="10:25" x14ac:dyDescent="0.2">
      <c r="J95" s="340"/>
      <c r="K95" s="340"/>
      <c r="L95" s="340"/>
      <c r="M95" s="340"/>
      <c r="N95" s="340"/>
      <c r="O95" s="340"/>
      <c r="P95" s="340"/>
      <c r="Q95" s="340"/>
      <c r="R95" s="340"/>
      <c r="S95" s="340">
        <v>108</v>
      </c>
      <c r="T95" s="340">
        <v>150</v>
      </c>
      <c r="U95" s="340"/>
      <c r="V95" s="340"/>
      <c r="W95" s="340"/>
      <c r="X95" s="340"/>
      <c r="Y95" s="125"/>
    </row>
    <row r="96" spans="10:25" x14ac:dyDescent="0.2">
      <c r="J96" s="340"/>
      <c r="K96" s="340"/>
      <c r="L96" s="340"/>
      <c r="M96" s="340"/>
      <c r="N96" s="340"/>
      <c r="O96" s="340"/>
      <c r="P96" s="340"/>
      <c r="Q96" s="340"/>
      <c r="R96" s="340"/>
      <c r="S96" s="340">
        <v>109</v>
      </c>
      <c r="T96" s="340">
        <v>150</v>
      </c>
      <c r="U96" s="340"/>
      <c r="V96" s="340"/>
      <c r="W96" s="340"/>
      <c r="X96" s="340"/>
      <c r="Y96" s="125"/>
    </row>
    <row r="97" spans="10:25" x14ac:dyDescent="0.2">
      <c r="J97" s="340"/>
      <c r="K97" s="340"/>
      <c r="L97" s="340"/>
      <c r="M97" s="340"/>
      <c r="N97" s="340"/>
      <c r="O97" s="340"/>
      <c r="P97" s="340"/>
      <c r="Q97" s="340"/>
      <c r="R97" s="340"/>
      <c r="S97" s="340">
        <v>110</v>
      </c>
      <c r="T97" s="340">
        <v>150</v>
      </c>
      <c r="U97" s="340"/>
      <c r="V97" s="340"/>
      <c r="W97" s="340"/>
      <c r="X97" s="340"/>
      <c r="Y97" s="125"/>
    </row>
    <row r="98" spans="10:25" x14ac:dyDescent="0.2">
      <c r="J98" s="340"/>
      <c r="K98" s="340"/>
      <c r="L98" s="340"/>
      <c r="M98" s="340"/>
      <c r="N98" s="340"/>
      <c r="O98" s="340"/>
      <c r="P98" s="340"/>
      <c r="Q98" s="340"/>
      <c r="R98" s="340"/>
      <c r="S98" s="340">
        <v>111</v>
      </c>
      <c r="T98" s="340">
        <v>150</v>
      </c>
      <c r="U98" s="340"/>
      <c r="V98" s="340"/>
      <c r="W98" s="340"/>
      <c r="X98" s="340"/>
      <c r="Y98" s="125"/>
    </row>
    <row r="99" spans="10:25" x14ac:dyDescent="0.2">
      <c r="J99" s="340"/>
      <c r="K99" s="340"/>
      <c r="L99" s="340"/>
      <c r="M99" s="340"/>
      <c r="N99" s="340"/>
      <c r="O99" s="340"/>
      <c r="P99" s="340"/>
      <c r="Q99" s="340"/>
      <c r="R99" s="340"/>
      <c r="S99" s="340">
        <v>112</v>
      </c>
      <c r="T99" s="340">
        <v>150</v>
      </c>
      <c r="U99" s="340"/>
      <c r="V99" s="340"/>
      <c r="W99" s="340"/>
      <c r="X99" s="340"/>
      <c r="Y99" s="125"/>
    </row>
    <row r="100" spans="10:25" x14ac:dyDescent="0.2">
      <c r="J100" s="340"/>
      <c r="K100" s="340"/>
      <c r="L100" s="340"/>
      <c r="M100" s="340"/>
      <c r="N100" s="340"/>
      <c r="O100" s="340"/>
      <c r="P100" s="340"/>
      <c r="Q100" s="340"/>
      <c r="R100" s="340"/>
      <c r="S100" s="340">
        <v>113</v>
      </c>
      <c r="T100" s="340">
        <v>150</v>
      </c>
      <c r="U100" s="340"/>
      <c r="V100" s="340"/>
      <c r="W100" s="340"/>
      <c r="X100" s="340"/>
      <c r="Y100" s="125"/>
    </row>
    <row r="101" spans="10:25" x14ac:dyDescent="0.2">
      <c r="J101" s="340"/>
      <c r="K101" s="340"/>
      <c r="L101" s="340"/>
      <c r="M101" s="340"/>
      <c r="N101" s="340"/>
      <c r="O101" s="340"/>
      <c r="P101" s="340"/>
      <c r="Q101" s="340"/>
      <c r="R101" s="340"/>
      <c r="S101" s="340">
        <v>114</v>
      </c>
      <c r="T101" s="340">
        <v>150</v>
      </c>
      <c r="U101" s="340"/>
      <c r="V101" s="340"/>
      <c r="W101" s="340"/>
      <c r="X101" s="340"/>
      <c r="Y101" s="125"/>
    </row>
    <row r="102" spans="10:25" x14ac:dyDescent="0.2">
      <c r="J102" s="340"/>
      <c r="K102" s="340"/>
      <c r="L102" s="340"/>
      <c r="M102" s="340"/>
      <c r="N102" s="340"/>
      <c r="O102" s="340"/>
      <c r="P102" s="340"/>
      <c r="Q102" s="340"/>
      <c r="R102" s="340"/>
      <c r="S102" s="340">
        <v>115</v>
      </c>
      <c r="T102" s="340">
        <v>150</v>
      </c>
      <c r="U102" s="340"/>
      <c r="V102" s="340"/>
      <c r="W102" s="340"/>
      <c r="X102" s="340"/>
      <c r="Y102" s="125"/>
    </row>
    <row r="103" spans="10:25" x14ac:dyDescent="0.2">
      <c r="J103" s="340"/>
      <c r="K103" s="340"/>
      <c r="L103" s="340"/>
      <c r="M103" s="340"/>
      <c r="N103" s="340"/>
      <c r="O103" s="340"/>
      <c r="P103" s="340"/>
      <c r="Q103" s="340"/>
      <c r="R103" s="340"/>
      <c r="S103" s="340">
        <v>116</v>
      </c>
      <c r="T103" s="340">
        <v>150</v>
      </c>
      <c r="U103" s="340"/>
      <c r="V103" s="340"/>
      <c r="W103" s="340"/>
      <c r="X103" s="340"/>
      <c r="Y103" s="125"/>
    </row>
    <row r="104" spans="10:25" x14ac:dyDescent="0.2">
      <c r="J104" s="340"/>
      <c r="K104" s="340"/>
      <c r="L104" s="340"/>
      <c r="M104" s="340"/>
      <c r="N104" s="340"/>
      <c r="O104" s="340"/>
      <c r="P104" s="340"/>
      <c r="Q104" s="340"/>
      <c r="R104" s="340"/>
      <c r="S104" s="340">
        <v>117</v>
      </c>
      <c r="T104" s="340">
        <v>150</v>
      </c>
      <c r="U104" s="340"/>
      <c r="V104" s="340"/>
      <c r="W104" s="340"/>
      <c r="X104" s="340"/>
      <c r="Y104" s="125"/>
    </row>
    <row r="105" spans="10:25" x14ac:dyDescent="0.2">
      <c r="J105" s="340"/>
      <c r="K105" s="340"/>
      <c r="L105" s="340"/>
      <c r="M105" s="340"/>
      <c r="N105" s="340"/>
      <c r="O105" s="340"/>
      <c r="P105" s="340"/>
      <c r="Q105" s="340"/>
      <c r="R105" s="340"/>
      <c r="S105" s="340">
        <v>118</v>
      </c>
      <c r="T105" s="340">
        <v>150</v>
      </c>
      <c r="U105" s="340"/>
      <c r="V105" s="340"/>
      <c r="W105" s="340"/>
      <c r="X105" s="340"/>
      <c r="Y105" s="125"/>
    </row>
    <row r="106" spans="10:25" x14ac:dyDescent="0.2">
      <c r="J106" s="340"/>
      <c r="K106" s="340"/>
      <c r="L106" s="340"/>
      <c r="M106" s="340"/>
      <c r="N106" s="340"/>
      <c r="O106" s="340"/>
      <c r="P106" s="340"/>
      <c r="Q106" s="340"/>
      <c r="R106" s="340"/>
      <c r="S106" s="340">
        <v>119</v>
      </c>
      <c r="T106" s="340">
        <v>150</v>
      </c>
      <c r="U106" s="340"/>
      <c r="V106" s="340"/>
      <c r="W106" s="340"/>
      <c r="X106" s="340"/>
      <c r="Y106" s="125"/>
    </row>
    <row r="107" spans="10:25" x14ac:dyDescent="0.2">
      <c r="J107" s="340"/>
      <c r="K107" s="340"/>
      <c r="L107" s="340"/>
      <c r="M107" s="340"/>
      <c r="N107" s="340"/>
      <c r="O107" s="340"/>
      <c r="P107" s="340"/>
      <c r="Q107" s="340"/>
      <c r="R107" s="340"/>
      <c r="S107" s="340">
        <v>120</v>
      </c>
      <c r="T107" s="340">
        <v>150</v>
      </c>
      <c r="U107" s="340"/>
      <c r="V107" s="340"/>
      <c r="W107" s="340"/>
      <c r="X107" s="340"/>
      <c r="Y107" s="125"/>
    </row>
    <row r="108" spans="10:25" x14ac:dyDescent="0.2">
      <c r="J108" s="340"/>
      <c r="K108" s="340"/>
      <c r="L108" s="340"/>
      <c r="M108" s="340"/>
      <c r="N108" s="340"/>
      <c r="O108" s="340"/>
      <c r="P108" s="340"/>
      <c r="Q108" s="340"/>
      <c r="R108" s="340"/>
      <c r="S108" s="340">
        <v>121</v>
      </c>
      <c r="T108" s="340">
        <v>150</v>
      </c>
      <c r="U108" s="340"/>
      <c r="V108" s="340"/>
      <c r="W108" s="340"/>
      <c r="X108" s="340"/>
      <c r="Y108" s="125"/>
    </row>
    <row r="109" spans="10:25" x14ac:dyDescent="0.2">
      <c r="J109" s="340"/>
      <c r="K109" s="340"/>
      <c r="L109" s="340"/>
      <c r="M109" s="340"/>
      <c r="N109" s="340"/>
      <c r="O109" s="340"/>
      <c r="P109" s="340"/>
      <c r="Q109" s="340"/>
      <c r="R109" s="340"/>
      <c r="S109" s="340">
        <v>122</v>
      </c>
      <c r="T109" s="340">
        <v>150</v>
      </c>
      <c r="U109" s="340"/>
      <c r="V109" s="340"/>
      <c r="W109" s="340"/>
      <c r="X109" s="340"/>
      <c r="Y109" s="125"/>
    </row>
    <row r="110" spans="10:25" x14ac:dyDescent="0.2">
      <c r="J110" s="340"/>
      <c r="K110" s="340"/>
      <c r="L110" s="340"/>
      <c r="M110" s="340"/>
      <c r="N110" s="340"/>
      <c r="O110" s="340"/>
      <c r="P110" s="340"/>
      <c r="Q110" s="340"/>
      <c r="R110" s="340"/>
      <c r="S110" s="340">
        <v>123</v>
      </c>
      <c r="T110" s="340">
        <v>150</v>
      </c>
      <c r="U110" s="340"/>
      <c r="V110" s="340"/>
      <c r="W110" s="340"/>
      <c r="X110" s="340"/>
      <c r="Y110" s="125"/>
    </row>
    <row r="111" spans="10:25" x14ac:dyDescent="0.2">
      <c r="J111" s="340"/>
      <c r="K111" s="340"/>
      <c r="L111" s="340"/>
      <c r="M111" s="340"/>
      <c r="N111" s="340"/>
      <c r="O111" s="340"/>
      <c r="P111" s="340"/>
      <c r="Q111" s="340"/>
      <c r="R111" s="340"/>
      <c r="S111" s="340">
        <v>124</v>
      </c>
      <c r="T111" s="340">
        <v>150</v>
      </c>
      <c r="U111" s="340"/>
      <c r="V111" s="340"/>
      <c r="W111" s="340"/>
      <c r="X111" s="340"/>
      <c r="Y111" s="125"/>
    </row>
    <row r="112" spans="10:25" x14ac:dyDescent="0.2">
      <c r="J112" s="340"/>
      <c r="K112" s="340"/>
      <c r="L112" s="340"/>
      <c r="M112" s="340"/>
      <c r="N112" s="340"/>
      <c r="O112" s="340"/>
      <c r="P112" s="340"/>
      <c r="Q112" s="340"/>
      <c r="R112" s="340"/>
      <c r="S112" s="340">
        <v>125</v>
      </c>
      <c r="T112" s="340">
        <v>150</v>
      </c>
      <c r="U112" s="340"/>
      <c r="V112" s="340"/>
      <c r="W112" s="340"/>
      <c r="X112" s="340"/>
      <c r="Y112" s="125"/>
    </row>
    <row r="113" spans="10:25" x14ac:dyDescent="0.2">
      <c r="J113" s="340"/>
      <c r="K113" s="340"/>
      <c r="L113" s="340"/>
      <c r="M113" s="340"/>
      <c r="N113" s="340"/>
      <c r="O113" s="340"/>
      <c r="P113" s="340"/>
      <c r="Q113" s="340"/>
      <c r="R113" s="340"/>
      <c r="S113" s="340">
        <v>126</v>
      </c>
      <c r="T113" s="340">
        <v>150</v>
      </c>
      <c r="U113" s="340"/>
      <c r="V113" s="340"/>
      <c r="W113" s="340"/>
      <c r="X113" s="340"/>
      <c r="Y113" s="125"/>
    </row>
    <row r="114" spans="10:25" x14ac:dyDescent="0.2">
      <c r="J114" s="340"/>
      <c r="K114" s="340"/>
      <c r="L114" s="340"/>
      <c r="M114" s="340"/>
      <c r="N114" s="340"/>
      <c r="O114" s="340"/>
      <c r="P114" s="340"/>
      <c r="Q114" s="340"/>
      <c r="R114" s="340"/>
      <c r="S114" s="340">
        <v>127</v>
      </c>
      <c r="T114" s="340">
        <v>150</v>
      </c>
      <c r="U114" s="340"/>
      <c r="V114" s="340"/>
      <c r="W114" s="340"/>
      <c r="X114" s="340"/>
      <c r="Y114" s="125"/>
    </row>
    <row r="115" spans="10:25" x14ac:dyDescent="0.2">
      <c r="J115" s="340"/>
      <c r="K115" s="340"/>
      <c r="L115" s="340"/>
      <c r="M115" s="340"/>
      <c r="N115" s="340"/>
      <c r="O115" s="340"/>
      <c r="P115" s="340"/>
      <c r="Q115" s="340"/>
      <c r="R115" s="340"/>
      <c r="S115" s="340">
        <v>128</v>
      </c>
      <c r="T115" s="340">
        <v>150</v>
      </c>
      <c r="U115" s="340"/>
      <c r="V115" s="340"/>
      <c r="W115" s="340"/>
      <c r="X115" s="340"/>
      <c r="Y115" s="125"/>
    </row>
    <row r="116" spans="10:25" x14ac:dyDescent="0.2">
      <c r="J116" s="340"/>
      <c r="K116" s="340"/>
      <c r="L116" s="340"/>
      <c r="M116" s="340"/>
      <c r="N116" s="340"/>
      <c r="O116" s="340"/>
      <c r="P116" s="340"/>
      <c r="Q116" s="340"/>
      <c r="R116" s="340"/>
      <c r="S116" s="340">
        <v>129</v>
      </c>
      <c r="T116" s="340">
        <v>150</v>
      </c>
      <c r="U116" s="340"/>
      <c r="V116" s="340"/>
      <c r="W116" s="340"/>
      <c r="X116" s="340"/>
      <c r="Y116" s="125"/>
    </row>
    <row r="117" spans="10:25" x14ac:dyDescent="0.2">
      <c r="J117" s="340"/>
      <c r="K117" s="340"/>
      <c r="L117" s="340"/>
      <c r="M117" s="340"/>
      <c r="N117" s="340"/>
      <c r="O117" s="340"/>
      <c r="P117" s="340"/>
      <c r="Q117" s="340"/>
      <c r="R117" s="340"/>
      <c r="S117" s="340">
        <v>130</v>
      </c>
      <c r="T117" s="340">
        <v>150</v>
      </c>
      <c r="U117" s="340"/>
      <c r="V117" s="340"/>
      <c r="W117" s="340"/>
      <c r="X117" s="340"/>
      <c r="Y117" s="125"/>
    </row>
    <row r="118" spans="10:25" x14ac:dyDescent="0.2">
      <c r="J118" s="340"/>
      <c r="K118" s="340"/>
      <c r="L118" s="340"/>
      <c r="M118" s="340"/>
      <c r="N118" s="340"/>
      <c r="O118" s="340"/>
      <c r="P118" s="340"/>
      <c r="Q118" s="340"/>
      <c r="R118" s="340"/>
      <c r="S118" s="340">
        <v>131</v>
      </c>
      <c r="T118" s="340">
        <v>150</v>
      </c>
      <c r="U118" s="340"/>
      <c r="V118" s="340"/>
      <c r="W118" s="340"/>
      <c r="X118" s="340"/>
      <c r="Y118" s="125"/>
    </row>
    <row r="119" spans="10:25" x14ac:dyDescent="0.2">
      <c r="J119" s="340"/>
      <c r="K119" s="340"/>
      <c r="L119" s="340"/>
      <c r="M119" s="340"/>
      <c r="N119" s="340"/>
      <c r="O119" s="340"/>
      <c r="P119" s="340"/>
      <c r="Q119" s="340"/>
      <c r="R119" s="340"/>
      <c r="S119" s="340">
        <v>132</v>
      </c>
      <c r="T119" s="340">
        <v>150</v>
      </c>
      <c r="U119" s="340"/>
      <c r="V119" s="340"/>
      <c r="W119" s="340"/>
      <c r="X119" s="340"/>
      <c r="Y119" s="125"/>
    </row>
    <row r="120" spans="10:25" x14ac:dyDescent="0.2">
      <c r="J120" s="340"/>
      <c r="K120" s="340"/>
      <c r="L120" s="340"/>
      <c r="M120" s="340"/>
      <c r="N120" s="340"/>
      <c r="O120" s="340"/>
      <c r="P120" s="340"/>
      <c r="Q120" s="340"/>
      <c r="R120" s="340"/>
      <c r="S120" s="340">
        <v>133</v>
      </c>
      <c r="T120" s="340">
        <v>150</v>
      </c>
      <c r="U120" s="340"/>
      <c r="V120" s="340"/>
      <c r="W120" s="340"/>
      <c r="X120" s="340"/>
      <c r="Y120" s="125"/>
    </row>
    <row r="121" spans="10:25" x14ac:dyDescent="0.2">
      <c r="J121" s="340"/>
      <c r="K121" s="340"/>
      <c r="L121" s="340"/>
      <c r="M121" s="340"/>
      <c r="N121" s="340"/>
      <c r="O121" s="340"/>
      <c r="P121" s="340"/>
      <c r="Q121" s="340"/>
      <c r="R121" s="340"/>
      <c r="S121" s="340">
        <v>134</v>
      </c>
      <c r="T121" s="340">
        <v>150</v>
      </c>
      <c r="U121" s="340"/>
      <c r="V121" s="340"/>
      <c r="W121" s="340"/>
      <c r="X121" s="340"/>
      <c r="Y121" s="125"/>
    </row>
    <row r="122" spans="10:25" x14ac:dyDescent="0.2">
      <c r="J122" s="340"/>
      <c r="K122" s="340"/>
      <c r="L122" s="340"/>
      <c r="M122" s="340"/>
      <c r="N122" s="340"/>
      <c r="O122" s="340"/>
      <c r="P122" s="340"/>
      <c r="Q122" s="340"/>
      <c r="R122" s="340"/>
      <c r="S122" s="340">
        <v>135</v>
      </c>
      <c r="T122" s="340">
        <v>150</v>
      </c>
      <c r="U122" s="340"/>
      <c r="V122" s="340"/>
      <c r="W122" s="340"/>
      <c r="X122" s="340"/>
      <c r="Y122" s="125"/>
    </row>
    <row r="123" spans="10:25" x14ac:dyDescent="0.2">
      <c r="J123" s="340"/>
      <c r="K123" s="340"/>
      <c r="L123" s="340"/>
      <c r="M123" s="340"/>
      <c r="N123" s="340"/>
      <c r="O123" s="340"/>
      <c r="P123" s="340"/>
      <c r="Q123" s="340"/>
      <c r="R123" s="340"/>
      <c r="S123" s="340">
        <v>136</v>
      </c>
      <c r="T123" s="340">
        <v>150</v>
      </c>
      <c r="U123" s="340"/>
      <c r="V123" s="340"/>
      <c r="W123" s="340"/>
      <c r="X123" s="340"/>
      <c r="Y123" s="125"/>
    </row>
    <row r="124" spans="10:25" x14ac:dyDescent="0.2">
      <c r="J124" s="340"/>
      <c r="K124" s="340"/>
      <c r="L124" s="340"/>
      <c r="M124" s="340"/>
      <c r="N124" s="340"/>
      <c r="O124" s="340"/>
      <c r="P124" s="340"/>
      <c r="Q124" s="340"/>
      <c r="R124" s="340"/>
      <c r="S124" s="340">
        <v>137</v>
      </c>
      <c r="T124" s="340">
        <v>150</v>
      </c>
      <c r="U124" s="340"/>
      <c r="V124" s="340"/>
      <c r="W124" s="340"/>
      <c r="X124" s="340"/>
      <c r="Y124" s="125"/>
    </row>
    <row r="125" spans="10:25" x14ac:dyDescent="0.2">
      <c r="J125" s="340"/>
      <c r="K125" s="340"/>
      <c r="L125" s="340"/>
      <c r="M125" s="340"/>
      <c r="N125" s="340"/>
      <c r="O125" s="340"/>
      <c r="P125" s="340"/>
      <c r="Q125" s="340"/>
      <c r="R125" s="340"/>
      <c r="S125" s="340">
        <v>138</v>
      </c>
      <c r="T125" s="340">
        <v>150</v>
      </c>
      <c r="U125" s="340"/>
      <c r="V125" s="340"/>
      <c r="W125" s="340"/>
      <c r="X125" s="340"/>
      <c r="Y125" s="125"/>
    </row>
    <row r="126" spans="10:25" x14ac:dyDescent="0.2">
      <c r="J126" s="340"/>
      <c r="K126" s="340"/>
      <c r="L126" s="340"/>
      <c r="M126" s="340"/>
      <c r="N126" s="340"/>
      <c r="O126" s="340"/>
      <c r="P126" s="340"/>
      <c r="Q126" s="340"/>
      <c r="R126" s="340"/>
      <c r="S126" s="340">
        <v>139</v>
      </c>
      <c r="T126" s="340">
        <v>150</v>
      </c>
      <c r="U126" s="340"/>
      <c r="V126" s="340"/>
      <c r="W126" s="340"/>
      <c r="X126" s="340"/>
      <c r="Y126" s="125"/>
    </row>
    <row r="127" spans="10:25" x14ac:dyDescent="0.2">
      <c r="J127" s="340"/>
      <c r="K127" s="340"/>
      <c r="L127" s="340"/>
      <c r="M127" s="340"/>
      <c r="N127" s="340"/>
      <c r="O127" s="340"/>
      <c r="P127" s="340"/>
      <c r="Q127" s="340"/>
      <c r="R127" s="340"/>
      <c r="S127" s="340">
        <v>140</v>
      </c>
      <c r="T127" s="340">
        <v>150</v>
      </c>
      <c r="U127" s="340"/>
      <c r="V127" s="340"/>
      <c r="W127" s="340"/>
      <c r="X127" s="340"/>
      <c r="Y127" s="125"/>
    </row>
    <row r="128" spans="10:25" x14ac:dyDescent="0.2">
      <c r="J128" s="340"/>
      <c r="K128" s="340"/>
      <c r="L128" s="340"/>
      <c r="M128" s="340"/>
      <c r="N128" s="340"/>
      <c r="O128" s="340"/>
      <c r="P128" s="340"/>
      <c r="Q128" s="340"/>
      <c r="R128" s="340"/>
      <c r="S128" s="340">
        <v>141</v>
      </c>
      <c r="T128" s="340">
        <v>150</v>
      </c>
      <c r="U128" s="340"/>
      <c r="V128" s="340"/>
      <c r="W128" s="340"/>
      <c r="X128" s="340"/>
      <c r="Y128" s="125"/>
    </row>
    <row r="129" spans="10:25" x14ac:dyDescent="0.2">
      <c r="J129" s="340"/>
      <c r="K129" s="340"/>
      <c r="L129" s="340"/>
      <c r="M129" s="340"/>
      <c r="N129" s="340"/>
      <c r="O129" s="340"/>
      <c r="P129" s="340"/>
      <c r="Q129" s="340"/>
      <c r="R129" s="340"/>
      <c r="S129" s="340">
        <v>142</v>
      </c>
      <c r="T129" s="340">
        <v>150</v>
      </c>
      <c r="U129" s="340"/>
      <c r="V129" s="340"/>
      <c r="W129" s="340"/>
      <c r="X129" s="340"/>
      <c r="Y129" s="125"/>
    </row>
    <row r="130" spans="10:25" x14ac:dyDescent="0.2">
      <c r="J130" s="340"/>
      <c r="K130" s="340"/>
      <c r="L130" s="340"/>
      <c r="M130" s="340"/>
      <c r="N130" s="340"/>
      <c r="O130" s="340"/>
      <c r="P130" s="340"/>
      <c r="Q130" s="340"/>
      <c r="R130" s="340"/>
      <c r="S130" s="340">
        <v>143</v>
      </c>
      <c r="T130" s="340">
        <v>150</v>
      </c>
      <c r="U130" s="340"/>
      <c r="V130" s="340"/>
      <c r="W130" s="340"/>
      <c r="X130" s="340"/>
      <c r="Y130" s="125"/>
    </row>
    <row r="131" spans="10:25" x14ac:dyDescent="0.2">
      <c r="J131" s="340"/>
      <c r="K131" s="340"/>
      <c r="L131" s="340"/>
      <c r="M131" s="340"/>
      <c r="N131" s="340"/>
      <c r="O131" s="340"/>
      <c r="P131" s="340"/>
      <c r="Q131" s="340"/>
      <c r="R131" s="340"/>
      <c r="S131" s="340">
        <v>144</v>
      </c>
      <c r="T131" s="340">
        <v>150</v>
      </c>
      <c r="U131" s="340"/>
      <c r="V131" s="340"/>
      <c r="W131" s="340"/>
      <c r="X131" s="340"/>
      <c r="Y131" s="125"/>
    </row>
    <row r="132" spans="10:25" x14ac:dyDescent="0.2">
      <c r="J132" s="340"/>
      <c r="K132" s="340"/>
      <c r="L132" s="340"/>
      <c r="M132" s="340"/>
      <c r="N132" s="340"/>
      <c r="O132" s="340"/>
      <c r="P132" s="340"/>
      <c r="Q132" s="340"/>
      <c r="R132" s="340"/>
      <c r="S132" s="340">
        <v>145</v>
      </c>
      <c r="T132" s="340">
        <v>150</v>
      </c>
      <c r="U132" s="340"/>
      <c r="V132" s="340"/>
      <c r="W132" s="340"/>
      <c r="X132" s="340"/>
      <c r="Y132" s="125"/>
    </row>
    <row r="133" spans="10:25" x14ac:dyDescent="0.2">
      <c r="J133" s="340"/>
      <c r="K133" s="340"/>
      <c r="L133" s="340"/>
      <c r="M133" s="340"/>
      <c r="N133" s="340"/>
      <c r="O133" s="340"/>
      <c r="P133" s="340"/>
      <c r="Q133" s="340"/>
      <c r="R133" s="340"/>
      <c r="S133" s="340">
        <v>146</v>
      </c>
      <c r="T133" s="340">
        <v>150</v>
      </c>
      <c r="U133" s="340"/>
      <c r="V133" s="340"/>
      <c r="W133" s="340"/>
      <c r="X133" s="340"/>
      <c r="Y133" s="125"/>
    </row>
    <row r="134" spans="10:25" x14ac:dyDescent="0.2">
      <c r="J134" s="340"/>
      <c r="K134" s="340"/>
      <c r="L134" s="340"/>
      <c r="M134" s="340"/>
      <c r="N134" s="340"/>
      <c r="O134" s="340"/>
      <c r="P134" s="340"/>
      <c r="Q134" s="340"/>
      <c r="R134" s="340"/>
      <c r="S134" s="340">
        <v>147</v>
      </c>
      <c r="T134" s="340">
        <v>150</v>
      </c>
      <c r="U134" s="340"/>
      <c r="V134" s="340"/>
      <c r="W134" s="340"/>
      <c r="X134" s="340"/>
      <c r="Y134" s="125"/>
    </row>
    <row r="135" spans="10:25" x14ac:dyDescent="0.2">
      <c r="J135" s="340"/>
      <c r="K135" s="340"/>
      <c r="L135" s="340"/>
      <c r="M135" s="340"/>
      <c r="N135" s="340"/>
      <c r="O135" s="340"/>
      <c r="P135" s="340"/>
      <c r="Q135" s="340"/>
      <c r="R135" s="340"/>
      <c r="S135" s="340">
        <v>148</v>
      </c>
      <c r="T135" s="340">
        <v>150</v>
      </c>
      <c r="U135" s="340"/>
      <c r="V135" s="340"/>
      <c r="W135" s="340"/>
      <c r="X135" s="340"/>
      <c r="Y135" s="125"/>
    </row>
    <row r="136" spans="10:25" x14ac:dyDescent="0.2">
      <c r="J136" s="340"/>
      <c r="K136" s="340"/>
      <c r="L136" s="340"/>
      <c r="M136" s="340"/>
      <c r="N136" s="340"/>
      <c r="O136" s="340"/>
      <c r="P136" s="340"/>
      <c r="Q136" s="340"/>
      <c r="R136" s="340"/>
      <c r="S136" s="340">
        <v>149</v>
      </c>
      <c r="T136" s="340">
        <v>150</v>
      </c>
      <c r="U136" s="340"/>
      <c r="V136" s="340"/>
      <c r="W136" s="340"/>
      <c r="X136" s="340"/>
      <c r="Y136" s="125"/>
    </row>
    <row r="137" spans="10:25" x14ac:dyDescent="0.2">
      <c r="J137" s="340"/>
      <c r="K137" s="340"/>
      <c r="L137" s="340"/>
      <c r="M137" s="340"/>
      <c r="N137" s="340"/>
      <c r="O137" s="340"/>
      <c r="P137" s="340"/>
      <c r="Q137" s="340"/>
      <c r="R137" s="340"/>
      <c r="S137" s="340">
        <v>150</v>
      </c>
      <c r="T137" s="340">
        <v>150</v>
      </c>
      <c r="U137" s="340">
        <v>150</v>
      </c>
      <c r="V137" s="340"/>
      <c r="W137" s="340"/>
      <c r="X137" s="340"/>
      <c r="Y137" s="125"/>
    </row>
    <row r="138" spans="10:25" x14ac:dyDescent="0.2">
      <c r="J138" s="340"/>
      <c r="K138" s="340"/>
      <c r="L138" s="340"/>
      <c r="M138" s="340"/>
      <c r="N138" s="340"/>
      <c r="O138" s="340"/>
      <c r="P138" s="340"/>
      <c r="Q138" s="340"/>
      <c r="R138" s="340"/>
      <c r="S138" s="340">
        <v>151</v>
      </c>
      <c r="T138" s="340">
        <v>150</v>
      </c>
      <c r="U138" s="340"/>
      <c r="V138" s="340"/>
      <c r="W138" s="340"/>
      <c r="X138" s="340"/>
      <c r="Y138" s="125"/>
    </row>
    <row r="139" spans="10:25" x14ac:dyDescent="0.2">
      <c r="J139" s="340"/>
      <c r="K139" s="340"/>
      <c r="L139" s="340"/>
      <c r="M139" s="340"/>
      <c r="N139" s="340"/>
      <c r="O139" s="340"/>
      <c r="P139" s="340"/>
      <c r="Q139" s="340"/>
      <c r="R139" s="340"/>
      <c r="S139" s="340">
        <v>152</v>
      </c>
      <c r="T139" s="340">
        <v>150</v>
      </c>
      <c r="U139" s="340"/>
      <c r="V139" s="340"/>
      <c r="W139" s="340"/>
      <c r="X139" s="340"/>
      <c r="Y139" s="125"/>
    </row>
    <row r="140" spans="10:25" x14ac:dyDescent="0.2">
      <c r="J140" s="340"/>
      <c r="K140" s="340"/>
      <c r="L140" s="340"/>
      <c r="M140" s="340"/>
      <c r="N140" s="340"/>
      <c r="O140" s="340"/>
      <c r="P140" s="340"/>
      <c r="Q140" s="340"/>
      <c r="R140" s="340"/>
      <c r="S140" s="340">
        <v>153</v>
      </c>
      <c r="T140" s="340">
        <v>150</v>
      </c>
      <c r="U140" s="340"/>
      <c r="V140" s="340"/>
      <c r="W140" s="340"/>
      <c r="X140" s="340"/>
      <c r="Y140" s="125"/>
    </row>
    <row r="141" spans="10:25" x14ac:dyDescent="0.2">
      <c r="J141" s="340"/>
      <c r="K141" s="340"/>
      <c r="L141" s="340"/>
      <c r="M141" s="340"/>
      <c r="N141" s="340"/>
      <c r="O141" s="340"/>
      <c r="P141" s="340"/>
      <c r="Q141" s="340"/>
      <c r="R141" s="340"/>
      <c r="S141" s="340">
        <v>154</v>
      </c>
      <c r="T141" s="340">
        <v>150</v>
      </c>
      <c r="U141" s="340"/>
      <c r="V141" s="340"/>
      <c r="W141" s="340"/>
      <c r="X141" s="340"/>
      <c r="Y141" s="125"/>
    </row>
    <row r="142" spans="10:25" x14ac:dyDescent="0.2">
      <c r="J142" s="340"/>
      <c r="K142" s="340"/>
      <c r="L142" s="340"/>
      <c r="M142" s="340"/>
      <c r="N142" s="340"/>
      <c r="O142" s="340"/>
      <c r="P142" s="340"/>
      <c r="Q142" s="340"/>
      <c r="R142" s="340"/>
      <c r="S142" s="340">
        <v>155</v>
      </c>
      <c r="T142" s="340">
        <v>150</v>
      </c>
      <c r="U142" s="340"/>
      <c r="V142" s="340"/>
      <c r="W142" s="340"/>
      <c r="X142" s="340"/>
      <c r="Y142" s="125"/>
    </row>
    <row r="143" spans="10:25" x14ac:dyDescent="0.2">
      <c r="J143" s="340"/>
      <c r="K143" s="340"/>
      <c r="L143" s="340"/>
      <c r="M143" s="340"/>
      <c r="N143" s="340"/>
      <c r="O143" s="340"/>
      <c r="P143" s="340"/>
      <c r="Q143" s="340"/>
      <c r="R143" s="340"/>
      <c r="S143" s="340">
        <v>156</v>
      </c>
      <c r="T143" s="340">
        <v>150</v>
      </c>
      <c r="U143" s="340"/>
      <c r="V143" s="340"/>
      <c r="W143" s="340"/>
      <c r="X143" s="340"/>
      <c r="Y143" s="125"/>
    </row>
    <row r="144" spans="10:25" x14ac:dyDescent="0.2">
      <c r="J144" s="340"/>
      <c r="K144" s="340"/>
      <c r="L144" s="340"/>
      <c r="M144" s="340"/>
      <c r="N144" s="340"/>
      <c r="O144" s="340"/>
      <c r="P144" s="340"/>
      <c r="Q144" s="340"/>
      <c r="R144" s="340"/>
      <c r="S144" s="340">
        <v>157</v>
      </c>
      <c r="T144" s="340">
        <v>150</v>
      </c>
      <c r="U144" s="340"/>
      <c r="V144" s="340"/>
      <c r="W144" s="340"/>
      <c r="X144" s="340"/>
      <c r="Y144" s="125"/>
    </row>
    <row r="145" spans="10:25" x14ac:dyDescent="0.2">
      <c r="J145" s="340"/>
      <c r="K145" s="340"/>
      <c r="L145" s="340"/>
      <c r="M145" s="340"/>
      <c r="N145" s="340"/>
      <c r="O145" s="340"/>
      <c r="P145" s="340"/>
      <c r="Q145" s="340"/>
      <c r="R145" s="340"/>
      <c r="S145" s="340">
        <v>158</v>
      </c>
      <c r="T145" s="340">
        <v>150</v>
      </c>
      <c r="U145" s="340"/>
      <c r="V145" s="340"/>
      <c r="W145" s="340"/>
      <c r="X145" s="340"/>
      <c r="Y145" s="125"/>
    </row>
    <row r="146" spans="10:25" x14ac:dyDescent="0.2">
      <c r="J146" s="340"/>
      <c r="K146" s="340"/>
      <c r="L146" s="340"/>
      <c r="M146" s="340"/>
      <c r="N146" s="340"/>
      <c r="O146" s="340"/>
      <c r="P146" s="340"/>
      <c r="Q146" s="340"/>
      <c r="R146" s="340"/>
      <c r="S146" s="340">
        <v>159</v>
      </c>
      <c r="T146" s="340">
        <v>150</v>
      </c>
      <c r="U146" s="340"/>
      <c r="V146" s="340"/>
      <c r="W146" s="340"/>
      <c r="X146" s="340"/>
      <c r="Y146" s="125"/>
    </row>
    <row r="147" spans="10:25" x14ac:dyDescent="0.2">
      <c r="J147" s="340"/>
      <c r="K147" s="340"/>
      <c r="L147" s="340"/>
      <c r="M147" s="340"/>
      <c r="N147" s="340"/>
      <c r="O147" s="340"/>
      <c r="P147" s="340"/>
      <c r="Q147" s="340"/>
      <c r="R147" s="340"/>
      <c r="S147" s="340">
        <v>160</v>
      </c>
      <c r="T147" s="340">
        <v>150</v>
      </c>
      <c r="U147" s="340"/>
      <c r="V147" s="340"/>
      <c r="W147" s="340"/>
      <c r="X147" s="340"/>
      <c r="Y147" s="125"/>
    </row>
    <row r="148" spans="10:25" x14ac:dyDescent="0.2">
      <c r="J148" s="340"/>
      <c r="K148" s="340"/>
      <c r="L148" s="340"/>
      <c r="M148" s="340"/>
      <c r="N148" s="340"/>
      <c r="O148" s="340"/>
      <c r="P148" s="340"/>
      <c r="Q148" s="340"/>
      <c r="R148" s="340"/>
      <c r="S148" s="340">
        <v>161</v>
      </c>
      <c r="T148" s="340">
        <v>150</v>
      </c>
      <c r="U148" s="340"/>
      <c r="V148" s="340"/>
      <c r="W148" s="340"/>
      <c r="X148" s="340"/>
      <c r="Y148" s="125"/>
    </row>
    <row r="149" spans="10:25" x14ac:dyDescent="0.2">
      <c r="J149" s="340"/>
      <c r="K149" s="340"/>
      <c r="L149" s="340"/>
      <c r="M149" s="340"/>
      <c r="N149" s="340"/>
      <c r="O149" s="340"/>
      <c r="P149" s="340"/>
      <c r="Q149" s="340"/>
      <c r="R149" s="340"/>
      <c r="S149" s="340">
        <v>162</v>
      </c>
      <c r="T149" s="340">
        <v>150</v>
      </c>
      <c r="U149" s="340"/>
      <c r="V149" s="340"/>
      <c r="W149" s="340"/>
      <c r="X149" s="340"/>
      <c r="Y149" s="125"/>
    </row>
    <row r="150" spans="10:25" x14ac:dyDescent="0.2">
      <c r="J150" s="340"/>
      <c r="K150" s="340"/>
      <c r="L150" s="340"/>
      <c r="M150" s="340"/>
      <c r="N150" s="340"/>
      <c r="O150" s="340"/>
      <c r="P150" s="340"/>
      <c r="Q150" s="340"/>
      <c r="R150" s="340"/>
      <c r="S150" s="340">
        <v>163</v>
      </c>
      <c r="T150" s="340">
        <v>150</v>
      </c>
      <c r="U150" s="340"/>
      <c r="V150" s="340"/>
      <c r="W150" s="340"/>
      <c r="X150" s="340"/>
      <c r="Y150" s="125"/>
    </row>
    <row r="151" spans="10:25" x14ac:dyDescent="0.2">
      <c r="J151" s="340"/>
      <c r="K151" s="340"/>
      <c r="L151" s="340"/>
      <c r="M151" s="340"/>
      <c r="N151" s="340"/>
      <c r="O151" s="340"/>
      <c r="P151" s="340"/>
      <c r="Q151" s="340"/>
      <c r="R151" s="340"/>
      <c r="S151" s="340">
        <v>164</v>
      </c>
      <c r="T151" s="340">
        <v>150</v>
      </c>
      <c r="U151" s="340"/>
      <c r="V151" s="340"/>
      <c r="W151" s="340"/>
      <c r="X151" s="340"/>
      <c r="Y151" s="125"/>
    </row>
    <row r="152" spans="10:25" x14ac:dyDescent="0.2">
      <c r="J152" s="340"/>
      <c r="K152" s="340"/>
      <c r="L152" s="340"/>
      <c r="M152" s="340"/>
      <c r="N152" s="340"/>
      <c r="O152" s="340"/>
      <c r="P152" s="340"/>
      <c r="Q152" s="340"/>
      <c r="R152" s="340"/>
      <c r="S152" s="340">
        <v>165</v>
      </c>
      <c r="T152" s="340">
        <v>150</v>
      </c>
      <c r="U152" s="340"/>
      <c r="V152" s="340"/>
      <c r="W152" s="340"/>
      <c r="X152" s="340"/>
      <c r="Y152" s="125"/>
    </row>
    <row r="153" spans="10:25" x14ac:dyDescent="0.2">
      <c r="J153" s="340"/>
      <c r="K153" s="340"/>
      <c r="L153" s="340"/>
      <c r="M153" s="340"/>
      <c r="N153" s="340"/>
      <c r="O153" s="340"/>
      <c r="P153" s="340"/>
      <c r="Q153" s="340"/>
      <c r="R153" s="340"/>
      <c r="S153" s="340">
        <v>166</v>
      </c>
      <c r="T153" s="340">
        <v>150</v>
      </c>
      <c r="U153" s="340"/>
      <c r="V153" s="340"/>
      <c r="W153" s="340"/>
      <c r="X153" s="340"/>
      <c r="Y153" s="125"/>
    </row>
    <row r="154" spans="10:25" x14ac:dyDescent="0.2">
      <c r="J154" s="340"/>
      <c r="K154" s="340"/>
      <c r="L154" s="340"/>
      <c r="M154" s="340"/>
      <c r="N154" s="340"/>
      <c r="O154" s="340"/>
      <c r="P154" s="340"/>
      <c r="Q154" s="340"/>
      <c r="R154" s="340"/>
      <c r="S154" s="340">
        <v>167</v>
      </c>
      <c r="T154" s="340">
        <v>150</v>
      </c>
      <c r="U154" s="340"/>
      <c r="V154" s="340"/>
      <c r="W154" s="340"/>
      <c r="X154" s="340"/>
      <c r="Y154" s="125"/>
    </row>
    <row r="155" spans="10:25" x14ac:dyDescent="0.2">
      <c r="J155" s="340"/>
      <c r="K155" s="340"/>
      <c r="L155" s="340"/>
      <c r="M155" s="340"/>
      <c r="N155" s="340"/>
      <c r="O155" s="340"/>
      <c r="P155" s="340"/>
      <c r="Q155" s="340"/>
      <c r="R155" s="340"/>
      <c r="S155" s="340">
        <v>168</v>
      </c>
      <c r="T155" s="340">
        <v>150</v>
      </c>
      <c r="U155" s="340"/>
      <c r="V155" s="340"/>
      <c r="W155" s="340"/>
      <c r="X155" s="340"/>
      <c r="Y155" s="125"/>
    </row>
    <row r="156" spans="10:25" x14ac:dyDescent="0.2">
      <c r="J156" s="340"/>
      <c r="K156" s="340"/>
      <c r="L156" s="340"/>
      <c r="M156" s="340"/>
      <c r="N156" s="340"/>
      <c r="O156" s="340"/>
      <c r="P156" s="340"/>
      <c r="Q156" s="340"/>
      <c r="R156" s="340"/>
      <c r="S156" s="340">
        <v>169</v>
      </c>
      <c r="T156" s="340">
        <v>150</v>
      </c>
      <c r="U156" s="340"/>
      <c r="V156" s="340"/>
      <c r="W156" s="340"/>
      <c r="X156" s="340"/>
      <c r="Y156" s="125"/>
    </row>
    <row r="157" spans="10:25" x14ac:dyDescent="0.2">
      <c r="J157" s="340"/>
      <c r="K157" s="340"/>
      <c r="L157" s="340"/>
      <c r="M157" s="340"/>
      <c r="N157" s="340"/>
      <c r="O157" s="340"/>
      <c r="P157" s="340"/>
      <c r="Q157" s="340"/>
      <c r="R157" s="340"/>
      <c r="S157" s="340">
        <v>170</v>
      </c>
      <c r="T157" s="340">
        <v>150</v>
      </c>
      <c r="U157" s="340"/>
      <c r="V157" s="340"/>
      <c r="W157" s="340"/>
      <c r="X157" s="340"/>
      <c r="Y157" s="125"/>
    </row>
    <row r="158" spans="10:25" x14ac:dyDescent="0.2">
      <c r="J158" s="340"/>
      <c r="K158" s="340"/>
      <c r="L158" s="340"/>
      <c r="M158" s="340"/>
      <c r="N158" s="340"/>
      <c r="O158" s="340"/>
      <c r="P158" s="340"/>
      <c r="Q158" s="340"/>
      <c r="R158" s="340"/>
      <c r="S158" s="340">
        <v>171</v>
      </c>
      <c r="T158" s="340">
        <v>150</v>
      </c>
      <c r="U158" s="340"/>
      <c r="V158" s="340"/>
      <c r="W158" s="340"/>
      <c r="X158" s="340"/>
      <c r="Y158" s="125"/>
    </row>
    <row r="159" spans="10:25" x14ac:dyDescent="0.2">
      <c r="J159" s="340"/>
      <c r="K159" s="340"/>
      <c r="L159" s="340"/>
      <c r="M159" s="340"/>
      <c r="N159" s="340"/>
      <c r="O159" s="340"/>
      <c r="P159" s="340"/>
      <c r="Q159" s="340"/>
      <c r="R159" s="340"/>
      <c r="S159" s="340">
        <v>172</v>
      </c>
      <c r="T159" s="340">
        <v>150</v>
      </c>
      <c r="U159" s="340"/>
      <c r="V159" s="340"/>
      <c r="W159" s="340"/>
      <c r="X159" s="340"/>
      <c r="Y159" s="125"/>
    </row>
    <row r="160" spans="10:25" x14ac:dyDescent="0.2">
      <c r="J160" s="340"/>
      <c r="K160" s="340"/>
      <c r="L160" s="340"/>
      <c r="M160" s="340"/>
      <c r="N160" s="340"/>
      <c r="O160" s="340"/>
      <c r="P160" s="340"/>
      <c r="Q160" s="340"/>
      <c r="R160" s="340"/>
      <c r="S160" s="340">
        <v>173</v>
      </c>
      <c r="T160" s="340">
        <v>150</v>
      </c>
      <c r="U160" s="340"/>
      <c r="V160" s="340"/>
      <c r="W160" s="340"/>
      <c r="X160" s="340"/>
      <c r="Y160" s="125"/>
    </row>
    <row r="161" spans="10:25" x14ac:dyDescent="0.2">
      <c r="J161" s="340"/>
      <c r="K161" s="340"/>
      <c r="L161" s="340"/>
      <c r="M161" s="340"/>
      <c r="N161" s="340"/>
      <c r="O161" s="340"/>
      <c r="P161" s="340"/>
      <c r="Q161" s="340"/>
      <c r="R161" s="340"/>
      <c r="S161" s="340">
        <v>174</v>
      </c>
      <c r="T161" s="340">
        <v>150</v>
      </c>
      <c r="U161" s="340"/>
      <c r="V161" s="340"/>
      <c r="W161" s="340"/>
      <c r="X161" s="340"/>
      <c r="Y161" s="125"/>
    </row>
    <row r="162" spans="10:25" x14ac:dyDescent="0.2">
      <c r="J162" s="340"/>
      <c r="K162" s="340"/>
      <c r="L162" s="340"/>
      <c r="M162" s="340"/>
      <c r="N162" s="340"/>
      <c r="O162" s="340"/>
      <c r="P162" s="340"/>
      <c r="Q162" s="340"/>
      <c r="R162" s="340"/>
      <c r="S162" s="340">
        <v>175</v>
      </c>
      <c r="T162" s="340">
        <v>150</v>
      </c>
      <c r="U162" s="340"/>
      <c r="V162" s="340"/>
      <c r="W162" s="340"/>
      <c r="X162" s="340"/>
      <c r="Y162" s="125"/>
    </row>
    <row r="163" spans="10:25" x14ac:dyDescent="0.2">
      <c r="J163" s="340"/>
      <c r="K163" s="340"/>
      <c r="L163" s="340"/>
      <c r="M163" s="340"/>
      <c r="N163" s="340"/>
      <c r="O163" s="340"/>
      <c r="P163" s="340"/>
      <c r="Q163" s="340"/>
      <c r="R163" s="340"/>
      <c r="S163" s="340">
        <v>176</v>
      </c>
      <c r="T163" s="340">
        <v>150</v>
      </c>
      <c r="U163" s="340"/>
      <c r="V163" s="340"/>
      <c r="W163" s="340"/>
      <c r="X163" s="340"/>
      <c r="Y163" s="125"/>
    </row>
    <row r="164" spans="10:25" x14ac:dyDescent="0.2">
      <c r="J164" s="340"/>
      <c r="K164" s="340"/>
      <c r="L164" s="340"/>
      <c r="M164" s="340"/>
      <c r="N164" s="340"/>
      <c r="O164" s="340"/>
      <c r="P164" s="340"/>
      <c r="Q164" s="340"/>
      <c r="R164" s="340"/>
      <c r="S164" s="340">
        <v>177</v>
      </c>
      <c r="T164" s="340">
        <v>150</v>
      </c>
      <c r="U164" s="340"/>
      <c r="V164" s="340"/>
      <c r="W164" s="340"/>
      <c r="X164" s="340"/>
      <c r="Y164" s="125"/>
    </row>
    <row r="165" spans="10:25" x14ac:dyDescent="0.2">
      <c r="J165" s="340"/>
      <c r="K165" s="340"/>
      <c r="L165" s="340"/>
      <c r="M165" s="340"/>
      <c r="N165" s="340"/>
      <c r="O165" s="340"/>
      <c r="P165" s="340"/>
      <c r="Q165" s="340"/>
      <c r="R165" s="340"/>
      <c r="S165" s="340">
        <v>178</v>
      </c>
      <c r="T165" s="340">
        <v>150</v>
      </c>
      <c r="U165" s="340"/>
      <c r="V165" s="340"/>
      <c r="W165" s="340"/>
      <c r="X165" s="340"/>
      <c r="Y165" s="125"/>
    </row>
    <row r="166" spans="10:25" x14ac:dyDescent="0.2">
      <c r="J166" s="340"/>
      <c r="K166" s="340"/>
      <c r="L166" s="340"/>
      <c r="M166" s="340"/>
      <c r="N166" s="340"/>
      <c r="O166" s="340"/>
      <c r="P166" s="340"/>
      <c r="Q166" s="340"/>
      <c r="R166" s="340"/>
      <c r="S166" s="340">
        <v>179</v>
      </c>
      <c r="T166" s="340">
        <v>150</v>
      </c>
      <c r="U166" s="340"/>
      <c r="V166" s="340"/>
      <c r="W166" s="340"/>
      <c r="X166" s="340"/>
      <c r="Y166" s="125"/>
    </row>
    <row r="167" spans="10:25" x14ac:dyDescent="0.2">
      <c r="J167" s="340"/>
      <c r="K167" s="340"/>
      <c r="L167" s="340"/>
      <c r="M167" s="340"/>
      <c r="N167" s="340"/>
      <c r="O167" s="340"/>
      <c r="P167" s="340"/>
      <c r="Q167" s="340"/>
      <c r="R167" s="340"/>
      <c r="S167" s="340">
        <v>180</v>
      </c>
      <c r="T167" s="340">
        <v>150</v>
      </c>
      <c r="U167" s="340"/>
      <c r="V167" s="340"/>
      <c r="W167" s="340"/>
      <c r="X167" s="340"/>
      <c r="Y167" s="125"/>
    </row>
    <row r="168" spans="10:25" x14ac:dyDescent="0.2">
      <c r="J168" s="340"/>
      <c r="K168" s="340"/>
      <c r="L168" s="340"/>
      <c r="M168" s="340"/>
      <c r="N168" s="340"/>
      <c r="O168" s="340"/>
      <c r="P168" s="340"/>
      <c r="Q168" s="340"/>
      <c r="R168" s="340"/>
      <c r="S168" s="340">
        <v>181</v>
      </c>
      <c r="T168" s="340">
        <v>150</v>
      </c>
      <c r="U168" s="340"/>
      <c r="V168" s="340"/>
      <c r="W168" s="340"/>
      <c r="X168" s="340"/>
      <c r="Y168" s="125"/>
    </row>
    <row r="169" spans="10:25" x14ac:dyDescent="0.2">
      <c r="J169" s="340"/>
      <c r="K169" s="340"/>
      <c r="L169" s="340"/>
      <c r="M169" s="340"/>
      <c r="N169" s="340"/>
      <c r="O169" s="340"/>
      <c r="P169" s="340"/>
      <c r="Q169" s="340"/>
      <c r="R169" s="340"/>
      <c r="S169" s="340">
        <v>182</v>
      </c>
      <c r="T169" s="340">
        <v>150</v>
      </c>
      <c r="U169" s="340"/>
      <c r="V169" s="340"/>
      <c r="W169" s="340"/>
      <c r="X169" s="340"/>
      <c r="Y169" s="125"/>
    </row>
    <row r="170" spans="10:25" x14ac:dyDescent="0.2">
      <c r="J170" s="340"/>
      <c r="K170" s="340"/>
      <c r="L170" s="340"/>
      <c r="M170" s="340"/>
      <c r="N170" s="340"/>
      <c r="O170" s="340"/>
      <c r="P170" s="340"/>
      <c r="Q170" s="340"/>
      <c r="R170" s="340"/>
      <c r="S170" s="340">
        <v>183</v>
      </c>
      <c r="T170" s="340">
        <v>150</v>
      </c>
      <c r="U170" s="340"/>
      <c r="V170" s="340"/>
      <c r="W170" s="340"/>
      <c r="X170" s="340"/>
      <c r="Y170" s="125"/>
    </row>
    <row r="171" spans="10:25" x14ac:dyDescent="0.2">
      <c r="J171" s="340"/>
      <c r="K171" s="340"/>
      <c r="L171" s="340"/>
      <c r="M171" s="340"/>
      <c r="N171" s="340"/>
      <c r="O171" s="340"/>
      <c r="P171" s="340"/>
      <c r="Q171" s="340"/>
      <c r="R171" s="340"/>
      <c r="S171" s="340">
        <v>184</v>
      </c>
      <c r="T171" s="340">
        <v>150</v>
      </c>
      <c r="U171" s="340"/>
      <c r="V171" s="340"/>
      <c r="W171" s="340"/>
      <c r="X171" s="340"/>
      <c r="Y171" s="125"/>
    </row>
    <row r="172" spans="10:25" x14ac:dyDescent="0.2">
      <c r="J172" s="340"/>
      <c r="K172" s="340"/>
      <c r="L172" s="340"/>
      <c r="M172" s="340"/>
      <c r="N172" s="340"/>
      <c r="O172" s="340"/>
      <c r="P172" s="340"/>
      <c r="Q172" s="340"/>
      <c r="R172" s="340"/>
      <c r="S172" s="340">
        <v>185</v>
      </c>
      <c r="T172" s="340">
        <v>150</v>
      </c>
      <c r="U172" s="340"/>
      <c r="V172" s="340"/>
      <c r="W172" s="340"/>
      <c r="X172" s="340"/>
      <c r="Y172" s="125"/>
    </row>
    <row r="173" spans="10:25" x14ac:dyDescent="0.2">
      <c r="J173" s="340"/>
      <c r="K173" s="340"/>
      <c r="L173" s="340"/>
      <c r="M173" s="340"/>
      <c r="N173" s="340"/>
      <c r="O173" s="340"/>
      <c r="P173" s="340"/>
      <c r="Q173" s="340"/>
      <c r="R173" s="340"/>
      <c r="S173" s="340">
        <v>186</v>
      </c>
      <c r="T173" s="340">
        <v>150</v>
      </c>
      <c r="U173" s="340"/>
      <c r="V173" s="340"/>
      <c r="W173" s="340"/>
      <c r="X173" s="340"/>
      <c r="Y173" s="125"/>
    </row>
    <row r="174" spans="10:25" x14ac:dyDescent="0.2">
      <c r="J174" s="340"/>
      <c r="K174" s="340"/>
      <c r="L174" s="340"/>
      <c r="M174" s="340"/>
      <c r="N174" s="340"/>
      <c r="O174" s="340"/>
      <c r="P174" s="340"/>
      <c r="Q174" s="340"/>
      <c r="R174" s="340"/>
      <c r="S174" s="340">
        <v>187</v>
      </c>
      <c r="T174" s="340">
        <v>150</v>
      </c>
      <c r="U174" s="340"/>
      <c r="V174" s="340"/>
      <c r="W174" s="340"/>
      <c r="X174" s="340"/>
      <c r="Y174" s="125"/>
    </row>
    <row r="175" spans="10:25" x14ac:dyDescent="0.2">
      <c r="J175" s="340"/>
      <c r="K175" s="340"/>
      <c r="L175" s="340"/>
      <c r="M175" s="340"/>
      <c r="N175" s="340"/>
      <c r="O175" s="340"/>
      <c r="P175" s="340"/>
      <c r="Q175" s="340"/>
      <c r="R175" s="340"/>
      <c r="S175" s="340">
        <v>188</v>
      </c>
      <c r="T175" s="340">
        <v>150</v>
      </c>
      <c r="U175" s="340"/>
      <c r="V175" s="340"/>
      <c r="W175" s="340"/>
      <c r="X175" s="340"/>
      <c r="Y175" s="125"/>
    </row>
    <row r="176" spans="10:25" x14ac:dyDescent="0.2">
      <c r="J176" s="340"/>
      <c r="K176" s="340"/>
      <c r="L176" s="340"/>
      <c r="M176" s="340"/>
      <c r="N176" s="340"/>
      <c r="O176" s="340"/>
      <c r="P176" s="340"/>
      <c r="Q176" s="340"/>
      <c r="R176" s="340"/>
      <c r="S176" s="340">
        <v>189</v>
      </c>
      <c r="T176" s="340">
        <v>150</v>
      </c>
      <c r="U176" s="340"/>
      <c r="V176" s="340"/>
      <c r="W176" s="340"/>
      <c r="X176" s="340"/>
      <c r="Y176" s="125"/>
    </row>
    <row r="177" spans="10:25" x14ac:dyDescent="0.2">
      <c r="J177" s="340"/>
      <c r="K177" s="340"/>
      <c r="L177" s="340"/>
      <c r="M177" s="340"/>
      <c r="N177" s="340"/>
      <c r="O177" s="340"/>
      <c r="P177" s="340"/>
      <c r="Q177" s="340"/>
      <c r="R177" s="340"/>
      <c r="S177" s="340">
        <v>190</v>
      </c>
      <c r="T177" s="340">
        <v>150</v>
      </c>
      <c r="U177" s="340"/>
      <c r="V177" s="340"/>
      <c r="W177" s="340"/>
      <c r="X177" s="340"/>
      <c r="Y177" s="125"/>
    </row>
    <row r="178" spans="10:25" x14ac:dyDescent="0.2">
      <c r="J178" s="340"/>
      <c r="K178" s="340"/>
      <c r="L178" s="340"/>
      <c r="M178" s="340"/>
      <c r="N178" s="340"/>
      <c r="O178" s="340"/>
      <c r="P178" s="340"/>
      <c r="Q178" s="340"/>
      <c r="R178" s="340"/>
      <c r="S178" s="340">
        <v>191</v>
      </c>
      <c r="T178" s="340">
        <v>150</v>
      </c>
      <c r="U178" s="340"/>
      <c r="V178" s="340"/>
      <c r="W178" s="340"/>
      <c r="X178" s="340"/>
      <c r="Y178" s="125"/>
    </row>
    <row r="179" spans="10:25" x14ac:dyDescent="0.2">
      <c r="J179" s="340"/>
      <c r="K179" s="340"/>
      <c r="L179" s="340"/>
      <c r="M179" s="340"/>
      <c r="N179" s="340"/>
      <c r="O179" s="340"/>
      <c r="P179" s="340"/>
      <c r="Q179" s="340"/>
      <c r="R179" s="340"/>
      <c r="S179" s="340">
        <v>192</v>
      </c>
      <c r="T179" s="340">
        <v>150</v>
      </c>
      <c r="U179" s="340"/>
      <c r="V179" s="340"/>
      <c r="W179" s="340"/>
      <c r="X179" s="340"/>
      <c r="Y179" s="125"/>
    </row>
    <row r="180" spans="10:25" x14ac:dyDescent="0.2">
      <c r="J180" s="340"/>
      <c r="K180" s="340"/>
      <c r="L180" s="340"/>
      <c r="M180" s="340"/>
      <c r="N180" s="340"/>
      <c r="O180" s="340"/>
      <c r="P180" s="340"/>
      <c r="Q180" s="340"/>
      <c r="R180" s="340"/>
      <c r="S180" s="340">
        <v>193</v>
      </c>
      <c r="T180" s="340">
        <v>150</v>
      </c>
      <c r="U180" s="340"/>
      <c r="V180" s="340"/>
      <c r="W180" s="340"/>
      <c r="X180" s="340"/>
      <c r="Y180" s="125"/>
    </row>
    <row r="181" spans="10:25" x14ac:dyDescent="0.2">
      <c r="J181" s="340"/>
      <c r="K181" s="340"/>
      <c r="L181" s="340"/>
      <c r="M181" s="340"/>
      <c r="N181" s="340"/>
      <c r="O181" s="340"/>
      <c r="P181" s="340"/>
      <c r="Q181" s="340"/>
      <c r="R181" s="340"/>
      <c r="S181" s="340">
        <v>194</v>
      </c>
      <c r="T181" s="340">
        <v>150</v>
      </c>
      <c r="U181" s="340"/>
      <c r="V181" s="340"/>
      <c r="W181" s="340"/>
      <c r="X181" s="340"/>
      <c r="Y181" s="125"/>
    </row>
    <row r="182" spans="10:25" x14ac:dyDescent="0.2">
      <c r="J182" s="340"/>
      <c r="K182" s="340"/>
      <c r="L182" s="340"/>
      <c r="M182" s="340"/>
      <c r="N182" s="340"/>
      <c r="O182" s="340"/>
      <c r="P182" s="340"/>
      <c r="Q182" s="340"/>
      <c r="R182" s="340"/>
      <c r="S182" s="340">
        <v>195</v>
      </c>
      <c r="T182" s="340">
        <v>150</v>
      </c>
      <c r="U182" s="340"/>
      <c r="V182" s="340"/>
      <c r="W182" s="340"/>
      <c r="X182" s="340"/>
      <c r="Y182" s="125"/>
    </row>
    <row r="183" spans="10:25" x14ac:dyDescent="0.2">
      <c r="J183" s="340"/>
      <c r="K183" s="340"/>
      <c r="L183" s="340"/>
      <c r="M183" s="340"/>
      <c r="N183" s="340"/>
      <c r="O183" s="340"/>
      <c r="P183" s="340"/>
      <c r="Q183" s="340"/>
      <c r="R183" s="340"/>
      <c r="S183" s="340">
        <v>196</v>
      </c>
      <c r="T183" s="340">
        <v>150</v>
      </c>
      <c r="U183" s="340"/>
      <c r="V183" s="340"/>
      <c r="W183" s="340"/>
      <c r="X183" s="340"/>
      <c r="Y183" s="125"/>
    </row>
    <row r="184" spans="10:25" x14ac:dyDescent="0.2">
      <c r="J184" s="340"/>
      <c r="K184" s="340"/>
      <c r="L184" s="340"/>
      <c r="M184" s="340"/>
      <c r="N184" s="340"/>
      <c r="O184" s="340"/>
      <c r="P184" s="340"/>
      <c r="Q184" s="340"/>
      <c r="R184" s="340"/>
      <c r="S184" s="340">
        <v>197</v>
      </c>
      <c r="T184" s="340">
        <v>150</v>
      </c>
      <c r="U184" s="340"/>
      <c r="V184" s="340"/>
      <c r="W184" s="340"/>
      <c r="X184" s="340"/>
      <c r="Y184" s="125"/>
    </row>
    <row r="185" spans="10:25" x14ac:dyDescent="0.2">
      <c r="J185" s="340"/>
      <c r="K185" s="340"/>
      <c r="L185" s="340"/>
      <c r="M185" s="340"/>
      <c r="N185" s="340"/>
      <c r="O185" s="340"/>
      <c r="P185" s="340"/>
      <c r="Q185" s="340"/>
      <c r="R185" s="340"/>
      <c r="S185" s="340">
        <v>198</v>
      </c>
      <c r="T185" s="340">
        <v>150</v>
      </c>
      <c r="U185" s="340"/>
      <c r="V185" s="340"/>
      <c r="W185" s="340"/>
      <c r="X185" s="340"/>
      <c r="Y185" s="125"/>
    </row>
    <row r="186" spans="10:25" x14ac:dyDescent="0.2">
      <c r="J186" s="340"/>
      <c r="K186" s="340"/>
      <c r="L186" s="340"/>
      <c r="M186" s="340"/>
      <c r="N186" s="340"/>
      <c r="O186" s="340"/>
      <c r="P186" s="340"/>
      <c r="Q186" s="340"/>
      <c r="R186" s="340"/>
      <c r="S186" s="340">
        <v>199</v>
      </c>
      <c r="T186" s="340">
        <v>150</v>
      </c>
      <c r="U186" s="340"/>
      <c r="V186" s="340"/>
      <c r="W186" s="340"/>
      <c r="X186" s="340"/>
      <c r="Y186" s="125"/>
    </row>
    <row r="187" spans="10:25" x14ac:dyDescent="0.2">
      <c r="J187" s="340"/>
      <c r="K187" s="340"/>
      <c r="L187" s="340"/>
      <c r="M187" s="340"/>
      <c r="N187" s="340"/>
      <c r="O187" s="340"/>
      <c r="P187" s="340"/>
      <c r="Q187" s="340"/>
      <c r="R187" s="340"/>
      <c r="S187" s="340">
        <v>200</v>
      </c>
      <c r="T187" s="340">
        <v>150</v>
      </c>
      <c r="U187" s="340">
        <v>200</v>
      </c>
      <c r="V187" s="340"/>
      <c r="W187" s="340"/>
      <c r="X187" s="340"/>
      <c r="Y187" s="125"/>
    </row>
    <row r="188" spans="10:25" x14ac:dyDescent="0.2">
      <c r="J188" s="340"/>
      <c r="K188" s="340"/>
      <c r="L188" s="340"/>
      <c r="M188" s="340"/>
      <c r="N188" s="340"/>
      <c r="O188" s="340"/>
      <c r="P188" s="340"/>
      <c r="Q188" s="340"/>
      <c r="R188" s="340"/>
      <c r="S188" s="340">
        <v>201</v>
      </c>
      <c r="T188" s="340">
        <v>150</v>
      </c>
      <c r="U188" s="340"/>
      <c r="V188" s="340"/>
      <c r="W188" s="340"/>
      <c r="X188" s="340"/>
      <c r="Y188" s="125"/>
    </row>
    <row r="189" spans="10:25" x14ac:dyDescent="0.2">
      <c r="J189" s="340"/>
      <c r="K189" s="340"/>
      <c r="L189" s="340"/>
      <c r="M189" s="340"/>
      <c r="N189" s="340"/>
      <c r="O189" s="340"/>
      <c r="P189" s="340"/>
      <c r="Q189" s="340"/>
      <c r="R189" s="340"/>
      <c r="S189" s="340">
        <v>202</v>
      </c>
      <c r="T189" s="340">
        <v>150</v>
      </c>
      <c r="U189" s="340"/>
      <c r="V189" s="340"/>
      <c r="W189" s="340"/>
      <c r="X189" s="340"/>
      <c r="Y189" s="125"/>
    </row>
    <row r="190" spans="10:25" x14ac:dyDescent="0.2">
      <c r="J190" s="340"/>
      <c r="K190" s="340"/>
      <c r="L190" s="340"/>
      <c r="M190" s="340"/>
      <c r="N190" s="340"/>
      <c r="O190" s="340"/>
      <c r="P190" s="340"/>
      <c r="Q190" s="340"/>
      <c r="R190" s="340"/>
      <c r="S190" s="340">
        <v>203</v>
      </c>
      <c r="T190" s="340">
        <v>150</v>
      </c>
      <c r="U190" s="340"/>
      <c r="V190" s="340"/>
      <c r="W190" s="340"/>
      <c r="X190" s="340"/>
      <c r="Y190" s="125"/>
    </row>
    <row r="191" spans="10:25" x14ac:dyDescent="0.2">
      <c r="J191" s="340"/>
      <c r="K191" s="340"/>
      <c r="L191" s="340"/>
      <c r="M191" s="340"/>
      <c r="N191" s="340"/>
      <c r="O191" s="340"/>
      <c r="P191" s="340"/>
      <c r="Q191" s="340"/>
      <c r="R191" s="340"/>
      <c r="S191" s="340">
        <v>204</v>
      </c>
      <c r="T191" s="340">
        <v>150</v>
      </c>
      <c r="U191" s="340"/>
      <c r="V191" s="340"/>
      <c r="W191" s="340"/>
      <c r="X191" s="340"/>
      <c r="Y191" s="125"/>
    </row>
    <row r="192" spans="10:25" x14ac:dyDescent="0.2">
      <c r="J192" s="340"/>
      <c r="K192" s="340"/>
      <c r="L192" s="340"/>
      <c r="M192" s="340"/>
      <c r="N192" s="340"/>
      <c r="O192" s="340"/>
      <c r="P192" s="340"/>
      <c r="Q192" s="340"/>
      <c r="R192" s="340"/>
      <c r="S192" s="340">
        <v>205</v>
      </c>
      <c r="T192" s="340">
        <v>150</v>
      </c>
      <c r="U192" s="340"/>
      <c r="V192" s="340"/>
      <c r="W192" s="340"/>
      <c r="X192" s="340"/>
      <c r="Y192" s="125"/>
    </row>
    <row r="193" spans="10:25" x14ac:dyDescent="0.2">
      <c r="J193" s="340"/>
      <c r="K193" s="340"/>
      <c r="L193" s="340"/>
      <c r="M193" s="340"/>
      <c r="N193" s="340"/>
      <c r="O193" s="340"/>
      <c r="P193" s="340"/>
      <c r="Q193" s="340"/>
      <c r="R193" s="340"/>
      <c r="S193" s="340">
        <v>206</v>
      </c>
      <c r="T193" s="340">
        <v>150</v>
      </c>
      <c r="U193" s="340"/>
      <c r="V193" s="340"/>
      <c r="W193" s="340"/>
      <c r="X193" s="340"/>
      <c r="Y193" s="125"/>
    </row>
    <row r="194" spans="10:25" x14ac:dyDescent="0.2">
      <c r="J194" s="340"/>
      <c r="K194" s="340"/>
      <c r="L194" s="340"/>
      <c r="M194" s="340"/>
      <c r="N194" s="340"/>
      <c r="O194" s="340"/>
      <c r="P194" s="340"/>
      <c r="Q194" s="340"/>
      <c r="R194" s="340"/>
      <c r="S194" s="340">
        <v>207</v>
      </c>
      <c r="T194" s="340">
        <v>150</v>
      </c>
      <c r="U194" s="340"/>
      <c r="V194" s="340"/>
      <c r="W194" s="340"/>
      <c r="X194" s="340"/>
      <c r="Y194" s="125"/>
    </row>
    <row r="195" spans="10:25" x14ac:dyDescent="0.2">
      <c r="J195" s="340"/>
      <c r="K195" s="340"/>
      <c r="L195" s="340"/>
      <c r="M195" s="340"/>
      <c r="N195" s="340"/>
      <c r="O195" s="340"/>
      <c r="P195" s="340"/>
      <c r="Q195" s="340"/>
      <c r="R195" s="340"/>
      <c r="S195" s="340">
        <v>208</v>
      </c>
      <c r="T195" s="340">
        <v>150</v>
      </c>
      <c r="U195" s="340"/>
      <c r="V195" s="340"/>
      <c r="W195" s="340"/>
      <c r="X195" s="340"/>
      <c r="Y195" s="125"/>
    </row>
    <row r="196" spans="10:25" x14ac:dyDescent="0.2">
      <c r="J196" s="340"/>
      <c r="K196" s="340"/>
      <c r="L196" s="340"/>
      <c r="M196" s="340"/>
      <c r="N196" s="340"/>
      <c r="O196" s="340"/>
      <c r="P196" s="340"/>
      <c r="Q196" s="340"/>
      <c r="R196" s="340"/>
      <c r="S196" s="340">
        <v>209</v>
      </c>
      <c r="T196" s="340">
        <v>150</v>
      </c>
      <c r="U196" s="340"/>
      <c r="V196" s="340"/>
      <c r="W196" s="340"/>
      <c r="X196" s="340"/>
      <c r="Y196" s="125"/>
    </row>
    <row r="197" spans="10:25" x14ac:dyDescent="0.2">
      <c r="J197" s="340"/>
      <c r="K197" s="340"/>
      <c r="L197" s="340"/>
      <c r="M197" s="340"/>
      <c r="N197" s="340"/>
      <c r="O197" s="340"/>
      <c r="P197" s="340"/>
      <c r="Q197" s="340"/>
      <c r="R197" s="340"/>
      <c r="S197" s="340">
        <v>210</v>
      </c>
      <c r="T197" s="340">
        <v>150</v>
      </c>
      <c r="U197" s="340"/>
      <c r="V197" s="340"/>
      <c r="W197" s="340"/>
      <c r="X197" s="340"/>
      <c r="Y197" s="125"/>
    </row>
    <row r="198" spans="10:25" x14ac:dyDescent="0.2">
      <c r="J198" s="340"/>
      <c r="K198" s="340"/>
      <c r="L198" s="340"/>
      <c r="M198" s="340"/>
      <c r="N198" s="340"/>
      <c r="O198" s="340"/>
      <c r="P198" s="340"/>
      <c r="Q198" s="340"/>
      <c r="R198" s="340"/>
      <c r="S198" s="340">
        <v>211</v>
      </c>
      <c r="T198" s="340">
        <v>150</v>
      </c>
      <c r="U198" s="340"/>
      <c r="V198" s="340"/>
      <c r="W198" s="340"/>
      <c r="X198" s="340"/>
      <c r="Y198" s="125"/>
    </row>
    <row r="199" spans="10:25" x14ac:dyDescent="0.2">
      <c r="J199" s="340"/>
      <c r="K199" s="340"/>
      <c r="L199" s="340"/>
      <c r="M199" s="340"/>
      <c r="N199" s="340"/>
      <c r="O199" s="340"/>
      <c r="P199" s="340"/>
      <c r="Q199" s="340"/>
      <c r="R199" s="340"/>
      <c r="S199" s="340">
        <v>212</v>
      </c>
      <c r="T199" s="340">
        <v>150</v>
      </c>
      <c r="U199" s="340"/>
      <c r="V199" s="340"/>
      <c r="W199" s="340"/>
      <c r="X199" s="340"/>
      <c r="Y199" s="125"/>
    </row>
    <row r="200" spans="10:25" x14ac:dyDescent="0.2">
      <c r="J200" s="340"/>
      <c r="K200" s="340"/>
      <c r="L200" s="340"/>
      <c r="M200" s="340"/>
      <c r="N200" s="340"/>
      <c r="O200" s="340"/>
      <c r="P200" s="340"/>
      <c r="Q200" s="340"/>
      <c r="R200" s="340"/>
      <c r="S200" s="340">
        <v>213</v>
      </c>
      <c r="T200" s="340">
        <v>150</v>
      </c>
      <c r="U200" s="340"/>
      <c r="V200" s="340"/>
      <c r="W200" s="340"/>
      <c r="X200" s="340"/>
      <c r="Y200" s="125"/>
    </row>
    <row r="201" spans="10:25" x14ac:dyDescent="0.2">
      <c r="J201" s="340"/>
      <c r="K201" s="340"/>
      <c r="L201" s="340"/>
      <c r="M201" s="340"/>
      <c r="N201" s="340"/>
      <c r="O201" s="340"/>
      <c r="P201" s="340"/>
      <c r="Q201" s="340"/>
      <c r="R201" s="340"/>
      <c r="S201" s="340">
        <v>214</v>
      </c>
      <c r="T201" s="340">
        <v>150</v>
      </c>
      <c r="U201" s="340"/>
      <c r="V201" s="340"/>
      <c r="W201" s="340"/>
      <c r="X201" s="340"/>
      <c r="Y201" s="125"/>
    </row>
    <row r="202" spans="10:25" x14ac:dyDescent="0.2">
      <c r="J202" s="340"/>
      <c r="K202" s="340"/>
      <c r="L202" s="340"/>
      <c r="M202" s="340"/>
      <c r="N202" s="340"/>
      <c r="O202" s="340"/>
      <c r="P202" s="340"/>
      <c r="Q202" s="340"/>
      <c r="R202" s="340"/>
      <c r="S202" s="340">
        <v>215</v>
      </c>
      <c r="T202" s="340">
        <v>150</v>
      </c>
      <c r="U202" s="340"/>
      <c r="V202" s="340"/>
      <c r="W202" s="340"/>
      <c r="X202" s="340"/>
      <c r="Y202" s="125"/>
    </row>
    <row r="203" spans="10:25" x14ac:dyDescent="0.2">
      <c r="J203" s="340"/>
      <c r="K203" s="340"/>
      <c r="L203" s="340"/>
      <c r="M203" s="340"/>
      <c r="N203" s="340"/>
      <c r="O203" s="340"/>
      <c r="P203" s="340"/>
      <c r="Q203" s="340"/>
      <c r="R203" s="340"/>
      <c r="S203" s="340">
        <v>216</v>
      </c>
      <c r="T203" s="340">
        <v>150</v>
      </c>
      <c r="U203" s="340"/>
      <c r="V203" s="340"/>
      <c r="W203" s="340"/>
      <c r="X203" s="340"/>
      <c r="Y203" s="125"/>
    </row>
    <row r="204" spans="10:25" x14ac:dyDescent="0.2">
      <c r="J204" s="340"/>
      <c r="K204" s="340"/>
      <c r="L204" s="340"/>
      <c r="M204" s="340"/>
      <c r="N204" s="340"/>
      <c r="O204" s="340"/>
      <c r="P204" s="340"/>
      <c r="Q204" s="340"/>
      <c r="R204" s="340"/>
      <c r="S204" s="340">
        <v>217</v>
      </c>
      <c r="T204" s="340">
        <v>150</v>
      </c>
      <c r="U204" s="340"/>
      <c r="V204" s="340"/>
      <c r="W204" s="340"/>
      <c r="X204" s="340"/>
      <c r="Y204" s="125"/>
    </row>
    <row r="205" spans="10:25" x14ac:dyDescent="0.2">
      <c r="J205" s="340"/>
      <c r="K205" s="340"/>
      <c r="L205" s="340"/>
      <c r="M205" s="340"/>
      <c r="N205" s="340"/>
      <c r="O205" s="340"/>
      <c r="P205" s="340"/>
      <c r="Q205" s="340"/>
      <c r="R205" s="340"/>
      <c r="S205" s="340">
        <v>218</v>
      </c>
      <c r="T205" s="340">
        <v>150</v>
      </c>
      <c r="U205" s="340"/>
      <c r="V205" s="340"/>
      <c r="W205" s="340"/>
      <c r="X205" s="340"/>
      <c r="Y205" s="125"/>
    </row>
    <row r="206" spans="10:25" x14ac:dyDescent="0.2">
      <c r="J206" s="340"/>
      <c r="K206" s="340"/>
      <c r="L206" s="340"/>
      <c r="M206" s="340"/>
      <c r="N206" s="340"/>
      <c r="O206" s="340"/>
      <c r="P206" s="340"/>
      <c r="Q206" s="340"/>
      <c r="R206" s="340"/>
      <c r="S206" s="340">
        <v>219</v>
      </c>
      <c r="T206" s="340">
        <v>150</v>
      </c>
      <c r="U206" s="340"/>
      <c r="V206" s="340"/>
      <c r="W206" s="340"/>
      <c r="X206" s="340"/>
      <c r="Y206" s="125"/>
    </row>
    <row r="207" spans="10:25" x14ac:dyDescent="0.2">
      <c r="J207" s="340"/>
      <c r="K207" s="340"/>
      <c r="L207" s="340"/>
      <c r="M207" s="340"/>
      <c r="N207" s="340"/>
      <c r="O207" s="340"/>
      <c r="P207" s="340"/>
      <c r="Q207" s="340"/>
      <c r="R207" s="340"/>
      <c r="S207" s="340">
        <v>220</v>
      </c>
      <c r="T207" s="340">
        <v>150</v>
      </c>
      <c r="U207" s="340"/>
      <c r="V207" s="340"/>
      <c r="W207" s="340"/>
      <c r="X207" s="340"/>
      <c r="Y207" s="125"/>
    </row>
    <row r="208" spans="10:25" x14ac:dyDescent="0.2">
      <c r="J208" s="340"/>
      <c r="K208" s="340"/>
      <c r="L208" s="340"/>
      <c r="M208" s="340"/>
      <c r="N208" s="340"/>
      <c r="O208" s="340"/>
      <c r="P208" s="340"/>
      <c r="Q208" s="340"/>
      <c r="R208" s="340"/>
      <c r="S208" s="340">
        <v>221</v>
      </c>
      <c r="T208" s="340">
        <v>150</v>
      </c>
      <c r="U208" s="340"/>
      <c r="V208" s="340"/>
      <c r="W208" s="340"/>
      <c r="X208" s="340"/>
      <c r="Y208" s="125"/>
    </row>
    <row r="209" spans="10:25" x14ac:dyDescent="0.2">
      <c r="J209" s="340"/>
      <c r="K209" s="340"/>
      <c r="L209" s="340"/>
      <c r="M209" s="340"/>
      <c r="N209" s="340"/>
      <c r="O209" s="340"/>
      <c r="P209" s="340"/>
      <c r="Q209" s="340"/>
      <c r="R209" s="340"/>
      <c r="S209" s="340">
        <v>222</v>
      </c>
      <c r="T209" s="340">
        <v>150</v>
      </c>
      <c r="U209" s="340"/>
      <c r="V209" s="340"/>
      <c r="W209" s="340"/>
      <c r="X209" s="340"/>
      <c r="Y209" s="125"/>
    </row>
    <row r="210" spans="10:25" x14ac:dyDescent="0.2">
      <c r="J210" s="340"/>
      <c r="K210" s="340"/>
      <c r="L210" s="340"/>
      <c r="M210" s="340"/>
      <c r="N210" s="340"/>
      <c r="O210" s="340"/>
      <c r="P210" s="340"/>
      <c r="Q210" s="340"/>
      <c r="R210" s="340"/>
      <c r="S210" s="340">
        <v>223</v>
      </c>
      <c r="T210" s="340">
        <v>150</v>
      </c>
      <c r="U210" s="340"/>
      <c r="V210" s="340"/>
      <c r="W210" s="340"/>
      <c r="X210" s="340"/>
      <c r="Y210" s="125"/>
    </row>
    <row r="211" spans="10:25" x14ac:dyDescent="0.2">
      <c r="J211" s="340"/>
      <c r="K211" s="340"/>
      <c r="L211" s="340"/>
      <c r="M211" s="340"/>
      <c r="N211" s="340"/>
      <c r="O211" s="340"/>
      <c r="P211" s="340"/>
      <c r="Q211" s="340"/>
      <c r="R211" s="340"/>
      <c r="S211" s="340">
        <v>224</v>
      </c>
      <c r="T211" s="340">
        <v>150</v>
      </c>
      <c r="U211" s="340"/>
      <c r="V211" s="340"/>
      <c r="W211" s="340"/>
      <c r="X211" s="340"/>
      <c r="Y211" s="125"/>
    </row>
    <row r="212" spans="10:25" x14ac:dyDescent="0.2">
      <c r="J212" s="340"/>
      <c r="K212" s="340"/>
      <c r="L212" s="340"/>
      <c r="M212" s="340"/>
      <c r="N212" s="340"/>
      <c r="O212" s="340"/>
      <c r="P212" s="340"/>
      <c r="Q212" s="340"/>
      <c r="R212" s="340"/>
      <c r="S212" s="340">
        <v>225</v>
      </c>
      <c r="T212" s="340">
        <v>150</v>
      </c>
      <c r="U212" s="340"/>
      <c r="V212" s="340"/>
      <c r="W212" s="340"/>
      <c r="X212" s="340"/>
      <c r="Y212" s="125"/>
    </row>
    <row r="213" spans="10:25" x14ac:dyDescent="0.2">
      <c r="J213" s="340"/>
      <c r="K213" s="340"/>
      <c r="L213" s="340"/>
      <c r="M213" s="340"/>
      <c r="N213" s="340"/>
      <c r="O213" s="340"/>
      <c r="P213" s="340"/>
      <c r="Q213" s="340"/>
      <c r="R213" s="340"/>
      <c r="S213" s="340">
        <v>226</v>
      </c>
      <c r="T213" s="340">
        <v>150</v>
      </c>
      <c r="U213" s="340"/>
      <c r="V213" s="340"/>
      <c r="W213" s="340"/>
      <c r="X213" s="340"/>
      <c r="Y213" s="125"/>
    </row>
    <row r="214" spans="10:25" x14ac:dyDescent="0.2">
      <c r="J214" s="340"/>
      <c r="K214" s="340"/>
      <c r="L214" s="340"/>
      <c r="M214" s="340"/>
      <c r="N214" s="340"/>
      <c r="O214" s="340"/>
      <c r="P214" s="340"/>
      <c r="Q214" s="340"/>
      <c r="R214" s="340"/>
      <c r="S214" s="340">
        <v>227</v>
      </c>
      <c r="T214" s="340">
        <v>150</v>
      </c>
      <c r="U214" s="340"/>
      <c r="V214" s="340"/>
      <c r="W214" s="340"/>
      <c r="X214" s="340"/>
      <c r="Y214" s="125"/>
    </row>
    <row r="215" spans="10:25" x14ac:dyDescent="0.2">
      <c r="J215" s="340"/>
      <c r="K215" s="340"/>
      <c r="L215" s="340"/>
      <c r="M215" s="340"/>
      <c r="N215" s="340"/>
      <c r="O215" s="340"/>
      <c r="P215" s="340"/>
      <c r="Q215" s="340"/>
      <c r="R215" s="340"/>
      <c r="S215" s="340">
        <v>228</v>
      </c>
      <c r="T215" s="340">
        <v>150</v>
      </c>
      <c r="U215" s="340"/>
      <c r="V215" s="340"/>
      <c r="W215" s="340"/>
      <c r="X215" s="340"/>
      <c r="Y215" s="125"/>
    </row>
    <row r="216" spans="10:25" x14ac:dyDescent="0.2">
      <c r="J216" s="340"/>
      <c r="K216" s="340"/>
      <c r="L216" s="340"/>
      <c r="M216" s="340"/>
      <c r="N216" s="340"/>
      <c r="O216" s="340"/>
      <c r="P216" s="340"/>
      <c r="Q216" s="340"/>
      <c r="R216" s="340"/>
      <c r="S216" s="340">
        <v>229</v>
      </c>
      <c r="T216" s="340">
        <v>150</v>
      </c>
      <c r="U216" s="340"/>
      <c r="V216" s="340"/>
      <c r="W216" s="340"/>
      <c r="X216" s="340"/>
      <c r="Y216" s="125"/>
    </row>
    <row r="217" spans="10:25" x14ac:dyDescent="0.2">
      <c r="J217" s="340"/>
      <c r="K217" s="340"/>
      <c r="L217" s="340"/>
      <c r="M217" s="340"/>
      <c r="N217" s="340"/>
      <c r="O217" s="340"/>
      <c r="P217" s="340"/>
      <c r="Q217" s="340"/>
      <c r="R217" s="340"/>
      <c r="S217" s="340">
        <v>230</v>
      </c>
      <c r="T217" s="340">
        <v>150</v>
      </c>
      <c r="U217" s="340"/>
      <c r="V217" s="340"/>
      <c r="W217" s="340"/>
      <c r="X217" s="340"/>
      <c r="Y217" s="125"/>
    </row>
    <row r="218" spans="10:25" x14ac:dyDescent="0.2">
      <c r="J218" s="340"/>
      <c r="K218" s="340"/>
      <c r="L218" s="340"/>
      <c r="M218" s="340"/>
      <c r="N218" s="340"/>
      <c r="O218" s="340"/>
      <c r="P218" s="340"/>
      <c r="Q218" s="340"/>
      <c r="R218" s="340"/>
      <c r="S218" s="340">
        <v>231</v>
      </c>
      <c r="T218" s="340">
        <v>150</v>
      </c>
      <c r="U218" s="340"/>
      <c r="V218" s="340"/>
      <c r="W218" s="340"/>
      <c r="X218" s="340"/>
      <c r="Y218" s="125"/>
    </row>
    <row r="219" spans="10:25" x14ac:dyDescent="0.2">
      <c r="J219" s="340"/>
      <c r="K219" s="340"/>
      <c r="L219" s="340"/>
      <c r="M219" s="340"/>
      <c r="N219" s="340"/>
      <c r="O219" s="340"/>
      <c r="P219" s="340"/>
      <c r="Q219" s="340"/>
      <c r="R219" s="340"/>
      <c r="S219" s="340">
        <v>232</v>
      </c>
      <c r="T219" s="340">
        <v>150</v>
      </c>
      <c r="U219" s="340"/>
      <c r="V219" s="340"/>
      <c r="W219" s="340"/>
      <c r="X219" s="340"/>
      <c r="Y219" s="125"/>
    </row>
    <row r="220" spans="10:25" x14ac:dyDescent="0.2">
      <c r="J220" s="340"/>
      <c r="K220" s="340"/>
      <c r="L220" s="340"/>
      <c r="M220" s="340"/>
      <c r="N220" s="340"/>
      <c r="O220" s="340"/>
      <c r="P220" s="340"/>
      <c r="Q220" s="340"/>
      <c r="R220" s="340"/>
      <c r="S220" s="340">
        <v>233</v>
      </c>
      <c r="T220" s="340">
        <v>150</v>
      </c>
      <c r="U220" s="340"/>
      <c r="V220" s="340"/>
      <c r="W220" s="340"/>
      <c r="X220" s="340"/>
      <c r="Y220" s="125"/>
    </row>
    <row r="221" spans="10:25" x14ac:dyDescent="0.2">
      <c r="J221" s="340"/>
      <c r="K221" s="340"/>
      <c r="L221" s="340"/>
      <c r="M221" s="340"/>
      <c r="N221" s="340"/>
      <c r="O221" s="340"/>
      <c r="P221" s="340"/>
      <c r="Q221" s="340"/>
      <c r="R221" s="340"/>
      <c r="S221" s="340">
        <v>234</v>
      </c>
      <c r="T221" s="340">
        <v>150</v>
      </c>
      <c r="U221" s="340"/>
      <c r="V221" s="340"/>
      <c r="W221" s="340"/>
      <c r="X221" s="340"/>
      <c r="Y221" s="125"/>
    </row>
    <row r="222" spans="10:25" x14ac:dyDescent="0.2">
      <c r="J222" s="340"/>
      <c r="K222" s="340"/>
      <c r="L222" s="340"/>
      <c r="M222" s="340"/>
      <c r="N222" s="340"/>
      <c r="O222" s="340"/>
      <c r="P222" s="340"/>
      <c r="Q222" s="340"/>
      <c r="R222" s="340"/>
      <c r="S222" s="340">
        <v>235</v>
      </c>
      <c r="T222" s="340">
        <v>150</v>
      </c>
      <c r="U222" s="340"/>
      <c r="V222" s="340"/>
      <c r="W222" s="340"/>
      <c r="X222" s="340"/>
      <c r="Y222" s="125"/>
    </row>
    <row r="223" spans="10:25" x14ac:dyDescent="0.2">
      <c r="J223" s="340"/>
      <c r="K223" s="340"/>
      <c r="L223" s="340"/>
      <c r="M223" s="340"/>
      <c r="N223" s="340"/>
      <c r="O223" s="340"/>
      <c r="P223" s="340"/>
      <c r="Q223" s="340"/>
      <c r="R223" s="340"/>
      <c r="S223" s="340">
        <v>236</v>
      </c>
      <c r="T223" s="340">
        <v>150</v>
      </c>
      <c r="U223" s="340"/>
      <c r="V223" s="340"/>
      <c r="W223" s="340"/>
      <c r="X223" s="340"/>
      <c r="Y223" s="125"/>
    </row>
    <row r="224" spans="10:25" x14ac:dyDescent="0.2">
      <c r="J224" s="340"/>
      <c r="K224" s="340"/>
      <c r="L224" s="340"/>
      <c r="M224" s="340"/>
      <c r="N224" s="340"/>
      <c r="O224" s="340"/>
      <c r="P224" s="340"/>
      <c r="Q224" s="340"/>
      <c r="R224" s="340"/>
      <c r="S224" s="340">
        <v>237</v>
      </c>
      <c r="T224" s="340">
        <v>150</v>
      </c>
      <c r="U224" s="340"/>
      <c r="V224" s="340"/>
      <c r="W224" s="340"/>
      <c r="X224" s="340"/>
      <c r="Y224" s="125"/>
    </row>
    <row r="225" spans="10:25" x14ac:dyDescent="0.2">
      <c r="J225" s="340"/>
      <c r="K225" s="340"/>
      <c r="L225" s="340"/>
      <c r="M225" s="340"/>
      <c r="N225" s="340"/>
      <c r="O225" s="340"/>
      <c r="P225" s="340"/>
      <c r="Q225" s="340"/>
      <c r="R225" s="340"/>
      <c r="S225" s="340">
        <v>238</v>
      </c>
      <c r="T225" s="340">
        <v>150</v>
      </c>
      <c r="U225" s="340"/>
      <c r="V225" s="340"/>
      <c r="W225" s="340"/>
      <c r="X225" s="340"/>
      <c r="Y225" s="125"/>
    </row>
    <row r="226" spans="10:25" x14ac:dyDescent="0.2">
      <c r="J226" s="340"/>
      <c r="K226" s="340"/>
      <c r="L226" s="340"/>
      <c r="M226" s="340"/>
      <c r="N226" s="340"/>
      <c r="O226" s="340"/>
      <c r="P226" s="340"/>
      <c r="Q226" s="340"/>
      <c r="R226" s="340"/>
      <c r="S226" s="340">
        <v>239</v>
      </c>
      <c r="T226" s="340">
        <v>150</v>
      </c>
      <c r="U226" s="340"/>
      <c r="V226" s="340"/>
      <c r="W226" s="340"/>
      <c r="X226" s="340"/>
      <c r="Y226" s="125"/>
    </row>
    <row r="227" spans="10:25" x14ac:dyDescent="0.2">
      <c r="J227" s="340"/>
      <c r="K227" s="340"/>
      <c r="L227" s="340"/>
      <c r="M227" s="340"/>
      <c r="N227" s="340"/>
      <c r="O227" s="340"/>
      <c r="P227" s="340"/>
      <c r="Q227" s="340"/>
      <c r="R227" s="340"/>
      <c r="S227" s="340">
        <v>240</v>
      </c>
      <c r="T227" s="340">
        <v>150</v>
      </c>
      <c r="U227" s="340"/>
      <c r="V227" s="340"/>
      <c r="W227" s="340"/>
      <c r="X227" s="340"/>
      <c r="Y227" s="125"/>
    </row>
    <row r="228" spans="10:25" x14ac:dyDescent="0.2">
      <c r="J228" s="340"/>
      <c r="K228" s="340"/>
      <c r="L228" s="340"/>
      <c r="M228" s="340"/>
      <c r="N228" s="340"/>
      <c r="O228" s="340"/>
      <c r="P228" s="340"/>
      <c r="Q228" s="340"/>
      <c r="R228" s="340"/>
      <c r="S228" s="340">
        <v>241</v>
      </c>
      <c r="T228" s="340">
        <v>150</v>
      </c>
      <c r="U228" s="340"/>
      <c r="V228" s="340"/>
      <c r="W228" s="340"/>
      <c r="X228" s="340"/>
      <c r="Y228" s="125"/>
    </row>
    <row r="229" spans="10:25" x14ac:dyDescent="0.2">
      <c r="J229" s="340"/>
      <c r="K229" s="340"/>
      <c r="L229" s="340"/>
      <c r="M229" s="340"/>
      <c r="N229" s="340"/>
      <c r="O229" s="340"/>
      <c r="P229" s="340"/>
      <c r="Q229" s="340"/>
      <c r="R229" s="340"/>
      <c r="S229" s="340">
        <v>242</v>
      </c>
      <c r="T229" s="340">
        <v>150</v>
      </c>
      <c r="U229" s="340"/>
      <c r="V229" s="340"/>
      <c r="W229" s="340"/>
      <c r="X229" s="340"/>
      <c r="Y229" s="125"/>
    </row>
    <row r="230" spans="10:25" x14ac:dyDescent="0.2">
      <c r="J230" s="340"/>
      <c r="K230" s="340"/>
      <c r="L230" s="340"/>
      <c r="M230" s="340"/>
      <c r="N230" s="340"/>
      <c r="O230" s="340"/>
      <c r="P230" s="340"/>
      <c r="Q230" s="340"/>
      <c r="R230" s="340"/>
      <c r="S230" s="340">
        <v>243</v>
      </c>
      <c r="T230" s="340">
        <v>150</v>
      </c>
      <c r="U230" s="340"/>
      <c r="V230" s="340"/>
      <c r="W230" s="340"/>
      <c r="X230" s="340"/>
      <c r="Y230" s="125"/>
    </row>
    <row r="231" spans="10:25" x14ac:dyDescent="0.2">
      <c r="J231" s="340"/>
      <c r="K231" s="340"/>
      <c r="L231" s="340"/>
      <c r="M231" s="340"/>
      <c r="N231" s="340"/>
      <c r="O231" s="340"/>
      <c r="P231" s="340"/>
      <c r="Q231" s="340"/>
      <c r="R231" s="340"/>
      <c r="S231" s="340">
        <v>244</v>
      </c>
      <c r="T231" s="340">
        <v>150</v>
      </c>
      <c r="U231" s="340"/>
      <c r="V231" s="340"/>
      <c r="W231" s="340"/>
      <c r="X231" s="340"/>
      <c r="Y231" s="125"/>
    </row>
    <row r="232" spans="10:25" x14ac:dyDescent="0.2">
      <c r="J232" s="340"/>
      <c r="K232" s="340"/>
      <c r="L232" s="340"/>
      <c r="M232" s="340"/>
      <c r="N232" s="340"/>
      <c r="O232" s="340"/>
      <c r="P232" s="340"/>
      <c r="Q232" s="340"/>
      <c r="R232" s="340"/>
      <c r="S232" s="340">
        <v>245</v>
      </c>
      <c r="T232" s="340">
        <v>150</v>
      </c>
      <c r="U232" s="340"/>
      <c r="V232" s="340"/>
      <c r="W232" s="340"/>
      <c r="X232" s="340"/>
      <c r="Y232" s="125"/>
    </row>
    <row r="233" spans="10:25" x14ac:dyDescent="0.2">
      <c r="J233" s="340"/>
      <c r="K233" s="340"/>
      <c r="L233" s="340"/>
      <c r="M233" s="340"/>
      <c r="N233" s="340"/>
      <c r="O233" s="340"/>
      <c r="P233" s="340"/>
      <c r="Q233" s="340"/>
      <c r="R233" s="340"/>
      <c r="S233" s="340">
        <v>246</v>
      </c>
      <c r="T233" s="340">
        <v>150</v>
      </c>
      <c r="U233" s="340"/>
      <c r="V233" s="340"/>
      <c r="W233" s="340"/>
      <c r="X233" s="340"/>
      <c r="Y233" s="125"/>
    </row>
    <row r="234" spans="10:25" x14ac:dyDescent="0.2">
      <c r="J234" s="340"/>
      <c r="K234" s="340"/>
      <c r="L234" s="340"/>
      <c r="M234" s="340"/>
      <c r="N234" s="340"/>
      <c r="O234" s="340"/>
      <c r="P234" s="340"/>
      <c r="Q234" s="340"/>
      <c r="R234" s="340"/>
      <c r="S234" s="340">
        <v>247</v>
      </c>
      <c r="T234" s="340">
        <v>150</v>
      </c>
      <c r="U234" s="340"/>
      <c r="V234" s="340"/>
      <c r="W234" s="340"/>
      <c r="X234" s="340"/>
      <c r="Y234" s="125"/>
    </row>
    <row r="235" spans="10:25" x14ac:dyDescent="0.2">
      <c r="J235" s="340"/>
      <c r="K235" s="340"/>
      <c r="L235" s="340"/>
      <c r="M235" s="340"/>
      <c r="N235" s="340"/>
      <c r="O235" s="340"/>
      <c r="P235" s="340"/>
      <c r="Q235" s="340"/>
      <c r="R235" s="340"/>
      <c r="S235" s="340">
        <v>248</v>
      </c>
      <c r="T235" s="340">
        <v>150</v>
      </c>
      <c r="U235" s="340"/>
      <c r="V235" s="340"/>
      <c r="W235" s="340"/>
      <c r="X235" s="340"/>
      <c r="Y235" s="125"/>
    </row>
    <row r="236" spans="10:25" x14ac:dyDescent="0.2">
      <c r="J236" s="340"/>
      <c r="K236" s="340"/>
      <c r="L236" s="340"/>
      <c r="M236" s="340"/>
      <c r="N236" s="340"/>
      <c r="O236" s="340"/>
      <c r="P236" s="340"/>
      <c r="Q236" s="340"/>
      <c r="R236" s="340"/>
      <c r="S236" s="340">
        <v>249</v>
      </c>
      <c r="T236" s="340">
        <v>150</v>
      </c>
      <c r="U236" s="340"/>
      <c r="V236" s="340"/>
      <c r="W236" s="340"/>
      <c r="X236" s="340"/>
      <c r="Y236" s="125"/>
    </row>
    <row r="237" spans="10:25" x14ac:dyDescent="0.2">
      <c r="J237" s="340"/>
      <c r="K237" s="340"/>
      <c r="L237" s="340"/>
      <c r="M237" s="340"/>
      <c r="N237" s="340"/>
      <c r="O237" s="340"/>
      <c r="P237" s="340"/>
      <c r="Q237" s="340"/>
      <c r="R237" s="340"/>
      <c r="S237" s="340">
        <v>250</v>
      </c>
      <c r="T237" s="340">
        <v>150</v>
      </c>
      <c r="U237" s="340"/>
      <c r="V237" s="340"/>
      <c r="W237" s="340"/>
      <c r="X237" s="340"/>
      <c r="Y237" s="125"/>
    </row>
    <row r="238" spans="10:25" x14ac:dyDescent="0.2">
      <c r="J238" s="340"/>
      <c r="K238" s="340"/>
      <c r="L238" s="340"/>
      <c r="M238" s="340"/>
      <c r="N238" s="340"/>
      <c r="O238" s="340"/>
      <c r="P238" s="340"/>
      <c r="Q238" s="340"/>
      <c r="R238" s="340"/>
      <c r="S238" s="340">
        <v>251</v>
      </c>
      <c r="T238" s="340">
        <v>150</v>
      </c>
      <c r="U238" s="340"/>
      <c r="V238" s="340"/>
      <c r="W238" s="340"/>
      <c r="X238" s="340"/>
      <c r="Y238" s="125"/>
    </row>
    <row r="239" spans="10:25" x14ac:dyDescent="0.2">
      <c r="J239" s="340"/>
      <c r="K239" s="340"/>
      <c r="L239" s="340"/>
      <c r="M239" s="340"/>
      <c r="N239" s="340"/>
      <c r="O239" s="340"/>
      <c r="P239" s="340"/>
      <c r="Q239" s="340"/>
      <c r="R239" s="340"/>
      <c r="S239" s="340">
        <v>252</v>
      </c>
      <c r="T239" s="340">
        <v>150</v>
      </c>
      <c r="U239" s="340"/>
      <c r="V239" s="340"/>
      <c r="W239" s="340"/>
      <c r="X239" s="340"/>
      <c r="Y239" s="125"/>
    </row>
    <row r="240" spans="10:25" x14ac:dyDescent="0.2">
      <c r="J240" s="340"/>
      <c r="K240" s="340"/>
      <c r="L240" s="340"/>
      <c r="M240" s="340"/>
      <c r="N240" s="340"/>
      <c r="O240" s="340"/>
      <c r="P240" s="340"/>
      <c r="Q240" s="340"/>
      <c r="R240" s="340"/>
      <c r="S240" s="340">
        <v>253</v>
      </c>
      <c r="T240" s="340">
        <v>150</v>
      </c>
      <c r="U240" s="340"/>
      <c r="V240" s="340"/>
      <c r="W240" s="340"/>
      <c r="X240" s="340"/>
      <c r="Y240" s="125"/>
    </row>
    <row r="241" spans="10:25" x14ac:dyDescent="0.2">
      <c r="J241" s="340"/>
      <c r="K241" s="340"/>
      <c r="L241" s="340"/>
      <c r="M241" s="340"/>
      <c r="N241" s="340"/>
      <c r="O241" s="340"/>
      <c r="P241" s="340"/>
      <c r="Q241" s="340"/>
      <c r="R241" s="340"/>
      <c r="S241" s="340">
        <v>254</v>
      </c>
      <c r="T241" s="340">
        <v>150</v>
      </c>
      <c r="U241" s="340"/>
      <c r="V241" s="340"/>
      <c r="W241" s="340"/>
      <c r="X241" s="340"/>
      <c r="Y241" s="125"/>
    </row>
    <row r="242" spans="10:25" x14ac:dyDescent="0.2">
      <c r="J242" s="340"/>
      <c r="K242" s="340"/>
      <c r="L242" s="340"/>
      <c r="M242" s="340"/>
      <c r="N242" s="340"/>
      <c r="O242" s="340"/>
      <c r="P242" s="340"/>
      <c r="Q242" s="340"/>
      <c r="R242" s="340"/>
      <c r="S242" s="340">
        <v>255</v>
      </c>
      <c r="T242" s="340">
        <v>150</v>
      </c>
      <c r="U242" s="340"/>
      <c r="V242" s="340"/>
      <c r="W242" s="340"/>
      <c r="X242" s="340"/>
      <c r="Y242" s="125"/>
    </row>
    <row r="243" spans="10:25" x14ac:dyDescent="0.2">
      <c r="J243" s="340"/>
      <c r="K243" s="340"/>
      <c r="L243" s="340"/>
      <c r="M243" s="340"/>
      <c r="N243" s="340"/>
      <c r="O243" s="340"/>
      <c r="P243" s="340"/>
      <c r="Q243" s="340"/>
      <c r="R243" s="340"/>
      <c r="S243" s="340">
        <v>256</v>
      </c>
      <c r="T243" s="340">
        <v>150</v>
      </c>
      <c r="U243" s="340"/>
      <c r="V243" s="340"/>
      <c r="W243" s="340"/>
      <c r="X243" s="340"/>
      <c r="Y243" s="125"/>
    </row>
    <row r="244" spans="10:25" x14ac:dyDescent="0.2">
      <c r="J244" s="340"/>
      <c r="K244" s="340"/>
      <c r="L244" s="340"/>
      <c r="M244" s="340"/>
      <c r="N244" s="340"/>
      <c r="O244" s="340"/>
      <c r="P244" s="340"/>
      <c r="Q244" s="340"/>
      <c r="R244" s="340"/>
      <c r="S244" s="340">
        <v>257</v>
      </c>
      <c r="T244" s="340">
        <v>150</v>
      </c>
      <c r="U244" s="340"/>
      <c r="V244" s="340"/>
      <c r="W244" s="340"/>
      <c r="X244" s="340"/>
      <c r="Y244" s="125"/>
    </row>
    <row r="245" spans="10:25" x14ac:dyDescent="0.2">
      <c r="J245" s="340"/>
      <c r="K245" s="340"/>
      <c r="L245" s="340"/>
      <c r="M245" s="340"/>
      <c r="N245" s="340"/>
      <c r="O245" s="340"/>
      <c r="P245" s="340"/>
      <c r="Q245" s="340"/>
      <c r="R245" s="340"/>
      <c r="S245" s="340">
        <v>258</v>
      </c>
      <c r="T245" s="340">
        <v>150</v>
      </c>
      <c r="U245" s="340"/>
      <c r="V245" s="340"/>
      <c r="W245" s="340"/>
      <c r="X245" s="340"/>
      <c r="Y245" s="125"/>
    </row>
    <row r="246" spans="10:25" x14ac:dyDescent="0.2">
      <c r="J246" s="340"/>
      <c r="K246" s="340"/>
      <c r="L246" s="340"/>
      <c r="M246" s="340"/>
      <c r="N246" s="340"/>
      <c r="O246" s="340"/>
      <c r="P246" s="340"/>
      <c r="Q246" s="340"/>
      <c r="R246" s="340"/>
      <c r="S246" s="340">
        <v>259</v>
      </c>
      <c r="T246" s="340">
        <v>150</v>
      </c>
      <c r="U246" s="340"/>
      <c r="V246" s="340"/>
      <c r="W246" s="340"/>
      <c r="X246" s="340"/>
      <c r="Y246" s="125"/>
    </row>
    <row r="247" spans="10:25" x14ac:dyDescent="0.2">
      <c r="J247" s="340"/>
      <c r="K247" s="340"/>
      <c r="L247" s="340"/>
      <c r="M247" s="340"/>
      <c r="N247" s="340"/>
      <c r="O247" s="340"/>
      <c r="P247" s="340"/>
      <c r="Q247" s="340"/>
      <c r="R247" s="340"/>
      <c r="S247" s="340">
        <v>260</v>
      </c>
      <c r="T247" s="340">
        <v>150</v>
      </c>
      <c r="U247" s="340"/>
      <c r="V247" s="340"/>
      <c r="W247" s="340"/>
      <c r="X247" s="340"/>
      <c r="Y247" s="125"/>
    </row>
    <row r="248" spans="10:25" x14ac:dyDescent="0.2">
      <c r="J248" s="340"/>
      <c r="K248" s="340"/>
      <c r="L248" s="340"/>
      <c r="M248" s="340"/>
      <c r="N248" s="340"/>
      <c r="O248" s="340"/>
      <c r="P248" s="340"/>
      <c r="Q248" s="340"/>
      <c r="R248" s="340"/>
      <c r="S248" s="340">
        <v>261</v>
      </c>
      <c r="T248" s="340">
        <v>150</v>
      </c>
      <c r="U248" s="340"/>
      <c r="V248" s="340"/>
      <c r="W248" s="340"/>
      <c r="X248" s="340"/>
      <c r="Y248" s="125"/>
    </row>
    <row r="249" spans="10:25" x14ac:dyDescent="0.2">
      <c r="J249" s="340"/>
      <c r="K249" s="340"/>
      <c r="L249" s="340"/>
      <c r="M249" s="340"/>
      <c r="N249" s="340"/>
      <c r="O249" s="340"/>
      <c r="P249" s="340"/>
      <c r="Q249" s="340"/>
      <c r="R249" s="340"/>
      <c r="S249" s="340">
        <v>262</v>
      </c>
      <c r="T249" s="340">
        <v>150</v>
      </c>
      <c r="U249" s="340"/>
      <c r="V249" s="340"/>
      <c r="W249" s="340"/>
      <c r="X249" s="340"/>
      <c r="Y249" s="125"/>
    </row>
    <row r="250" spans="10:25" x14ac:dyDescent="0.2">
      <c r="J250" s="340"/>
      <c r="K250" s="340"/>
      <c r="L250" s="340"/>
      <c r="M250" s="340"/>
      <c r="N250" s="340"/>
      <c r="O250" s="340"/>
      <c r="P250" s="340"/>
      <c r="Q250" s="340"/>
      <c r="R250" s="340"/>
      <c r="S250" s="340">
        <v>263</v>
      </c>
      <c r="T250" s="340">
        <v>150</v>
      </c>
      <c r="U250" s="340"/>
      <c r="V250" s="340"/>
      <c r="W250" s="340"/>
      <c r="X250" s="340"/>
      <c r="Y250" s="125"/>
    </row>
    <row r="251" spans="10:25" x14ac:dyDescent="0.2">
      <c r="J251" s="340"/>
      <c r="K251" s="340"/>
      <c r="L251" s="340"/>
      <c r="M251" s="340"/>
      <c r="N251" s="340"/>
      <c r="O251" s="340"/>
      <c r="P251" s="340"/>
      <c r="Q251" s="340"/>
      <c r="R251" s="340"/>
      <c r="S251" s="340">
        <v>264</v>
      </c>
      <c r="T251" s="340">
        <v>150</v>
      </c>
      <c r="U251" s="340"/>
      <c r="V251" s="340"/>
      <c r="W251" s="340"/>
      <c r="X251" s="340"/>
      <c r="Y251" s="125"/>
    </row>
    <row r="252" spans="10:25" x14ac:dyDescent="0.2">
      <c r="J252" s="340"/>
      <c r="K252" s="340"/>
      <c r="L252" s="340"/>
      <c r="M252" s="340"/>
      <c r="N252" s="340"/>
      <c r="O252" s="340"/>
      <c r="P252" s="340"/>
      <c r="Q252" s="340"/>
      <c r="R252" s="340"/>
      <c r="S252" s="340">
        <v>265</v>
      </c>
      <c r="T252" s="340">
        <v>150</v>
      </c>
      <c r="U252" s="340"/>
      <c r="V252" s="340"/>
      <c r="W252" s="340"/>
      <c r="X252" s="340"/>
      <c r="Y252" s="125"/>
    </row>
    <row r="253" spans="10:25" x14ac:dyDescent="0.2">
      <c r="J253" s="340"/>
      <c r="K253" s="340"/>
      <c r="L253" s="340"/>
      <c r="M253" s="340"/>
      <c r="N253" s="340"/>
      <c r="O253" s="340"/>
      <c r="P253" s="340"/>
      <c r="Q253" s="340"/>
      <c r="R253" s="340"/>
      <c r="S253" s="340">
        <v>266</v>
      </c>
      <c r="T253" s="340">
        <v>150</v>
      </c>
      <c r="U253" s="340"/>
      <c r="V253" s="340"/>
      <c r="W253" s="340"/>
      <c r="X253" s="340"/>
      <c r="Y253" s="125"/>
    </row>
    <row r="254" spans="10:25" x14ac:dyDescent="0.2">
      <c r="J254" s="340"/>
      <c r="K254" s="340"/>
      <c r="L254" s="340"/>
      <c r="M254" s="340"/>
      <c r="N254" s="340"/>
      <c r="O254" s="340"/>
      <c r="P254" s="340"/>
      <c r="Q254" s="340"/>
      <c r="R254" s="340"/>
      <c r="S254" s="340">
        <v>267</v>
      </c>
      <c r="T254" s="340">
        <v>150</v>
      </c>
      <c r="U254" s="340"/>
      <c r="V254" s="340"/>
      <c r="W254" s="340"/>
      <c r="X254" s="340"/>
      <c r="Y254" s="125"/>
    </row>
    <row r="255" spans="10:25" x14ac:dyDescent="0.2">
      <c r="J255" s="340"/>
      <c r="K255" s="340"/>
      <c r="L255" s="340"/>
      <c r="M255" s="340"/>
      <c r="N255" s="340"/>
      <c r="O255" s="340"/>
      <c r="P255" s="340"/>
      <c r="Q255" s="340"/>
      <c r="R255" s="340"/>
      <c r="S255" s="340">
        <v>268</v>
      </c>
      <c r="T255" s="340">
        <v>150</v>
      </c>
      <c r="U255" s="340"/>
      <c r="V255" s="340"/>
      <c r="W255" s="340"/>
      <c r="X255" s="340"/>
      <c r="Y255" s="125"/>
    </row>
    <row r="256" spans="10:25" x14ac:dyDescent="0.2">
      <c r="J256" s="340"/>
      <c r="K256" s="340"/>
      <c r="L256" s="340"/>
      <c r="M256" s="340"/>
      <c r="N256" s="340"/>
      <c r="O256" s="340"/>
      <c r="P256" s="340"/>
      <c r="Q256" s="340"/>
      <c r="R256" s="340"/>
      <c r="S256" s="340">
        <v>269</v>
      </c>
      <c r="T256" s="340">
        <v>150</v>
      </c>
      <c r="U256" s="340"/>
      <c r="V256" s="340"/>
      <c r="W256" s="340"/>
      <c r="X256" s="340"/>
      <c r="Y256" s="125"/>
    </row>
    <row r="257" spans="10:25" x14ac:dyDescent="0.2">
      <c r="J257" s="340"/>
      <c r="K257" s="340"/>
      <c r="L257" s="340"/>
      <c r="M257" s="340"/>
      <c r="N257" s="340"/>
      <c r="O257" s="340"/>
      <c r="P257" s="340"/>
      <c r="Q257" s="340"/>
      <c r="R257" s="340"/>
      <c r="S257" s="340">
        <v>270</v>
      </c>
      <c r="T257" s="340">
        <v>150</v>
      </c>
      <c r="U257" s="340"/>
      <c r="V257" s="340"/>
      <c r="W257" s="340"/>
      <c r="X257" s="340"/>
      <c r="Y257" s="125"/>
    </row>
    <row r="258" spans="10:25" x14ac:dyDescent="0.2">
      <c r="J258" s="340"/>
      <c r="K258" s="340"/>
      <c r="L258" s="340"/>
      <c r="M258" s="340"/>
      <c r="N258" s="340"/>
      <c r="O258" s="340"/>
      <c r="P258" s="340"/>
      <c r="Q258" s="340"/>
      <c r="R258" s="340"/>
      <c r="S258" s="340">
        <v>271</v>
      </c>
      <c r="T258" s="340">
        <v>150</v>
      </c>
      <c r="U258" s="340"/>
      <c r="V258" s="340"/>
      <c r="W258" s="340"/>
      <c r="X258" s="340"/>
      <c r="Y258" s="125"/>
    </row>
    <row r="259" spans="10:25" x14ac:dyDescent="0.2">
      <c r="J259" s="340"/>
      <c r="K259" s="340"/>
      <c r="L259" s="340"/>
      <c r="M259" s="340"/>
      <c r="N259" s="340"/>
      <c r="O259" s="340"/>
      <c r="P259" s="340"/>
      <c r="Q259" s="340"/>
      <c r="R259" s="340"/>
      <c r="S259" s="340">
        <v>272</v>
      </c>
      <c r="T259" s="340">
        <v>150</v>
      </c>
      <c r="U259" s="340"/>
      <c r="V259" s="340"/>
      <c r="W259" s="340"/>
      <c r="X259" s="340"/>
      <c r="Y259" s="125"/>
    </row>
    <row r="260" spans="10:25" x14ac:dyDescent="0.2">
      <c r="J260" s="340"/>
      <c r="K260" s="340"/>
      <c r="L260" s="340"/>
      <c r="M260" s="340"/>
      <c r="N260" s="340"/>
      <c r="O260" s="340"/>
      <c r="P260" s="340"/>
      <c r="Q260" s="340"/>
      <c r="R260" s="340"/>
      <c r="S260" s="340">
        <v>273</v>
      </c>
      <c r="T260" s="340">
        <v>150</v>
      </c>
      <c r="U260" s="340"/>
      <c r="V260" s="340"/>
      <c r="W260" s="340"/>
      <c r="X260" s="340"/>
      <c r="Y260" s="125"/>
    </row>
    <row r="261" spans="10:25" x14ac:dyDescent="0.2">
      <c r="J261" s="340"/>
      <c r="K261" s="340"/>
      <c r="L261" s="340"/>
      <c r="M261" s="340"/>
      <c r="N261" s="340"/>
      <c r="O261" s="340"/>
      <c r="P261" s="340"/>
      <c r="Q261" s="340"/>
      <c r="R261" s="340"/>
      <c r="S261" s="340">
        <v>274</v>
      </c>
      <c r="T261" s="340">
        <v>150</v>
      </c>
      <c r="U261" s="340"/>
      <c r="V261" s="340"/>
      <c r="W261" s="340"/>
      <c r="X261" s="340"/>
      <c r="Y261" s="125"/>
    </row>
    <row r="262" spans="10:25" x14ac:dyDescent="0.2">
      <c r="J262" s="340"/>
      <c r="K262" s="340"/>
      <c r="L262" s="340"/>
      <c r="M262" s="340"/>
      <c r="N262" s="340"/>
      <c r="O262" s="340"/>
      <c r="P262" s="340"/>
      <c r="Q262" s="340"/>
      <c r="R262" s="340"/>
      <c r="S262" s="340">
        <v>275</v>
      </c>
      <c r="T262" s="340">
        <v>150</v>
      </c>
      <c r="U262" s="340"/>
      <c r="V262" s="340"/>
      <c r="W262" s="340"/>
      <c r="X262" s="340"/>
      <c r="Y262" s="125"/>
    </row>
    <row r="263" spans="10:25" x14ac:dyDescent="0.2">
      <c r="J263" s="340"/>
      <c r="K263" s="340"/>
      <c r="L263" s="340"/>
      <c r="M263" s="340"/>
      <c r="N263" s="340"/>
      <c r="O263" s="340"/>
      <c r="P263" s="340"/>
      <c r="Q263" s="340"/>
      <c r="R263" s="340"/>
      <c r="S263" s="340">
        <v>276</v>
      </c>
      <c r="T263" s="340">
        <v>150</v>
      </c>
      <c r="U263" s="340"/>
      <c r="V263" s="340"/>
      <c r="W263" s="340"/>
      <c r="X263" s="340"/>
      <c r="Y263" s="125"/>
    </row>
    <row r="264" spans="10:25" x14ac:dyDescent="0.2">
      <c r="J264" s="340"/>
      <c r="K264" s="340"/>
      <c r="L264" s="340"/>
      <c r="M264" s="340"/>
      <c r="N264" s="340"/>
      <c r="O264" s="340"/>
      <c r="P264" s="340"/>
      <c r="Q264" s="340"/>
      <c r="R264" s="340"/>
      <c r="S264" s="340">
        <v>277</v>
      </c>
      <c r="T264" s="340">
        <v>150</v>
      </c>
      <c r="U264" s="340"/>
      <c r="V264" s="340"/>
      <c r="W264" s="340"/>
      <c r="X264" s="340"/>
      <c r="Y264" s="125"/>
    </row>
    <row r="265" spans="10:25" x14ac:dyDescent="0.2">
      <c r="J265" s="340"/>
      <c r="K265" s="340"/>
      <c r="L265" s="340"/>
      <c r="M265" s="340"/>
      <c r="N265" s="340"/>
      <c r="O265" s="340"/>
      <c r="P265" s="340"/>
      <c r="Q265" s="340"/>
      <c r="R265" s="340"/>
      <c r="S265" s="340">
        <v>278</v>
      </c>
      <c r="T265" s="340">
        <v>150</v>
      </c>
      <c r="U265" s="340"/>
      <c r="V265" s="340"/>
      <c r="W265" s="340"/>
      <c r="X265" s="340"/>
      <c r="Y265" s="125"/>
    </row>
    <row r="266" spans="10:25" x14ac:dyDescent="0.2">
      <c r="J266" s="340"/>
      <c r="K266" s="340"/>
      <c r="L266" s="340"/>
      <c r="M266" s="340"/>
      <c r="N266" s="340"/>
      <c r="O266" s="340"/>
      <c r="P266" s="340"/>
      <c r="Q266" s="340"/>
      <c r="R266" s="340"/>
      <c r="S266" s="340">
        <v>279</v>
      </c>
      <c r="T266" s="340">
        <v>150</v>
      </c>
      <c r="U266" s="340"/>
      <c r="V266" s="340"/>
      <c r="W266" s="340"/>
      <c r="X266" s="340"/>
      <c r="Y266" s="125"/>
    </row>
    <row r="267" spans="10:25" x14ac:dyDescent="0.2">
      <c r="J267" s="340"/>
      <c r="K267" s="340"/>
      <c r="L267" s="340"/>
      <c r="M267" s="340"/>
      <c r="N267" s="340"/>
      <c r="O267" s="340"/>
      <c r="P267" s="340"/>
      <c r="Q267" s="340"/>
      <c r="R267" s="340"/>
      <c r="S267" s="340">
        <v>280</v>
      </c>
      <c r="T267" s="340">
        <v>150</v>
      </c>
      <c r="U267" s="340"/>
      <c r="V267" s="340"/>
      <c r="W267" s="340"/>
      <c r="X267" s="340"/>
      <c r="Y267" s="125"/>
    </row>
    <row r="268" spans="10:25" x14ac:dyDescent="0.2">
      <c r="J268" s="340"/>
      <c r="K268" s="340"/>
      <c r="L268" s="340"/>
      <c r="M268" s="340"/>
      <c r="N268" s="340"/>
      <c r="O268" s="340"/>
      <c r="P268" s="340"/>
      <c r="Q268" s="340"/>
      <c r="R268" s="340"/>
      <c r="S268" s="340">
        <v>281</v>
      </c>
      <c r="T268" s="340">
        <v>150</v>
      </c>
      <c r="U268" s="340"/>
      <c r="V268" s="340"/>
      <c r="W268" s="340"/>
      <c r="X268" s="340"/>
      <c r="Y268" s="125"/>
    </row>
    <row r="269" spans="10:25" x14ac:dyDescent="0.2">
      <c r="J269" s="340"/>
      <c r="K269" s="340"/>
      <c r="L269" s="340"/>
      <c r="M269" s="340"/>
      <c r="N269" s="340"/>
      <c r="O269" s="340"/>
      <c r="P269" s="340"/>
      <c r="Q269" s="340"/>
      <c r="R269" s="340"/>
      <c r="S269" s="340">
        <v>282</v>
      </c>
      <c r="T269" s="340">
        <v>150</v>
      </c>
      <c r="U269" s="340"/>
      <c r="V269" s="340"/>
      <c r="W269" s="340"/>
      <c r="X269" s="340"/>
      <c r="Y269" s="125"/>
    </row>
    <row r="270" spans="10:25" x14ac:dyDescent="0.2">
      <c r="J270" s="340"/>
      <c r="K270" s="340"/>
      <c r="L270" s="340"/>
      <c r="M270" s="340"/>
      <c r="N270" s="340"/>
      <c r="O270" s="340"/>
      <c r="P270" s="340"/>
      <c r="Q270" s="340"/>
      <c r="R270" s="340"/>
      <c r="S270" s="340">
        <v>283</v>
      </c>
      <c r="T270" s="340">
        <v>150</v>
      </c>
      <c r="U270" s="340"/>
      <c r="V270" s="340"/>
      <c r="W270" s="340"/>
      <c r="X270" s="340"/>
      <c r="Y270" s="125"/>
    </row>
    <row r="271" spans="10:25" x14ac:dyDescent="0.2">
      <c r="J271" s="340"/>
      <c r="K271" s="340"/>
      <c r="L271" s="340"/>
      <c r="M271" s="340"/>
      <c r="N271" s="340"/>
      <c r="O271" s="340"/>
      <c r="P271" s="340"/>
      <c r="Q271" s="340"/>
      <c r="R271" s="340"/>
      <c r="S271" s="340">
        <v>284</v>
      </c>
      <c r="T271" s="340">
        <v>150</v>
      </c>
      <c r="U271" s="340"/>
      <c r="V271" s="340"/>
      <c r="W271" s="340"/>
      <c r="X271" s="340"/>
      <c r="Y271" s="125"/>
    </row>
    <row r="272" spans="10:25" x14ac:dyDescent="0.2">
      <c r="J272" s="340"/>
      <c r="K272" s="340"/>
      <c r="L272" s="340"/>
      <c r="M272" s="340"/>
      <c r="N272" s="340"/>
      <c r="O272" s="340"/>
      <c r="P272" s="340"/>
      <c r="Q272" s="340"/>
      <c r="R272" s="340"/>
      <c r="S272" s="340">
        <v>285</v>
      </c>
      <c r="T272" s="340">
        <v>150</v>
      </c>
      <c r="U272" s="340"/>
      <c r="V272" s="340"/>
      <c r="W272" s="340"/>
      <c r="X272" s="340"/>
      <c r="Y272" s="125"/>
    </row>
    <row r="273" spans="10:25" x14ac:dyDescent="0.2">
      <c r="J273" s="340"/>
      <c r="K273" s="340"/>
      <c r="L273" s="340"/>
      <c r="M273" s="340"/>
      <c r="N273" s="340"/>
      <c r="O273" s="340"/>
      <c r="P273" s="340"/>
      <c r="Q273" s="340"/>
      <c r="R273" s="340"/>
      <c r="S273" s="340">
        <v>286</v>
      </c>
      <c r="T273" s="340">
        <v>150</v>
      </c>
      <c r="U273" s="340"/>
      <c r="V273" s="340"/>
      <c r="W273" s="340"/>
      <c r="X273" s="340"/>
      <c r="Y273" s="125"/>
    </row>
    <row r="274" spans="10:25" x14ac:dyDescent="0.2">
      <c r="J274" s="340"/>
      <c r="K274" s="340"/>
      <c r="L274" s="340"/>
      <c r="M274" s="340"/>
      <c r="N274" s="340"/>
      <c r="O274" s="340"/>
      <c r="P274" s="340"/>
      <c r="Q274" s="340"/>
      <c r="R274" s="340"/>
      <c r="S274" s="340">
        <v>287</v>
      </c>
      <c r="T274" s="340">
        <v>150</v>
      </c>
      <c r="U274" s="340"/>
      <c r="V274" s="340"/>
      <c r="W274" s="340"/>
      <c r="X274" s="340"/>
      <c r="Y274" s="125"/>
    </row>
    <row r="275" spans="10:25" x14ac:dyDescent="0.2">
      <c r="J275" s="340"/>
      <c r="K275" s="340"/>
      <c r="L275" s="340"/>
      <c r="M275" s="340"/>
      <c r="N275" s="340"/>
      <c r="O275" s="340"/>
      <c r="P275" s="340"/>
      <c r="Q275" s="340"/>
      <c r="R275" s="340"/>
      <c r="S275" s="340">
        <v>288</v>
      </c>
      <c r="T275" s="340">
        <v>150</v>
      </c>
      <c r="U275" s="340"/>
      <c r="V275" s="340"/>
      <c r="W275" s="340"/>
      <c r="X275" s="340"/>
      <c r="Y275" s="125"/>
    </row>
    <row r="276" spans="10:25" x14ac:dyDescent="0.2">
      <c r="J276" s="340"/>
      <c r="K276" s="340"/>
      <c r="L276" s="340"/>
      <c r="M276" s="340"/>
      <c r="N276" s="340"/>
      <c r="O276" s="340"/>
      <c r="P276" s="340"/>
      <c r="Q276" s="340"/>
      <c r="R276" s="340"/>
      <c r="S276" s="340">
        <v>289</v>
      </c>
      <c r="T276" s="340">
        <v>150</v>
      </c>
      <c r="U276" s="340"/>
      <c r="V276" s="340"/>
      <c r="W276" s="340"/>
      <c r="X276" s="340"/>
      <c r="Y276" s="125"/>
    </row>
    <row r="277" spans="10:25" x14ac:dyDescent="0.2">
      <c r="J277" s="340"/>
      <c r="K277" s="340"/>
      <c r="L277" s="340"/>
      <c r="M277" s="340"/>
      <c r="N277" s="340"/>
      <c r="O277" s="340"/>
      <c r="P277" s="340"/>
      <c r="Q277" s="340"/>
      <c r="R277" s="340"/>
      <c r="S277" s="340">
        <v>290</v>
      </c>
      <c r="T277" s="340">
        <v>150</v>
      </c>
      <c r="U277" s="340"/>
      <c r="V277" s="340"/>
      <c r="W277" s="340"/>
      <c r="X277" s="340"/>
      <c r="Y277" s="125"/>
    </row>
    <row r="278" spans="10:25" x14ac:dyDescent="0.2">
      <c r="J278" s="340"/>
      <c r="K278" s="340"/>
      <c r="L278" s="340"/>
      <c r="M278" s="340"/>
      <c r="N278" s="340"/>
      <c r="O278" s="340"/>
      <c r="P278" s="340"/>
      <c r="Q278" s="340"/>
      <c r="R278" s="340"/>
      <c r="S278" s="340">
        <v>291</v>
      </c>
      <c r="T278" s="340">
        <v>150</v>
      </c>
      <c r="U278" s="340"/>
      <c r="V278" s="340"/>
      <c r="W278" s="340"/>
      <c r="X278" s="340"/>
      <c r="Y278" s="125"/>
    </row>
    <row r="279" spans="10:25" x14ac:dyDescent="0.2">
      <c r="J279" s="340"/>
      <c r="K279" s="340"/>
      <c r="L279" s="340"/>
      <c r="M279" s="340"/>
      <c r="N279" s="340"/>
      <c r="O279" s="340"/>
      <c r="P279" s="340"/>
      <c r="Q279" s="340"/>
      <c r="R279" s="340"/>
      <c r="S279" s="340">
        <v>292</v>
      </c>
      <c r="T279" s="340">
        <v>150</v>
      </c>
      <c r="U279" s="340"/>
      <c r="V279" s="340"/>
      <c r="W279" s="340"/>
      <c r="X279" s="340"/>
      <c r="Y279" s="125"/>
    </row>
    <row r="280" spans="10:25" x14ac:dyDescent="0.2">
      <c r="J280" s="340"/>
      <c r="K280" s="340"/>
      <c r="L280" s="340"/>
      <c r="M280" s="340"/>
      <c r="N280" s="340"/>
      <c r="O280" s="340"/>
      <c r="P280" s="340"/>
      <c r="Q280" s="340"/>
      <c r="R280" s="340"/>
      <c r="S280" s="340">
        <v>293</v>
      </c>
      <c r="T280" s="340">
        <v>150</v>
      </c>
      <c r="U280" s="340"/>
      <c r="V280" s="340"/>
      <c r="W280" s="340"/>
      <c r="X280" s="340"/>
      <c r="Y280" s="125"/>
    </row>
    <row r="281" spans="10:25" x14ac:dyDescent="0.2">
      <c r="J281" s="340"/>
      <c r="K281" s="340"/>
      <c r="L281" s="340"/>
      <c r="M281" s="340"/>
      <c r="N281" s="340"/>
      <c r="O281" s="340"/>
      <c r="P281" s="340"/>
      <c r="Q281" s="340"/>
      <c r="R281" s="340"/>
      <c r="S281" s="340">
        <v>294</v>
      </c>
      <c r="T281" s="340">
        <v>150</v>
      </c>
      <c r="U281" s="340"/>
      <c r="V281" s="340"/>
      <c r="W281" s="340"/>
      <c r="X281" s="340"/>
      <c r="Y281" s="125"/>
    </row>
    <row r="282" spans="10:25" x14ac:dyDescent="0.2">
      <c r="J282" s="340"/>
      <c r="K282" s="340"/>
      <c r="L282" s="340"/>
      <c r="M282" s="340"/>
      <c r="N282" s="340"/>
      <c r="O282" s="340"/>
      <c r="P282" s="340"/>
      <c r="Q282" s="340"/>
      <c r="R282" s="340"/>
      <c r="S282" s="340">
        <v>295</v>
      </c>
      <c r="T282" s="340">
        <v>150</v>
      </c>
      <c r="U282" s="340"/>
      <c r="V282" s="340"/>
      <c r="W282" s="340"/>
      <c r="X282" s="340"/>
      <c r="Y282" s="125"/>
    </row>
    <row r="283" spans="10:25" x14ac:dyDescent="0.2">
      <c r="J283" s="340"/>
      <c r="K283" s="340"/>
      <c r="L283" s="340"/>
      <c r="M283" s="340"/>
      <c r="N283" s="340"/>
      <c r="O283" s="340"/>
      <c r="P283" s="340"/>
      <c r="Q283" s="340"/>
      <c r="R283" s="340"/>
      <c r="S283" s="340">
        <v>296</v>
      </c>
      <c r="T283" s="340">
        <v>150</v>
      </c>
      <c r="U283" s="340"/>
      <c r="V283" s="340"/>
      <c r="W283" s="340"/>
      <c r="X283" s="340"/>
      <c r="Y283" s="125"/>
    </row>
    <row r="284" spans="10:25" x14ac:dyDescent="0.2">
      <c r="J284" s="340"/>
      <c r="K284" s="340"/>
      <c r="L284" s="340"/>
      <c r="M284" s="340"/>
      <c r="N284" s="340"/>
      <c r="O284" s="340"/>
      <c r="P284" s="340"/>
      <c r="Q284" s="340"/>
      <c r="R284" s="340"/>
      <c r="S284" s="340">
        <v>297</v>
      </c>
      <c r="T284" s="340">
        <v>150</v>
      </c>
      <c r="U284" s="340"/>
      <c r="V284" s="340"/>
      <c r="W284" s="340"/>
      <c r="X284" s="340"/>
      <c r="Y284" s="125"/>
    </row>
    <row r="285" spans="10:25" x14ac:dyDescent="0.2">
      <c r="J285" s="340"/>
      <c r="K285" s="340"/>
      <c r="L285" s="340"/>
      <c r="M285" s="340"/>
      <c r="N285" s="340"/>
      <c r="O285" s="340"/>
      <c r="P285" s="340"/>
      <c r="Q285" s="340"/>
      <c r="R285" s="340"/>
      <c r="S285" s="340">
        <v>298</v>
      </c>
      <c r="T285" s="340">
        <v>150</v>
      </c>
      <c r="U285" s="340"/>
      <c r="V285" s="340"/>
      <c r="W285" s="340"/>
      <c r="X285" s="340"/>
      <c r="Y285" s="125"/>
    </row>
    <row r="286" spans="10:25" x14ac:dyDescent="0.2">
      <c r="J286" s="340"/>
      <c r="K286" s="340"/>
      <c r="L286" s="340"/>
      <c r="M286" s="340"/>
      <c r="N286" s="340"/>
      <c r="O286" s="340"/>
      <c r="P286" s="340"/>
      <c r="Q286" s="340"/>
      <c r="R286" s="340"/>
      <c r="S286" s="340">
        <v>299</v>
      </c>
      <c r="T286" s="340">
        <v>150</v>
      </c>
      <c r="U286" s="340"/>
      <c r="V286" s="340"/>
      <c r="W286" s="340"/>
      <c r="X286" s="340"/>
      <c r="Y286" s="125"/>
    </row>
    <row r="287" spans="10:25" x14ac:dyDescent="0.2">
      <c r="J287" s="340"/>
      <c r="K287" s="340"/>
      <c r="L287" s="340"/>
      <c r="M287" s="340"/>
      <c r="N287" s="340"/>
      <c r="O287" s="340"/>
      <c r="P287" s="340"/>
      <c r="Q287" s="340"/>
      <c r="R287" s="340"/>
      <c r="S287" s="340">
        <v>300</v>
      </c>
      <c r="T287" s="340">
        <v>150</v>
      </c>
      <c r="U287" s="340">
        <v>300</v>
      </c>
      <c r="V287" s="340"/>
      <c r="W287" s="340"/>
      <c r="X287" s="340"/>
      <c r="Y287" s="125"/>
    </row>
    <row r="288" spans="10:25" x14ac:dyDescent="0.2">
      <c r="J288" s="340"/>
      <c r="K288" s="340"/>
      <c r="L288" s="340"/>
      <c r="M288" s="340"/>
      <c r="N288" s="340"/>
      <c r="O288" s="340"/>
      <c r="P288" s="340"/>
      <c r="Q288" s="340"/>
      <c r="R288" s="340"/>
      <c r="S288" s="340">
        <v>301</v>
      </c>
      <c r="T288" s="340">
        <v>150</v>
      </c>
      <c r="U288" s="340"/>
      <c r="V288" s="340"/>
      <c r="W288" s="340"/>
      <c r="X288" s="340"/>
      <c r="Y288" s="125"/>
    </row>
    <row r="289" spans="10:25" x14ac:dyDescent="0.2">
      <c r="J289" s="340"/>
      <c r="K289" s="340"/>
      <c r="L289" s="340"/>
      <c r="M289" s="340"/>
      <c r="N289" s="340"/>
      <c r="O289" s="340"/>
      <c r="P289" s="340"/>
      <c r="Q289" s="340"/>
      <c r="R289" s="340"/>
      <c r="S289" s="340">
        <v>302</v>
      </c>
      <c r="T289" s="340">
        <v>150</v>
      </c>
      <c r="U289" s="340"/>
      <c r="V289" s="340"/>
      <c r="W289" s="340"/>
      <c r="X289" s="340"/>
      <c r="Y289" s="125"/>
    </row>
    <row r="290" spans="10:25" x14ac:dyDescent="0.2">
      <c r="J290" s="340"/>
      <c r="K290" s="340"/>
      <c r="L290" s="340"/>
      <c r="M290" s="340"/>
      <c r="N290" s="340"/>
      <c r="O290" s="340"/>
      <c r="P290" s="340"/>
      <c r="Q290" s="340"/>
      <c r="R290" s="340"/>
      <c r="S290" s="340">
        <v>303</v>
      </c>
      <c r="T290" s="340">
        <v>150</v>
      </c>
      <c r="U290" s="340"/>
      <c r="V290" s="340"/>
      <c r="W290" s="340"/>
      <c r="X290" s="340"/>
      <c r="Y290" s="125"/>
    </row>
    <row r="291" spans="10:25" x14ac:dyDescent="0.2">
      <c r="J291" s="340"/>
      <c r="K291" s="340"/>
      <c r="L291" s="340"/>
      <c r="M291" s="340"/>
      <c r="N291" s="340"/>
      <c r="O291" s="340"/>
      <c r="P291" s="340"/>
      <c r="Q291" s="340"/>
      <c r="R291" s="340"/>
      <c r="S291" s="340">
        <v>304</v>
      </c>
      <c r="T291" s="340">
        <v>150</v>
      </c>
      <c r="U291" s="340"/>
      <c r="V291" s="340"/>
      <c r="W291" s="340"/>
      <c r="X291" s="340"/>
      <c r="Y291" s="125"/>
    </row>
    <row r="292" spans="10:25" x14ac:dyDescent="0.2">
      <c r="J292" s="340"/>
      <c r="K292" s="340"/>
      <c r="L292" s="340"/>
      <c r="M292" s="340"/>
      <c r="N292" s="340"/>
      <c r="O292" s="340"/>
      <c r="P292" s="340"/>
      <c r="Q292" s="340"/>
      <c r="R292" s="340"/>
      <c r="S292" s="340">
        <v>305</v>
      </c>
      <c r="T292" s="340">
        <v>150</v>
      </c>
      <c r="U292" s="340"/>
      <c r="V292" s="340"/>
      <c r="W292" s="340"/>
      <c r="X292" s="340"/>
      <c r="Y292" s="125"/>
    </row>
    <row r="293" spans="10:25" x14ac:dyDescent="0.2">
      <c r="J293" s="340"/>
      <c r="K293" s="340"/>
      <c r="L293" s="340"/>
      <c r="M293" s="340"/>
      <c r="N293" s="340"/>
      <c r="O293" s="340"/>
      <c r="P293" s="340"/>
      <c r="Q293" s="340"/>
      <c r="R293" s="340"/>
      <c r="S293" s="340">
        <v>306</v>
      </c>
      <c r="T293" s="340">
        <v>150</v>
      </c>
      <c r="U293" s="340"/>
      <c r="V293" s="340"/>
      <c r="W293" s="340"/>
      <c r="X293" s="340"/>
      <c r="Y293" s="125"/>
    </row>
    <row r="294" spans="10:25" x14ac:dyDescent="0.2">
      <c r="J294" s="340"/>
      <c r="K294" s="340"/>
      <c r="L294" s="340"/>
      <c r="M294" s="340"/>
      <c r="N294" s="340"/>
      <c r="O294" s="340"/>
      <c r="P294" s="340"/>
      <c r="Q294" s="340"/>
      <c r="R294" s="340"/>
      <c r="S294" s="340">
        <v>307</v>
      </c>
      <c r="T294" s="340">
        <v>150</v>
      </c>
      <c r="U294" s="340"/>
      <c r="V294" s="340"/>
      <c r="W294" s="340"/>
      <c r="X294" s="340"/>
      <c r="Y294" s="125"/>
    </row>
    <row r="295" spans="10:25" x14ac:dyDescent="0.2">
      <c r="J295" s="340"/>
      <c r="K295" s="340"/>
      <c r="L295" s="340"/>
      <c r="M295" s="340"/>
      <c r="N295" s="340"/>
      <c r="O295" s="340"/>
      <c r="P295" s="340"/>
      <c r="Q295" s="340"/>
      <c r="R295" s="340"/>
      <c r="S295" s="340">
        <v>308</v>
      </c>
      <c r="T295" s="340">
        <v>150</v>
      </c>
      <c r="U295" s="340"/>
      <c r="V295" s="340"/>
      <c r="W295" s="340"/>
      <c r="X295" s="340"/>
      <c r="Y295" s="125"/>
    </row>
    <row r="296" spans="10:25" x14ac:dyDescent="0.2">
      <c r="J296" s="340"/>
      <c r="K296" s="340"/>
      <c r="L296" s="340"/>
      <c r="M296" s="340"/>
      <c r="N296" s="340"/>
      <c r="O296" s="340"/>
      <c r="P296" s="340"/>
      <c r="Q296" s="340"/>
      <c r="R296" s="340"/>
      <c r="S296" s="340">
        <v>309</v>
      </c>
      <c r="T296" s="340">
        <v>150</v>
      </c>
      <c r="U296" s="340"/>
      <c r="V296" s="340"/>
      <c r="W296" s="340"/>
      <c r="X296" s="340"/>
      <c r="Y296" s="125"/>
    </row>
    <row r="297" spans="10:25" x14ac:dyDescent="0.2">
      <c r="J297" s="340"/>
      <c r="K297" s="340"/>
      <c r="L297" s="340"/>
      <c r="M297" s="340"/>
      <c r="N297" s="340"/>
      <c r="O297" s="340"/>
      <c r="P297" s="340"/>
      <c r="Q297" s="340"/>
      <c r="R297" s="340"/>
      <c r="S297" s="340">
        <v>310</v>
      </c>
      <c r="T297" s="340">
        <v>150</v>
      </c>
      <c r="U297" s="340"/>
      <c r="V297" s="340"/>
      <c r="W297" s="340"/>
      <c r="X297" s="340"/>
      <c r="Y297" s="125"/>
    </row>
    <row r="298" spans="10:25" x14ac:dyDescent="0.2">
      <c r="J298" s="340"/>
      <c r="K298" s="340"/>
      <c r="L298" s="340"/>
      <c r="M298" s="340"/>
      <c r="N298" s="340"/>
      <c r="O298" s="340"/>
      <c r="P298" s="340"/>
      <c r="Q298" s="340"/>
      <c r="R298" s="340"/>
      <c r="S298" s="340">
        <v>311</v>
      </c>
      <c r="T298" s="340">
        <v>150</v>
      </c>
      <c r="U298" s="340"/>
      <c r="V298" s="340"/>
      <c r="W298" s="340"/>
      <c r="X298" s="340"/>
      <c r="Y298" s="125"/>
    </row>
    <row r="299" spans="10:25" x14ac:dyDescent="0.2">
      <c r="J299" s="340"/>
      <c r="K299" s="340"/>
      <c r="L299" s="340"/>
      <c r="M299" s="340"/>
      <c r="N299" s="340"/>
      <c r="O299" s="340"/>
      <c r="P299" s="340"/>
      <c r="Q299" s="340"/>
      <c r="R299" s="340"/>
      <c r="S299" s="340">
        <v>312</v>
      </c>
      <c r="T299" s="340">
        <v>150</v>
      </c>
      <c r="U299" s="340"/>
      <c r="V299" s="340"/>
      <c r="W299" s="340"/>
      <c r="X299" s="340"/>
      <c r="Y299" s="125"/>
    </row>
    <row r="300" spans="10:25" x14ac:dyDescent="0.2">
      <c r="J300" s="340"/>
      <c r="K300" s="340"/>
      <c r="L300" s="340"/>
      <c r="M300" s="340"/>
      <c r="N300" s="340"/>
      <c r="O300" s="340"/>
      <c r="P300" s="340"/>
      <c r="Q300" s="340"/>
      <c r="R300" s="340"/>
      <c r="S300" s="340">
        <v>313</v>
      </c>
      <c r="T300" s="340">
        <v>150</v>
      </c>
      <c r="U300" s="340"/>
      <c r="V300" s="340"/>
      <c r="W300" s="340"/>
      <c r="X300" s="340"/>
      <c r="Y300" s="125"/>
    </row>
    <row r="301" spans="10:25" x14ac:dyDescent="0.2">
      <c r="J301" s="340"/>
      <c r="K301" s="340"/>
      <c r="L301" s="340"/>
      <c r="M301" s="340"/>
      <c r="N301" s="340"/>
      <c r="O301" s="340"/>
      <c r="P301" s="340"/>
      <c r="Q301" s="340"/>
      <c r="R301" s="340"/>
      <c r="S301" s="340">
        <v>314</v>
      </c>
      <c r="T301" s="340">
        <v>150</v>
      </c>
      <c r="U301" s="340"/>
      <c r="V301" s="340"/>
      <c r="W301" s="340"/>
      <c r="X301" s="340"/>
      <c r="Y301" s="125"/>
    </row>
    <row r="302" spans="10:25" x14ac:dyDescent="0.2">
      <c r="J302" s="340"/>
      <c r="K302" s="340"/>
      <c r="L302" s="340"/>
      <c r="M302" s="340"/>
      <c r="N302" s="340"/>
      <c r="O302" s="340"/>
      <c r="P302" s="340"/>
      <c r="Q302" s="340"/>
      <c r="R302" s="340"/>
      <c r="S302" s="340">
        <v>315</v>
      </c>
      <c r="T302" s="340">
        <v>150</v>
      </c>
      <c r="U302" s="340"/>
      <c r="V302" s="340"/>
      <c r="W302" s="340"/>
      <c r="X302" s="340"/>
      <c r="Y302" s="125"/>
    </row>
    <row r="303" spans="10:25" x14ac:dyDescent="0.2">
      <c r="J303" s="340"/>
      <c r="K303" s="340"/>
      <c r="L303" s="340"/>
      <c r="M303" s="340"/>
      <c r="N303" s="340"/>
      <c r="O303" s="340"/>
      <c r="P303" s="340"/>
      <c r="Q303" s="340"/>
      <c r="R303" s="340"/>
      <c r="S303" s="340">
        <v>316</v>
      </c>
      <c r="T303" s="340">
        <v>150</v>
      </c>
      <c r="U303" s="340"/>
      <c r="V303" s="340"/>
      <c r="W303" s="340"/>
      <c r="X303" s="340"/>
      <c r="Y303" s="125"/>
    </row>
    <row r="304" spans="10:25" x14ac:dyDescent="0.2">
      <c r="J304" s="340"/>
      <c r="K304" s="340"/>
      <c r="L304" s="340"/>
      <c r="M304" s="340"/>
      <c r="N304" s="340"/>
      <c r="O304" s="340"/>
      <c r="P304" s="340"/>
      <c r="Q304" s="340"/>
      <c r="R304" s="340"/>
      <c r="S304" s="340">
        <v>317</v>
      </c>
      <c r="T304" s="340">
        <v>150</v>
      </c>
      <c r="U304" s="340"/>
      <c r="V304" s="340"/>
      <c r="W304" s="340"/>
      <c r="X304" s="340"/>
      <c r="Y304" s="125"/>
    </row>
    <row r="305" spans="10:25" x14ac:dyDescent="0.2">
      <c r="J305" s="340"/>
      <c r="K305" s="340"/>
      <c r="L305" s="340"/>
      <c r="M305" s="340"/>
      <c r="N305" s="340"/>
      <c r="O305" s="340"/>
      <c r="P305" s="340"/>
      <c r="Q305" s="340"/>
      <c r="R305" s="340"/>
      <c r="S305" s="340">
        <v>318</v>
      </c>
      <c r="T305" s="340">
        <v>150</v>
      </c>
      <c r="U305" s="340"/>
      <c r="V305" s="340"/>
      <c r="W305" s="340"/>
      <c r="X305" s="340"/>
      <c r="Y305" s="125"/>
    </row>
    <row r="306" spans="10:25" x14ac:dyDescent="0.2">
      <c r="J306" s="340"/>
      <c r="K306" s="340"/>
      <c r="L306" s="340"/>
      <c r="M306" s="340"/>
      <c r="N306" s="340"/>
      <c r="O306" s="340"/>
      <c r="P306" s="340"/>
      <c r="Q306" s="340"/>
      <c r="R306" s="340"/>
      <c r="S306" s="340">
        <v>319</v>
      </c>
      <c r="T306" s="340">
        <v>150</v>
      </c>
      <c r="U306" s="340"/>
      <c r="V306" s="340"/>
      <c r="W306" s="340"/>
      <c r="X306" s="340"/>
      <c r="Y306" s="125"/>
    </row>
    <row r="307" spans="10:25" x14ac:dyDescent="0.2">
      <c r="J307" s="340"/>
      <c r="K307" s="340"/>
      <c r="L307" s="340"/>
      <c r="M307" s="340"/>
      <c r="N307" s="340"/>
      <c r="O307" s="340"/>
      <c r="P307" s="340"/>
      <c r="Q307" s="340"/>
      <c r="R307" s="340"/>
      <c r="S307" s="340">
        <v>320</v>
      </c>
      <c r="T307" s="340">
        <v>150</v>
      </c>
      <c r="U307" s="340"/>
      <c r="V307" s="340"/>
      <c r="W307" s="340"/>
      <c r="X307" s="340"/>
      <c r="Y307" s="125"/>
    </row>
    <row r="308" spans="10:25" x14ac:dyDescent="0.2">
      <c r="J308" s="340"/>
      <c r="K308" s="340"/>
      <c r="L308" s="340"/>
      <c r="M308" s="340"/>
      <c r="N308" s="340"/>
      <c r="O308" s="340"/>
      <c r="P308" s="340"/>
      <c r="Q308" s="340"/>
      <c r="R308" s="340"/>
      <c r="S308" s="340">
        <v>321</v>
      </c>
      <c r="T308" s="340">
        <v>150</v>
      </c>
      <c r="U308" s="340"/>
      <c r="V308" s="340"/>
      <c r="W308" s="340"/>
      <c r="X308" s="340"/>
      <c r="Y308" s="125"/>
    </row>
    <row r="309" spans="10:25" x14ac:dyDescent="0.2">
      <c r="J309" s="340"/>
      <c r="K309" s="340"/>
      <c r="L309" s="340"/>
      <c r="M309" s="340"/>
      <c r="N309" s="340"/>
      <c r="O309" s="340"/>
      <c r="P309" s="340"/>
      <c r="Q309" s="340"/>
      <c r="R309" s="340"/>
      <c r="S309" s="340">
        <v>322</v>
      </c>
      <c r="T309" s="340">
        <v>150</v>
      </c>
      <c r="U309" s="340"/>
      <c r="V309" s="340"/>
      <c r="W309" s="340"/>
      <c r="X309" s="340"/>
      <c r="Y309" s="125"/>
    </row>
    <row r="310" spans="10:25" x14ac:dyDescent="0.2">
      <c r="J310" s="340"/>
      <c r="K310" s="340"/>
      <c r="L310" s="340"/>
      <c r="M310" s="340"/>
      <c r="N310" s="340"/>
      <c r="O310" s="340"/>
      <c r="P310" s="340"/>
      <c r="Q310" s="340"/>
      <c r="R310" s="340"/>
      <c r="S310" s="340">
        <v>323</v>
      </c>
      <c r="T310" s="340">
        <v>150</v>
      </c>
      <c r="U310" s="340"/>
      <c r="V310" s="340"/>
      <c r="W310" s="340"/>
      <c r="X310" s="340"/>
      <c r="Y310" s="125"/>
    </row>
    <row r="311" spans="10:25" x14ac:dyDescent="0.2">
      <c r="J311" s="340"/>
      <c r="K311" s="340"/>
      <c r="L311" s="340"/>
      <c r="M311" s="340"/>
      <c r="N311" s="340"/>
      <c r="O311" s="340"/>
      <c r="P311" s="340"/>
      <c r="Q311" s="340"/>
      <c r="R311" s="340"/>
      <c r="S311" s="340">
        <v>324</v>
      </c>
      <c r="T311" s="340">
        <v>150</v>
      </c>
      <c r="U311" s="340"/>
      <c r="V311" s="340"/>
      <c r="W311" s="340"/>
      <c r="X311" s="340"/>
      <c r="Y311" s="125"/>
    </row>
    <row r="312" spans="10:25" x14ac:dyDescent="0.2">
      <c r="J312" s="340"/>
      <c r="K312" s="340"/>
      <c r="L312" s="340"/>
      <c r="M312" s="340"/>
      <c r="N312" s="340"/>
      <c r="O312" s="340"/>
      <c r="P312" s="340"/>
      <c r="Q312" s="340"/>
      <c r="R312" s="340"/>
      <c r="S312" s="340">
        <v>325</v>
      </c>
      <c r="T312" s="340">
        <v>150</v>
      </c>
      <c r="U312" s="340"/>
      <c r="V312" s="340"/>
      <c r="W312" s="340"/>
      <c r="X312" s="340"/>
      <c r="Y312" s="125"/>
    </row>
    <row r="313" spans="10:25" x14ac:dyDescent="0.2">
      <c r="J313" s="340"/>
      <c r="K313" s="340"/>
      <c r="L313" s="340"/>
      <c r="M313" s="340"/>
      <c r="N313" s="340"/>
      <c r="O313" s="340"/>
      <c r="P313" s="340"/>
      <c r="Q313" s="340"/>
      <c r="R313" s="340"/>
      <c r="S313" s="340">
        <v>326</v>
      </c>
      <c r="T313" s="340">
        <v>150</v>
      </c>
      <c r="U313" s="340"/>
      <c r="V313" s="340"/>
      <c r="W313" s="340"/>
      <c r="X313" s="340"/>
      <c r="Y313" s="125"/>
    </row>
    <row r="314" spans="10:25" x14ac:dyDescent="0.2">
      <c r="J314" s="340"/>
      <c r="K314" s="340"/>
      <c r="L314" s="340"/>
      <c r="M314" s="340"/>
      <c r="N314" s="340"/>
      <c r="O314" s="340"/>
      <c r="P314" s="340"/>
      <c r="Q314" s="340"/>
      <c r="R314" s="340"/>
      <c r="S314" s="340">
        <v>327</v>
      </c>
      <c r="T314" s="340">
        <v>150</v>
      </c>
      <c r="U314" s="340"/>
      <c r="V314" s="340"/>
      <c r="W314" s="340"/>
      <c r="X314" s="340"/>
      <c r="Y314" s="125"/>
    </row>
    <row r="315" spans="10:25" x14ac:dyDescent="0.2">
      <c r="J315" s="340"/>
      <c r="K315" s="340"/>
      <c r="L315" s="340"/>
      <c r="M315" s="340"/>
      <c r="N315" s="340"/>
      <c r="O315" s="340"/>
      <c r="P315" s="340"/>
      <c r="Q315" s="340"/>
      <c r="R315" s="340"/>
      <c r="S315" s="340">
        <v>328</v>
      </c>
      <c r="T315" s="340">
        <v>150</v>
      </c>
      <c r="U315" s="340"/>
      <c r="V315" s="340"/>
      <c r="W315" s="340"/>
      <c r="X315" s="340"/>
      <c r="Y315" s="125"/>
    </row>
    <row r="316" spans="10:25" x14ac:dyDescent="0.2">
      <c r="J316" s="340"/>
      <c r="K316" s="340"/>
      <c r="L316" s="340"/>
      <c r="M316" s="340"/>
      <c r="N316" s="340"/>
      <c r="O316" s="340"/>
      <c r="P316" s="340"/>
      <c r="Q316" s="340"/>
      <c r="R316" s="340"/>
      <c r="S316" s="340">
        <v>329</v>
      </c>
      <c r="T316" s="340">
        <v>150</v>
      </c>
      <c r="U316" s="340"/>
      <c r="V316" s="340"/>
      <c r="W316" s="340"/>
      <c r="X316" s="340"/>
      <c r="Y316" s="125"/>
    </row>
    <row r="317" spans="10:25" x14ac:dyDescent="0.2">
      <c r="J317" s="340"/>
      <c r="K317" s="340"/>
      <c r="L317" s="340"/>
      <c r="M317" s="340"/>
      <c r="N317" s="340"/>
      <c r="O317" s="340"/>
      <c r="P317" s="340"/>
      <c r="Q317" s="340"/>
      <c r="R317" s="340"/>
      <c r="S317" s="340">
        <v>330</v>
      </c>
      <c r="T317" s="340">
        <v>150</v>
      </c>
      <c r="U317" s="340"/>
      <c r="V317" s="340"/>
      <c r="W317" s="340"/>
      <c r="X317" s="340"/>
      <c r="Y317" s="125"/>
    </row>
    <row r="318" spans="10:25" x14ac:dyDescent="0.2">
      <c r="J318" s="340"/>
      <c r="K318" s="340"/>
      <c r="L318" s="340"/>
      <c r="M318" s="340"/>
      <c r="N318" s="340"/>
      <c r="O318" s="340"/>
      <c r="P318" s="340"/>
      <c r="Q318" s="340"/>
      <c r="R318" s="340"/>
      <c r="S318" s="340">
        <v>331</v>
      </c>
      <c r="T318" s="340">
        <v>150</v>
      </c>
      <c r="U318" s="340"/>
      <c r="V318" s="340"/>
      <c r="W318" s="340"/>
      <c r="X318" s="340"/>
      <c r="Y318" s="125"/>
    </row>
    <row r="319" spans="10:25" x14ac:dyDescent="0.2">
      <c r="J319" s="340"/>
      <c r="K319" s="340"/>
      <c r="L319" s="340"/>
      <c r="M319" s="340"/>
      <c r="N319" s="340"/>
      <c r="O319" s="340"/>
      <c r="P319" s="340"/>
      <c r="Q319" s="340"/>
      <c r="R319" s="340"/>
      <c r="S319" s="340">
        <v>332</v>
      </c>
      <c r="T319" s="340">
        <v>150</v>
      </c>
      <c r="U319" s="340"/>
      <c r="V319" s="340"/>
      <c r="W319" s="340"/>
      <c r="X319" s="340"/>
      <c r="Y319" s="125"/>
    </row>
    <row r="320" spans="10:25" x14ac:dyDescent="0.2">
      <c r="J320" s="340"/>
      <c r="K320" s="340"/>
      <c r="L320" s="340"/>
      <c r="M320" s="340"/>
      <c r="N320" s="340"/>
      <c r="O320" s="340"/>
      <c r="P320" s="340"/>
      <c r="Q320" s="340"/>
      <c r="R320" s="340"/>
      <c r="S320" s="340">
        <v>333</v>
      </c>
      <c r="T320" s="340">
        <v>150</v>
      </c>
      <c r="U320" s="340"/>
      <c r="V320" s="340"/>
      <c r="W320" s="340"/>
      <c r="X320" s="340"/>
      <c r="Y320" s="125"/>
    </row>
    <row r="321" spans="10:25" x14ac:dyDescent="0.2">
      <c r="J321" s="340"/>
      <c r="K321" s="340"/>
      <c r="L321" s="340"/>
      <c r="M321" s="340"/>
      <c r="N321" s="340"/>
      <c r="O321" s="340"/>
      <c r="P321" s="340"/>
      <c r="Q321" s="340"/>
      <c r="R321" s="340"/>
      <c r="S321" s="340">
        <v>334</v>
      </c>
      <c r="T321" s="340">
        <v>150</v>
      </c>
      <c r="U321" s="340"/>
      <c r="V321" s="340"/>
      <c r="W321" s="340"/>
      <c r="X321" s="340"/>
      <c r="Y321" s="125"/>
    </row>
    <row r="322" spans="10:25" x14ac:dyDescent="0.2">
      <c r="J322" s="340"/>
      <c r="K322" s="340"/>
      <c r="L322" s="340"/>
      <c r="M322" s="340"/>
      <c r="N322" s="340"/>
      <c r="O322" s="340"/>
      <c r="P322" s="340"/>
      <c r="Q322" s="340"/>
      <c r="R322" s="340"/>
      <c r="S322" s="340">
        <v>335</v>
      </c>
      <c r="T322" s="340">
        <v>150</v>
      </c>
      <c r="U322" s="340"/>
      <c r="V322" s="340"/>
      <c r="W322" s="340"/>
      <c r="X322" s="340"/>
      <c r="Y322" s="125"/>
    </row>
    <row r="323" spans="10:25" x14ac:dyDescent="0.2">
      <c r="J323" s="340"/>
      <c r="K323" s="340"/>
      <c r="L323" s="340"/>
      <c r="M323" s="340"/>
      <c r="N323" s="340"/>
      <c r="O323" s="340"/>
      <c r="P323" s="340"/>
      <c r="Q323" s="340"/>
      <c r="R323" s="340"/>
      <c r="S323" s="340">
        <v>336</v>
      </c>
      <c r="T323" s="340">
        <v>150</v>
      </c>
      <c r="U323" s="340"/>
      <c r="V323" s="340"/>
      <c r="W323" s="340"/>
      <c r="X323" s="340"/>
      <c r="Y323" s="125"/>
    </row>
    <row r="324" spans="10:25" x14ac:dyDescent="0.2">
      <c r="J324" s="340"/>
      <c r="K324" s="340"/>
      <c r="L324" s="340"/>
      <c r="M324" s="340"/>
      <c r="N324" s="340"/>
      <c r="O324" s="340"/>
      <c r="P324" s="340"/>
      <c r="Q324" s="340"/>
      <c r="R324" s="340"/>
      <c r="S324" s="340">
        <v>337</v>
      </c>
      <c r="T324" s="340">
        <v>150</v>
      </c>
      <c r="U324" s="340"/>
      <c r="V324" s="340"/>
      <c r="W324" s="340"/>
      <c r="X324" s="340"/>
      <c r="Y324" s="125"/>
    </row>
    <row r="325" spans="10:25" x14ac:dyDescent="0.2">
      <c r="J325" s="340"/>
      <c r="K325" s="340"/>
      <c r="L325" s="340"/>
      <c r="M325" s="340"/>
      <c r="N325" s="340"/>
      <c r="O325" s="340"/>
      <c r="P325" s="340"/>
      <c r="Q325" s="340"/>
      <c r="R325" s="340"/>
      <c r="S325" s="340">
        <v>338</v>
      </c>
      <c r="T325" s="340">
        <v>150</v>
      </c>
      <c r="U325" s="340"/>
      <c r="V325" s="340"/>
      <c r="W325" s="340"/>
      <c r="X325" s="340"/>
      <c r="Y325" s="125"/>
    </row>
    <row r="326" spans="10:25" x14ac:dyDescent="0.2">
      <c r="J326" s="340"/>
      <c r="K326" s="340"/>
      <c r="L326" s="340"/>
      <c r="M326" s="340"/>
      <c r="N326" s="340"/>
      <c r="O326" s="340"/>
      <c r="P326" s="340"/>
      <c r="Q326" s="340"/>
      <c r="R326" s="340"/>
      <c r="S326" s="340">
        <v>339</v>
      </c>
      <c r="T326" s="340">
        <v>150</v>
      </c>
      <c r="U326" s="340"/>
      <c r="V326" s="340"/>
      <c r="W326" s="340"/>
      <c r="X326" s="340"/>
      <c r="Y326" s="125"/>
    </row>
    <row r="327" spans="10:25" x14ac:dyDescent="0.2">
      <c r="J327" s="340"/>
      <c r="K327" s="340"/>
      <c r="L327" s="340"/>
      <c r="M327" s="340"/>
      <c r="N327" s="340"/>
      <c r="O327" s="340"/>
      <c r="P327" s="340"/>
      <c r="Q327" s="340"/>
      <c r="R327" s="340"/>
      <c r="S327" s="340">
        <v>340</v>
      </c>
      <c r="T327" s="340">
        <v>150</v>
      </c>
      <c r="U327" s="340"/>
      <c r="V327" s="340"/>
      <c r="W327" s="340"/>
      <c r="X327" s="340"/>
      <c r="Y327" s="125"/>
    </row>
    <row r="328" spans="10:25" x14ac:dyDescent="0.2">
      <c r="J328" s="340"/>
      <c r="K328" s="340"/>
      <c r="L328" s="340"/>
      <c r="M328" s="340"/>
      <c r="N328" s="340"/>
      <c r="O328" s="340"/>
      <c r="P328" s="340"/>
      <c r="Q328" s="340"/>
      <c r="R328" s="340"/>
      <c r="S328" s="340">
        <v>341</v>
      </c>
      <c r="T328" s="340">
        <v>150</v>
      </c>
      <c r="U328" s="340"/>
      <c r="V328" s="340"/>
      <c r="W328" s="340"/>
      <c r="X328" s="340"/>
      <c r="Y328" s="125"/>
    </row>
    <row r="329" spans="10:25" x14ac:dyDescent="0.2">
      <c r="J329" s="340"/>
      <c r="K329" s="340"/>
      <c r="L329" s="340"/>
      <c r="M329" s="340"/>
      <c r="N329" s="340"/>
      <c r="O329" s="340"/>
      <c r="P329" s="340"/>
      <c r="Q329" s="340"/>
      <c r="R329" s="340"/>
      <c r="S329" s="340">
        <v>342</v>
      </c>
      <c r="T329" s="340">
        <v>150</v>
      </c>
      <c r="U329" s="340"/>
      <c r="V329" s="340"/>
      <c r="W329" s="340"/>
      <c r="X329" s="340"/>
      <c r="Y329" s="125"/>
    </row>
    <row r="330" spans="10:25" x14ac:dyDescent="0.2">
      <c r="J330" s="340"/>
      <c r="K330" s="340"/>
      <c r="L330" s="340"/>
      <c r="M330" s="340"/>
      <c r="N330" s="340"/>
      <c r="O330" s="340"/>
      <c r="P330" s="340"/>
      <c r="Q330" s="340"/>
      <c r="R330" s="340"/>
      <c r="S330" s="340">
        <v>343</v>
      </c>
      <c r="T330" s="340">
        <v>150</v>
      </c>
      <c r="U330" s="340"/>
      <c r="V330" s="340"/>
      <c r="W330" s="340"/>
      <c r="X330" s="340"/>
      <c r="Y330" s="125"/>
    </row>
    <row r="331" spans="10:25" x14ac:dyDescent="0.2">
      <c r="J331" s="340"/>
      <c r="K331" s="340"/>
      <c r="L331" s="340"/>
      <c r="M331" s="340"/>
      <c r="N331" s="340"/>
      <c r="O331" s="340"/>
      <c r="P331" s="340"/>
      <c r="Q331" s="340"/>
      <c r="R331" s="340"/>
      <c r="S331" s="340">
        <v>344</v>
      </c>
      <c r="T331" s="340">
        <v>150</v>
      </c>
      <c r="U331" s="340"/>
      <c r="V331" s="340"/>
      <c r="W331" s="340"/>
      <c r="X331" s="340"/>
      <c r="Y331" s="125"/>
    </row>
    <row r="332" spans="10:25" x14ac:dyDescent="0.2">
      <c r="J332" s="340"/>
      <c r="K332" s="340"/>
      <c r="L332" s="340"/>
      <c r="M332" s="340"/>
      <c r="N332" s="340"/>
      <c r="O332" s="340"/>
      <c r="P332" s="340"/>
      <c r="Q332" s="340"/>
      <c r="R332" s="340"/>
      <c r="S332" s="340">
        <v>345</v>
      </c>
      <c r="T332" s="340">
        <v>150</v>
      </c>
      <c r="U332" s="340"/>
      <c r="V332" s="340"/>
      <c r="W332" s="340"/>
      <c r="X332" s="340"/>
      <c r="Y332" s="125"/>
    </row>
    <row r="333" spans="10:25" x14ac:dyDescent="0.2">
      <c r="J333" s="340"/>
      <c r="K333" s="340"/>
      <c r="L333" s="340"/>
      <c r="M333" s="340"/>
      <c r="N333" s="340"/>
      <c r="O333" s="340"/>
      <c r="P333" s="340"/>
      <c r="Q333" s="340"/>
      <c r="R333" s="340"/>
      <c r="S333" s="340">
        <v>346</v>
      </c>
      <c r="T333" s="340">
        <v>150</v>
      </c>
      <c r="U333" s="340"/>
      <c r="V333" s="340"/>
      <c r="W333" s="340"/>
      <c r="X333" s="340"/>
      <c r="Y333" s="125"/>
    </row>
    <row r="334" spans="10:25" x14ac:dyDescent="0.2">
      <c r="J334" s="340"/>
      <c r="K334" s="340"/>
      <c r="L334" s="340"/>
      <c r="M334" s="340"/>
      <c r="N334" s="340"/>
      <c r="O334" s="340"/>
      <c r="P334" s="340"/>
      <c r="Q334" s="340"/>
      <c r="R334" s="340"/>
      <c r="S334" s="340">
        <v>347</v>
      </c>
      <c r="T334" s="340">
        <v>150</v>
      </c>
      <c r="U334" s="340"/>
      <c r="V334" s="340"/>
      <c r="W334" s="340"/>
      <c r="X334" s="340"/>
      <c r="Y334" s="125"/>
    </row>
    <row r="335" spans="10:25" x14ac:dyDescent="0.2">
      <c r="J335" s="340"/>
      <c r="K335" s="340"/>
      <c r="L335" s="340"/>
      <c r="M335" s="340"/>
      <c r="N335" s="340"/>
      <c r="O335" s="340"/>
      <c r="P335" s="340"/>
      <c r="Q335" s="340"/>
      <c r="R335" s="340"/>
      <c r="S335" s="340">
        <v>348</v>
      </c>
      <c r="T335" s="340">
        <v>150</v>
      </c>
      <c r="U335" s="340"/>
      <c r="V335" s="340"/>
      <c r="W335" s="340"/>
      <c r="X335" s="340"/>
      <c r="Y335" s="125"/>
    </row>
    <row r="336" spans="10:25" x14ac:dyDescent="0.2">
      <c r="J336" s="340"/>
      <c r="K336" s="340"/>
      <c r="L336" s="340"/>
      <c r="M336" s="340"/>
      <c r="N336" s="340"/>
      <c r="O336" s="340"/>
      <c r="P336" s="340"/>
      <c r="Q336" s="340"/>
      <c r="R336" s="340"/>
      <c r="S336" s="340">
        <v>349</v>
      </c>
      <c r="T336" s="340">
        <v>150</v>
      </c>
      <c r="U336" s="340"/>
      <c r="V336" s="340"/>
      <c r="W336" s="340"/>
      <c r="X336" s="340"/>
      <c r="Y336" s="125"/>
    </row>
    <row r="337" spans="10:25" x14ac:dyDescent="0.2">
      <c r="J337" s="340"/>
      <c r="K337" s="340"/>
      <c r="L337" s="340"/>
      <c r="M337" s="340"/>
      <c r="N337" s="340"/>
      <c r="O337" s="340"/>
      <c r="P337" s="340"/>
      <c r="Q337" s="340"/>
      <c r="R337" s="340"/>
      <c r="S337" s="340">
        <v>350</v>
      </c>
      <c r="T337" s="340">
        <v>150</v>
      </c>
      <c r="U337" s="340"/>
      <c r="V337" s="340"/>
      <c r="W337" s="340"/>
      <c r="X337" s="340"/>
      <c r="Y337" s="125"/>
    </row>
    <row r="338" spans="10:25" x14ac:dyDescent="0.2">
      <c r="J338" s="340"/>
      <c r="K338" s="340"/>
      <c r="L338" s="340"/>
      <c r="M338" s="340"/>
      <c r="N338" s="340"/>
      <c r="O338" s="340"/>
      <c r="P338" s="340"/>
      <c r="Q338" s="340"/>
      <c r="R338" s="340"/>
      <c r="S338" s="340">
        <v>351</v>
      </c>
      <c r="T338" s="340">
        <v>150</v>
      </c>
      <c r="U338" s="340"/>
      <c r="V338" s="340"/>
      <c r="W338" s="340"/>
      <c r="X338" s="340"/>
      <c r="Y338" s="125"/>
    </row>
    <row r="339" spans="10:25" x14ac:dyDescent="0.2">
      <c r="J339" s="340"/>
      <c r="K339" s="340"/>
      <c r="L339" s="340"/>
      <c r="M339" s="340"/>
      <c r="N339" s="340"/>
      <c r="O339" s="340"/>
      <c r="P339" s="340"/>
      <c r="Q339" s="340"/>
      <c r="R339" s="340"/>
      <c r="S339" s="340">
        <v>352</v>
      </c>
      <c r="T339" s="340">
        <v>150</v>
      </c>
      <c r="U339" s="340"/>
      <c r="V339" s="340"/>
      <c r="W339" s="340"/>
      <c r="X339" s="340"/>
      <c r="Y339" s="125"/>
    </row>
    <row r="340" spans="10:25" x14ac:dyDescent="0.2">
      <c r="J340" s="340"/>
      <c r="K340" s="340"/>
      <c r="L340" s="340"/>
      <c r="M340" s="340"/>
      <c r="N340" s="340"/>
      <c r="O340" s="340"/>
      <c r="P340" s="340"/>
      <c r="Q340" s="340"/>
      <c r="R340" s="340"/>
      <c r="S340" s="340">
        <v>353</v>
      </c>
      <c r="T340" s="340">
        <v>150</v>
      </c>
      <c r="U340" s="340"/>
      <c r="V340" s="340"/>
      <c r="W340" s="340"/>
      <c r="X340" s="340"/>
      <c r="Y340" s="125"/>
    </row>
    <row r="341" spans="10:25" x14ac:dyDescent="0.2">
      <c r="J341" s="340"/>
      <c r="K341" s="340"/>
      <c r="L341" s="340"/>
      <c r="M341" s="340"/>
      <c r="N341" s="340"/>
      <c r="O341" s="340"/>
      <c r="P341" s="340"/>
      <c r="Q341" s="340"/>
      <c r="R341" s="340"/>
      <c r="S341" s="340">
        <v>354</v>
      </c>
      <c r="T341" s="340">
        <v>150</v>
      </c>
      <c r="U341" s="340"/>
      <c r="V341" s="340"/>
      <c r="W341" s="340"/>
      <c r="X341" s="340"/>
      <c r="Y341" s="125"/>
    </row>
    <row r="342" spans="10:25" x14ac:dyDescent="0.2">
      <c r="J342" s="340"/>
      <c r="K342" s="340"/>
      <c r="L342" s="340"/>
      <c r="M342" s="340"/>
      <c r="N342" s="340"/>
      <c r="O342" s="340"/>
      <c r="P342" s="340"/>
      <c r="Q342" s="340"/>
      <c r="R342" s="340"/>
      <c r="S342" s="340">
        <v>355</v>
      </c>
      <c r="T342" s="340">
        <v>150</v>
      </c>
      <c r="U342" s="340"/>
      <c r="V342" s="340"/>
      <c r="W342" s="340"/>
      <c r="X342" s="340"/>
      <c r="Y342" s="125"/>
    </row>
    <row r="343" spans="10:25" x14ac:dyDescent="0.2">
      <c r="J343" s="340"/>
      <c r="K343" s="340"/>
      <c r="L343" s="340"/>
      <c r="M343" s="340"/>
      <c r="N343" s="340"/>
      <c r="O343" s="340"/>
      <c r="P343" s="340"/>
      <c r="Q343" s="340"/>
      <c r="R343" s="340"/>
      <c r="S343" s="340">
        <v>356</v>
      </c>
      <c r="T343" s="340">
        <v>150</v>
      </c>
      <c r="U343" s="340"/>
      <c r="V343" s="340"/>
      <c r="W343" s="340"/>
      <c r="X343" s="340"/>
      <c r="Y343" s="125"/>
    </row>
    <row r="344" spans="10:25" x14ac:dyDescent="0.2">
      <c r="J344" s="340"/>
      <c r="K344" s="340"/>
      <c r="L344" s="340"/>
      <c r="M344" s="340"/>
      <c r="N344" s="340"/>
      <c r="O344" s="340"/>
      <c r="P344" s="340"/>
      <c r="Q344" s="340"/>
      <c r="R344" s="340"/>
      <c r="S344" s="340">
        <v>357</v>
      </c>
      <c r="T344" s="340">
        <v>150</v>
      </c>
      <c r="U344" s="340"/>
      <c r="V344" s="340"/>
      <c r="W344" s="340"/>
      <c r="X344" s="340"/>
      <c r="Y344" s="125"/>
    </row>
    <row r="345" spans="10:25" x14ac:dyDescent="0.2">
      <c r="J345" s="340"/>
      <c r="K345" s="340"/>
      <c r="L345" s="340"/>
      <c r="M345" s="340"/>
      <c r="N345" s="340"/>
      <c r="O345" s="340"/>
      <c r="P345" s="340"/>
      <c r="Q345" s="340"/>
      <c r="R345" s="340"/>
      <c r="S345" s="340">
        <v>358</v>
      </c>
      <c r="T345" s="340">
        <v>150</v>
      </c>
      <c r="U345" s="340"/>
      <c r="V345" s="340"/>
      <c r="W345" s="340"/>
      <c r="X345" s="340"/>
      <c r="Y345" s="125"/>
    </row>
    <row r="346" spans="10:25" x14ac:dyDescent="0.2">
      <c r="J346" s="340"/>
      <c r="K346" s="340"/>
      <c r="L346" s="340"/>
      <c r="M346" s="340"/>
      <c r="N346" s="340"/>
      <c r="O346" s="340"/>
      <c r="P346" s="340"/>
      <c r="Q346" s="340"/>
      <c r="R346" s="340"/>
      <c r="S346" s="340">
        <v>359</v>
      </c>
      <c r="T346" s="340">
        <v>150</v>
      </c>
      <c r="U346" s="340"/>
      <c r="V346" s="340"/>
      <c r="W346" s="340"/>
      <c r="X346" s="340"/>
      <c r="Y346" s="125"/>
    </row>
    <row r="347" spans="10:25" x14ac:dyDescent="0.2">
      <c r="J347" s="340"/>
      <c r="K347" s="340"/>
      <c r="L347" s="340"/>
      <c r="M347" s="340"/>
      <c r="N347" s="340"/>
      <c r="O347" s="340"/>
      <c r="P347" s="340"/>
      <c r="Q347" s="340"/>
      <c r="R347" s="340"/>
      <c r="S347" s="340">
        <v>360</v>
      </c>
      <c r="T347" s="340">
        <v>150</v>
      </c>
      <c r="U347" s="340">
        <v>360</v>
      </c>
      <c r="V347" s="340"/>
      <c r="W347" s="340"/>
      <c r="X347" s="340"/>
      <c r="Y347" s="125"/>
    </row>
    <row r="348" spans="10:25" x14ac:dyDescent="0.2">
      <c r="J348" s="340"/>
      <c r="K348" s="340"/>
      <c r="L348" s="340"/>
      <c r="M348" s="340"/>
      <c r="N348" s="340"/>
      <c r="O348" s="340"/>
      <c r="P348" s="340"/>
      <c r="Q348" s="340"/>
      <c r="R348" s="340"/>
      <c r="S348" s="340"/>
      <c r="T348" s="340"/>
      <c r="U348" s="340"/>
      <c r="V348" s="340"/>
      <c r="W348" s="340"/>
      <c r="X348" s="340"/>
      <c r="Y348" s="125"/>
    </row>
    <row r="349" spans="10:25" x14ac:dyDescent="0.2">
      <c r="J349" s="340"/>
      <c r="K349" s="340"/>
      <c r="L349" s="340"/>
      <c r="M349" s="340"/>
      <c r="N349" s="340"/>
      <c r="O349" s="340"/>
      <c r="P349" s="340"/>
      <c r="Q349" s="340"/>
      <c r="R349" s="340"/>
      <c r="S349" s="340"/>
      <c r="T349" s="340"/>
      <c r="U349" s="340"/>
      <c r="V349" s="340"/>
      <c r="W349" s="340"/>
      <c r="X349" s="340"/>
      <c r="Y349" s="125"/>
    </row>
    <row r="350" spans="10:25" x14ac:dyDescent="0.2">
      <c r="J350" s="340"/>
      <c r="K350" s="340"/>
      <c r="L350" s="340"/>
      <c r="M350" s="340"/>
      <c r="N350" s="340"/>
      <c r="O350" s="340"/>
      <c r="P350" s="340"/>
      <c r="Q350" s="340"/>
      <c r="R350" s="340"/>
      <c r="S350" s="340"/>
      <c r="T350" s="340"/>
      <c r="U350" s="340"/>
      <c r="V350" s="340"/>
      <c r="W350" s="340"/>
      <c r="X350" s="340"/>
      <c r="Y350" s="125"/>
    </row>
    <row r="351" spans="10:25" x14ac:dyDescent="0.2">
      <c r="J351" s="340"/>
      <c r="K351" s="340"/>
      <c r="L351" s="340"/>
      <c r="M351" s="340"/>
      <c r="N351" s="340"/>
      <c r="O351" s="340"/>
      <c r="P351" s="340"/>
      <c r="Q351" s="340"/>
      <c r="R351" s="340"/>
      <c r="S351" s="340"/>
      <c r="T351" s="340"/>
      <c r="U351" s="340"/>
      <c r="V351" s="340"/>
      <c r="W351" s="340"/>
      <c r="X351" s="340"/>
      <c r="Y351" s="125"/>
    </row>
    <row r="352" spans="10:25" x14ac:dyDescent="0.2">
      <c r="J352" s="340"/>
      <c r="K352" s="340"/>
      <c r="L352" s="340"/>
      <c r="M352" s="340"/>
      <c r="N352" s="340"/>
      <c r="O352" s="340"/>
      <c r="P352" s="340"/>
      <c r="Q352" s="340"/>
      <c r="R352" s="340"/>
      <c r="S352" s="340"/>
      <c r="T352" s="340"/>
      <c r="U352" s="340"/>
      <c r="V352" s="340"/>
      <c r="W352" s="340"/>
      <c r="X352" s="340"/>
      <c r="Y352" s="125"/>
    </row>
    <row r="353" spans="10:25" x14ac:dyDescent="0.2">
      <c r="J353" s="340"/>
      <c r="K353" s="340"/>
      <c r="L353" s="340"/>
      <c r="M353" s="340"/>
      <c r="N353" s="340"/>
      <c r="O353" s="340"/>
      <c r="P353" s="340"/>
      <c r="Q353" s="340"/>
      <c r="R353" s="340"/>
      <c r="S353" s="340"/>
      <c r="T353" s="340"/>
      <c r="U353" s="340"/>
      <c r="V353" s="340"/>
      <c r="W353" s="340"/>
      <c r="X353" s="340"/>
      <c r="Y353" s="125"/>
    </row>
    <row r="354" spans="10:25" x14ac:dyDescent="0.2">
      <c r="J354" s="340"/>
      <c r="K354" s="340"/>
      <c r="L354" s="340"/>
      <c r="M354" s="340"/>
      <c r="N354" s="340"/>
      <c r="O354" s="340"/>
      <c r="P354" s="340"/>
      <c r="Q354" s="340"/>
      <c r="R354" s="340"/>
      <c r="S354" s="340"/>
      <c r="T354" s="340"/>
      <c r="U354" s="340"/>
      <c r="V354" s="340"/>
      <c r="W354" s="340"/>
      <c r="X354" s="340"/>
      <c r="Y354" s="125"/>
    </row>
    <row r="355" spans="10:25" x14ac:dyDescent="0.2">
      <c r="J355" s="340"/>
      <c r="K355" s="340"/>
      <c r="L355" s="340"/>
      <c r="M355" s="340"/>
      <c r="N355" s="340"/>
      <c r="O355" s="340"/>
      <c r="P355" s="340"/>
      <c r="Q355" s="340"/>
      <c r="R355" s="340"/>
      <c r="S355" s="340"/>
      <c r="T355" s="340"/>
      <c r="U355" s="340"/>
      <c r="V355" s="340"/>
      <c r="W355" s="340"/>
      <c r="X355" s="340"/>
      <c r="Y355" s="125"/>
    </row>
    <row r="356" spans="10:25" x14ac:dyDescent="0.2">
      <c r="J356" s="340"/>
      <c r="K356" s="340"/>
      <c r="L356" s="340"/>
      <c r="M356" s="340"/>
      <c r="N356" s="340"/>
      <c r="O356" s="340"/>
      <c r="P356" s="340"/>
      <c r="Q356" s="340"/>
      <c r="R356" s="340"/>
      <c r="S356" s="340"/>
      <c r="T356" s="340"/>
      <c r="U356" s="340"/>
      <c r="V356" s="340"/>
      <c r="W356" s="340"/>
      <c r="X356" s="340"/>
      <c r="Y356" s="125"/>
    </row>
    <row r="357" spans="10:25" x14ac:dyDescent="0.2">
      <c r="J357" s="340"/>
      <c r="K357" s="340"/>
      <c r="L357" s="340"/>
      <c r="M357" s="340"/>
      <c r="N357" s="340"/>
      <c r="O357" s="340"/>
      <c r="P357" s="340"/>
      <c r="Q357" s="340"/>
      <c r="R357" s="340"/>
      <c r="S357" s="340"/>
      <c r="T357" s="340"/>
      <c r="U357" s="340"/>
      <c r="V357" s="340"/>
      <c r="W357" s="340"/>
      <c r="X357" s="340"/>
      <c r="Y357" s="125"/>
    </row>
    <row r="358" spans="10:25" x14ac:dyDescent="0.2">
      <c r="J358" s="340"/>
      <c r="K358" s="340"/>
      <c r="L358" s="340"/>
      <c r="M358" s="340"/>
      <c r="N358" s="340"/>
      <c r="O358" s="340"/>
      <c r="P358" s="340"/>
      <c r="Q358" s="340"/>
      <c r="R358" s="340"/>
      <c r="S358" s="340"/>
      <c r="T358" s="340"/>
      <c r="U358" s="340"/>
      <c r="V358" s="340"/>
      <c r="W358" s="340"/>
      <c r="X358" s="340"/>
      <c r="Y358" s="125"/>
    </row>
    <row r="359" spans="10:25" x14ac:dyDescent="0.2">
      <c r="J359" s="340"/>
      <c r="K359" s="340"/>
      <c r="L359" s="340"/>
      <c r="M359" s="340"/>
      <c r="N359" s="340"/>
      <c r="O359" s="340"/>
      <c r="P359" s="340"/>
      <c r="Q359" s="340"/>
      <c r="R359" s="340"/>
      <c r="S359" s="340"/>
      <c r="T359" s="340"/>
      <c r="U359" s="340"/>
      <c r="V359" s="340"/>
      <c r="W359" s="340"/>
      <c r="X359" s="340"/>
      <c r="Y359" s="125"/>
    </row>
    <row r="360" spans="10:25" x14ac:dyDescent="0.2">
      <c r="J360" s="340"/>
      <c r="K360" s="340"/>
      <c r="L360" s="340"/>
      <c r="M360" s="340"/>
      <c r="N360" s="340"/>
      <c r="O360" s="340"/>
      <c r="P360" s="340"/>
      <c r="Q360" s="340"/>
      <c r="R360" s="340"/>
      <c r="S360" s="340"/>
      <c r="T360" s="340"/>
      <c r="U360" s="340"/>
      <c r="V360" s="340"/>
      <c r="W360" s="340"/>
      <c r="X360" s="340"/>
      <c r="Y360" s="125"/>
    </row>
    <row r="361" spans="10:25" x14ac:dyDescent="0.2">
      <c r="J361" s="340"/>
      <c r="K361" s="340"/>
      <c r="L361" s="340"/>
      <c r="M361" s="340"/>
      <c r="N361" s="340"/>
      <c r="O361" s="340"/>
      <c r="P361" s="340"/>
      <c r="Q361" s="340"/>
      <c r="R361" s="340"/>
      <c r="S361" s="340"/>
      <c r="T361" s="340"/>
      <c r="U361" s="340"/>
      <c r="V361" s="340"/>
      <c r="W361" s="340"/>
      <c r="X361" s="340"/>
      <c r="Y361" s="125"/>
    </row>
    <row r="362" spans="10:25" x14ac:dyDescent="0.2">
      <c r="J362" s="340"/>
      <c r="K362" s="340"/>
      <c r="L362" s="340"/>
      <c r="M362" s="340"/>
      <c r="N362" s="340"/>
      <c r="O362" s="340"/>
      <c r="P362" s="340"/>
      <c r="Q362" s="340"/>
      <c r="R362" s="340"/>
      <c r="S362" s="340"/>
      <c r="T362" s="340"/>
      <c r="U362" s="340"/>
      <c r="V362" s="340"/>
      <c r="W362" s="340"/>
      <c r="X362" s="340"/>
      <c r="Y362" s="125"/>
    </row>
    <row r="363" spans="10:25" x14ac:dyDescent="0.2">
      <c r="J363" s="340"/>
      <c r="K363" s="340"/>
      <c r="L363" s="340"/>
      <c r="M363" s="340"/>
      <c r="N363" s="340"/>
      <c r="O363" s="340"/>
      <c r="P363" s="340"/>
      <c r="Q363" s="340"/>
      <c r="R363" s="340"/>
      <c r="S363" s="340"/>
      <c r="T363" s="340"/>
      <c r="U363" s="340"/>
      <c r="V363" s="340"/>
      <c r="W363" s="340"/>
      <c r="X363" s="340"/>
      <c r="Y363" s="125"/>
    </row>
    <row r="364" spans="10:25" x14ac:dyDescent="0.2">
      <c r="J364" s="340"/>
      <c r="K364" s="340"/>
      <c r="L364" s="340"/>
      <c r="M364" s="340"/>
      <c r="N364" s="340"/>
      <c r="O364" s="340"/>
      <c r="P364" s="340"/>
      <c r="Q364" s="340"/>
      <c r="R364" s="340"/>
      <c r="S364" s="340"/>
      <c r="T364" s="340"/>
      <c r="U364" s="340"/>
      <c r="V364" s="340"/>
      <c r="W364" s="340"/>
      <c r="X364" s="340"/>
      <c r="Y364" s="125"/>
    </row>
    <row r="365" spans="10:25" x14ac:dyDescent="0.2">
      <c r="J365" s="340"/>
      <c r="K365" s="340"/>
      <c r="L365" s="340"/>
      <c r="M365" s="340"/>
      <c r="N365" s="340"/>
      <c r="O365" s="340"/>
      <c r="P365" s="340"/>
      <c r="Q365" s="340"/>
      <c r="R365" s="340"/>
      <c r="S365" s="340"/>
      <c r="T365" s="340"/>
      <c r="U365" s="340"/>
      <c r="V365" s="340"/>
      <c r="W365" s="340"/>
      <c r="X365" s="340"/>
      <c r="Y365" s="125"/>
    </row>
    <row r="366" spans="10:25" x14ac:dyDescent="0.2">
      <c r="J366" s="340"/>
      <c r="K366" s="340"/>
      <c r="L366" s="340"/>
      <c r="M366" s="340"/>
      <c r="N366" s="340"/>
      <c r="O366" s="340"/>
      <c r="P366" s="340"/>
      <c r="Q366" s="340"/>
      <c r="R366" s="340"/>
      <c r="S366" s="340"/>
      <c r="T366" s="340"/>
      <c r="U366" s="340"/>
      <c r="V366" s="340"/>
      <c r="W366" s="340"/>
      <c r="X366" s="340"/>
      <c r="Y366" s="125"/>
    </row>
    <row r="367" spans="10:25" x14ac:dyDescent="0.2">
      <c r="J367" s="340"/>
      <c r="K367" s="340"/>
      <c r="L367" s="340"/>
      <c r="M367" s="340"/>
      <c r="N367" s="340"/>
      <c r="O367" s="340"/>
      <c r="P367" s="340"/>
      <c r="Q367" s="340"/>
      <c r="R367" s="340"/>
      <c r="S367" s="340"/>
      <c r="T367" s="340"/>
      <c r="U367" s="340"/>
      <c r="V367" s="340"/>
      <c r="W367" s="340"/>
      <c r="X367" s="340"/>
      <c r="Y367" s="125"/>
    </row>
    <row r="368" spans="10:25" x14ac:dyDescent="0.2">
      <c r="J368" s="340"/>
      <c r="K368" s="340"/>
      <c r="L368" s="340"/>
      <c r="M368" s="340"/>
      <c r="N368" s="340"/>
      <c r="O368" s="340"/>
      <c r="P368" s="340"/>
      <c r="Q368" s="340"/>
      <c r="R368" s="340"/>
      <c r="S368" s="340"/>
      <c r="T368" s="340"/>
      <c r="U368" s="340"/>
      <c r="V368" s="340"/>
      <c r="W368" s="340"/>
      <c r="X368" s="340"/>
      <c r="Y368" s="125"/>
    </row>
    <row r="369" spans="10:25" x14ac:dyDescent="0.2">
      <c r="J369" s="340"/>
      <c r="K369" s="340"/>
      <c r="L369" s="340"/>
      <c r="M369" s="340"/>
      <c r="N369" s="340"/>
      <c r="O369" s="340"/>
      <c r="P369" s="340"/>
      <c r="Q369" s="340"/>
      <c r="R369" s="340"/>
      <c r="S369" s="340"/>
      <c r="T369" s="340"/>
      <c r="U369" s="340"/>
      <c r="V369" s="340"/>
      <c r="W369" s="340"/>
      <c r="X369" s="340"/>
      <c r="Y369" s="125"/>
    </row>
    <row r="370" spans="10:25" x14ac:dyDescent="0.2">
      <c r="J370" s="340"/>
      <c r="K370" s="340"/>
      <c r="L370" s="340"/>
      <c r="M370" s="340"/>
      <c r="N370" s="340"/>
      <c r="O370" s="340"/>
      <c r="P370" s="340"/>
      <c r="Q370" s="340"/>
      <c r="R370" s="340"/>
      <c r="S370" s="340"/>
      <c r="T370" s="340"/>
      <c r="U370" s="340"/>
      <c r="V370" s="340"/>
      <c r="W370" s="340"/>
      <c r="X370" s="340"/>
      <c r="Y370" s="125"/>
    </row>
    <row r="371" spans="10:25" x14ac:dyDescent="0.2">
      <c r="J371" s="340"/>
      <c r="K371" s="340"/>
      <c r="L371" s="340"/>
      <c r="M371" s="340"/>
      <c r="N371" s="340"/>
      <c r="O371" s="340"/>
      <c r="P371" s="340"/>
      <c r="Q371" s="340"/>
      <c r="R371" s="340"/>
      <c r="S371" s="340"/>
      <c r="T371" s="340"/>
      <c r="U371" s="340"/>
      <c r="V371" s="340"/>
      <c r="W371" s="340"/>
      <c r="X371" s="340"/>
      <c r="Y371" s="125"/>
    </row>
    <row r="372" spans="10:25" x14ac:dyDescent="0.2">
      <c r="J372" s="340"/>
      <c r="K372" s="340"/>
      <c r="L372" s="340"/>
      <c r="M372" s="340"/>
      <c r="N372" s="340"/>
      <c r="O372" s="340"/>
      <c r="P372" s="340"/>
      <c r="Q372" s="340"/>
      <c r="R372" s="340"/>
      <c r="S372" s="340"/>
      <c r="T372" s="340"/>
      <c r="U372" s="340"/>
      <c r="V372" s="340"/>
      <c r="W372" s="340"/>
      <c r="X372" s="340"/>
      <c r="Y372" s="125"/>
    </row>
    <row r="373" spans="10:25" x14ac:dyDescent="0.2">
      <c r="J373" s="340"/>
      <c r="K373" s="340"/>
      <c r="L373" s="340"/>
      <c r="M373" s="340"/>
      <c r="N373" s="340"/>
      <c r="O373" s="340"/>
      <c r="P373" s="340"/>
      <c r="Q373" s="340"/>
      <c r="R373" s="340"/>
      <c r="S373" s="340"/>
      <c r="T373" s="340"/>
      <c r="U373" s="340"/>
      <c r="V373" s="340"/>
      <c r="W373" s="340"/>
      <c r="X373" s="340"/>
      <c r="Y373" s="125"/>
    </row>
    <row r="374" spans="10:25" x14ac:dyDescent="0.2">
      <c r="J374" s="340"/>
      <c r="K374" s="340"/>
      <c r="L374" s="340"/>
      <c r="M374" s="340"/>
      <c r="N374" s="340"/>
      <c r="O374" s="340"/>
      <c r="P374" s="340"/>
      <c r="Q374" s="340"/>
      <c r="R374" s="340"/>
      <c r="S374" s="340"/>
      <c r="T374" s="340"/>
      <c r="U374" s="340"/>
      <c r="V374" s="340"/>
      <c r="W374" s="340"/>
      <c r="X374" s="340"/>
      <c r="Y374" s="125"/>
    </row>
    <row r="375" spans="10:25" x14ac:dyDescent="0.2">
      <c r="J375" s="340"/>
      <c r="K375" s="340"/>
      <c r="L375" s="340"/>
      <c r="M375" s="340"/>
      <c r="N375" s="340"/>
      <c r="O375" s="340"/>
      <c r="P375" s="340"/>
      <c r="Q375" s="340"/>
      <c r="R375" s="340"/>
      <c r="S375" s="340"/>
      <c r="T375" s="340"/>
      <c r="U375" s="340"/>
      <c r="V375" s="340"/>
      <c r="W375" s="340"/>
      <c r="X375" s="340"/>
      <c r="Y375" s="125"/>
    </row>
    <row r="376" spans="10:25" x14ac:dyDescent="0.2">
      <c r="J376" s="340"/>
      <c r="K376" s="340"/>
      <c r="L376" s="340"/>
      <c r="M376" s="340"/>
      <c r="N376" s="340"/>
      <c r="O376" s="340"/>
      <c r="P376" s="340"/>
      <c r="Q376" s="340"/>
      <c r="R376" s="340"/>
      <c r="S376" s="340"/>
      <c r="T376" s="340"/>
      <c r="U376" s="340"/>
      <c r="V376" s="340"/>
      <c r="W376" s="340"/>
      <c r="X376" s="340"/>
      <c r="Y376" s="125"/>
    </row>
    <row r="377" spans="10:25" x14ac:dyDescent="0.2">
      <c r="J377" s="340"/>
      <c r="K377" s="340"/>
      <c r="L377" s="340"/>
      <c r="M377" s="340"/>
      <c r="N377" s="340"/>
      <c r="O377" s="340"/>
      <c r="P377" s="340"/>
      <c r="Q377" s="340"/>
      <c r="R377" s="340"/>
      <c r="S377" s="340"/>
      <c r="T377" s="340"/>
      <c r="U377" s="340"/>
      <c r="V377" s="340"/>
      <c r="W377" s="340"/>
      <c r="X377" s="340"/>
      <c r="Y377" s="125"/>
    </row>
    <row r="378" spans="10:25" x14ac:dyDescent="0.2">
      <c r="J378" s="340"/>
      <c r="K378" s="340"/>
      <c r="L378" s="340"/>
      <c r="M378" s="340"/>
      <c r="N378" s="340"/>
      <c r="O378" s="340"/>
      <c r="P378" s="340"/>
      <c r="Q378" s="340"/>
      <c r="R378" s="340"/>
      <c r="S378" s="340"/>
      <c r="T378" s="340"/>
      <c r="U378" s="340"/>
      <c r="V378" s="340"/>
      <c r="W378" s="340"/>
      <c r="X378" s="340"/>
      <c r="Y378" s="125"/>
    </row>
    <row r="379" spans="10:25" x14ac:dyDescent="0.2">
      <c r="J379" s="340"/>
      <c r="K379" s="340"/>
      <c r="L379" s="340"/>
      <c r="M379" s="340"/>
      <c r="N379" s="340"/>
      <c r="O379" s="340"/>
      <c r="P379" s="340"/>
      <c r="Q379" s="340"/>
      <c r="R379" s="340"/>
      <c r="S379" s="340"/>
      <c r="T379" s="340"/>
      <c r="U379" s="340"/>
      <c r="V379" s="340"/>
      <c r="W379" s="340"/>
      <c r="X379" s="340"/>
      <c r="Y379" s="125"/>
    </row>
    <row r="380" spans="10:25" x14ac:dyDescent="0.2">
      <c r="J380" s="340"/>
      <c r="K380" s="340"/>
      <c r="L380" s="340"/>
      <c r="M380" s="340"/>
      <c r="N380" s="340"/>
      <c r="O380" s="340"/>
      <c r="P380" s="340"/>
      <c r="Q380" s="340"/>
      <c r="R380" s="340"/>
      <c r="S380" s="340"/>
      <c r="T380" s="340"/>
      <c r="U380" s="340"/>
      <c r="V380" s="340"/>
      <c r="W380" s="340"/>
      <c r="X380" s="340"/>
      <c r="Y380" s="125"/>
    </row>
    <row r="381" spans="10:25" x14ac:dyDescent="0.2">
      <c r="J381" s="340"/>
      <c r="K381" s="340"/>
      <c r="L381" s="340"/>
      <c r="M381" s="340"/>
      <c r="N381" s="340"/>
      <c r="O381" s="340"/>
      <c r="P381" s="340"/>
      <c r="Q381" s="340"/>
      <c r="R381" s="340"/>
      <c r="S381" s="340"/>
      <c r="T381" s="340"/>
      <c r="U381" s="340"/>
      <c r="V381" s="340"/>
      <c r="W381" s="340"/>
      <c r="X381" s="340"/>
      <c r="Y381" s="125"/>
    </row>
    <row r="382" spans="10:25" x14ac:dyDescent="0.2">
      <c r="J382" s="340"/>
      <c r="K382" s="340"/>
      <c r="L382" s="340"/>
      <c r="M382" s="340"/>
      <c r="N382" s="340"/>
      <c r="O382" s="340"/>
      <c r="P382" s="340"/>
      <c r="Q382" s="340"/>
      <c r="R382" s="340"/>
      <c r="S382" s="340"/>
      <c r="T382" s="340"/>
      <c r="U382" s="340"/>
      <c r="V382" s="340"/>
      <c r="W382" s="340"/>
      <c r="X382" s="340"/>
      <c r="Y382" s="125"/>
    </row>
    <row r="383" spans="10:25" x14ac:dyDescent="0.2">
      <c r="J383" s="340"/>
      <c r="K383" s="340"/>
      <c r="L383" s="340"/>
      <c r="M383" s="340"/>
      <c r="N383" s="340"/>
      <c r="O383" s="340"/>
      <c r="P383" s="340"/>
      <c r="Q383" s="340"/>
      <c r="R383" s="340"/>
      <c r="S383" s="340"/>
      <c r="T383" s="340"/>
      <c r="U383" s="340"/>
      <c r="V383" s="340"/>
      <c r="W383" s="340"/>
      <c r="X383" s="340"/>
      <c r="Y383" s="125"/>
    </row>
    <row r="384" spans="10:25" x14ac:dyDescent="0.2">
      <c r="J384" s="340"/>
      <c r="K384" s="340"/>
      <c r="L384" s="340"/>
      <c r="M384" s="340"/>
      <c r="N384" s="340"/>
      <c r="O384" s="340"/>
      <c r="P384" s="340"/>
      <c r="Q384" s="340"/>
      <c r="R384" s="340"/>
      <c r="S384" s="340"/>
      <c r="T384" s="340"/>
      <c r="U384" s="340"/>
      <c r="V384" s="340"/>
      <c r="W384" s="340"/>
      <c r="X384" s="340"/>
      <c r="Y384" s="125"/>
    </row>
    <row r="385" spans="10:25" x14ac:dyDescent="0.2">
      <c r="J385" s="340"/>
      <c r="K385" s="340"/>
      <c r="L385" s="340"/>
      <c r="M385" s="340"/>
      <c r="N385" s="340"/>
      <c r="O385" s="340"/>
      <c r="P385" s="340"/>
      <c r="Q385" s="340"/>
      <c r="R385" s="340"/>
      <c r="S385" s="340"/>
      <c r="T385" s="340"/>
      <c r="U385" s="340"/>
      <c r="V385" s="340"/>
      <c r="W385" s="340"/>
      <c r="X385" s="340"/>
      <c r="Y385" s="125"/>
    </row>
    <row r="386" spans="10:25" x14ac:dyDescent="0.2">
      <c r="J386" s="340"/>
      <c r="K386" s="340"/>
      <c r="L386" s="340"/>
      <c r="M386" s="340"/>
      <c r="N386" s="340"/>
      <c r="O386" s="340"/>
      <c r="P386" s="340"/>
      <c r="Q386" s="340"/>
      <c r="R386" s="340"/>
      <c r="S386" s="340"/>
      <c r="T386" s="340"/>
      <c r="U386" s="340"/>
      <c r="V386" s="340"/>
      <c r="W386" s="340"/>
      <c r="X386" s="340"/>
      <c r="Y386" s="125"/>
    </row>
    <row r="387" spans="10:25" x14ac:dyDescent="0.2">
      <c r="J387" s="340"/>
      <c r="K387" s="340"/>
      <c r="L387" s="340"/>
      <c r="M387" s="340"/>
      <c r="N387" s="340"/>
      <c r="O387" s="340"/>
      <c r="P387" s="340"/>
      <c r="Q387" s="340"/>
      <c r="R387" s="340"/>
      <c r="S387" s="340"/>
      <c r="T387" s="340"/>
      <c r="U387" s="340"/>
      <c r="V387" s="340"/>
      <c r="W387" s="340"/>
      <c r="X387" s="340"/>
      <c r="Y387" s="125"/>
    </row>
    <row r="388" spans="10:25" x14ac:dyDescent="0.2">
      <c r="J388" s="340"/>
      <c r="K388" s="340"/>
      <c r="L388" s="340"/>
      <c r="M388" s="340"/>
      <c r="N388" s="340"/>
      <c r="O388" s="340"/>
      <c r="P388" s="340"/>
      <c r="Q388" s="340"/>
      <c r="R388" s="340"/>
      <c r="S388" s="340"/>
      <c r="T388" s="340"/>
      <c r="U388" s="340"/>
      <c r="V388" s="340"/>
      <c r="W388" s="340"/>
      <c r="X388" s="340"/>
      <c r="Y388" s="125"/>
    </row>
    <row r="389" spans="10:25" x14ac:dyDescent="0.2">
      <c r="J389" s="340"/>
      <c r="K389" s="340"/>
      <c r="L389" s="340"/>
      <c r="M389" s="340"/>
      <c r="N389" s="340"/>
      <c r="O389" s="340"/>
      <c r="P389" s="340"/>
      <c r="Q389" s="340"/>
      <c r="R389" s="340"/>
      <c r="S389" s="340"/>
      <c r="T389" s="340"/>
      <c r="U389" s="340"/>
      <c r="V389" s="340"/>
      <c r="W389" s="340"/>
      <c r="X389" s="340"/>
      <c r="Y389" s="125"/>
    </row>
    <row r="390" spans="10:25" x14ac:dyDescent="0.2">
      <c r="J390" s="340"/>
      <c r="K390" s="340"/>
      <c r="L390" s="340"/>
      <c r="M390" s="340"/>
      <c r="N390" s="340"/>
      <c r="O390" s="340"/>
      <c r="P390" s="340"/>
      <c r="Q390" s="340"/>
      <c r="R390" s="340"/>
      <c r="S390" s="340"/>
      <c r="T390" s="340"/>
      <c r="U390" s="340"/>
      <c r="V390" s="340"/>
      <c r="W390" s="340"/>
      <c r="X390" s="340"/>
      <c r="Y390" s="125"/>
    </row>
    <row r="391" spans="10:25" x14ac:dyDescent="0.2">
      <c r="J391" s="340"/>
      <c r="K391" s="340"/>
      <c r="L391" s="340"/>
      <c r="M391" s="340"/>
      <c r="N391" s="340"/>
      <c r="O391" s="340"/>
      <c r="P391" s="340"/>
      <c r="Q391" s="340"/>
      <c r="R391" s="340"/>
      <c r="S391" s="340"/>
      <c r="T391" s="340"/>
      <c r="U391" s="340"/>
      <c r="V391" s="340"/>
      <c r="W391" s="340"/>
      <c r="X391" s="340"/>
      <c r="Y391" s="125"/>
    </row>
    <row r="392" spans="10:25" x14ac:dyDescent="0.2">
      <c r="J392" s="340"/>
      <c r="K392" s="340"/>
      <c r="L392" s="340"/>
      <c r="M392" s="340"/>
      <c r="N392" s="340"/>
      <c r="O392" s="340"/>
      <c r="P392" s="340"/>
      <c r="Q392" s="340"/>
      <c r="R392" s="340"/>
      <c r="S392" s="340"/>
      <c r="T392" s="340"/>
      <c r="U392" s="340"/>
      <c r="V392" s="340"/>
      <c r="W392" s="340"/>
      <c r="X392" s="340"/>
      <c r="Y392" s="125"/>
    </row>
    <row r="393" spans="10:25" x14ac:dyDescent="0.2">
      <c r="J393" s="340"/>
      <c r="K393" s="340"/>
      <c r="L393" s="340"/>
      <c r="M393" s="340"/>
      <c r="N393" s="340"/>
      <c r="O393" s="340"/>
      <c r="P393" s="340"/>
      <c r="Q393" s="340"/>
      <c r="R393" s="340"/>
      <c r="S393" s="340"/>
      <c r="T393" s="340"/>
      <c r="U393" s="340"/>
      <c r="V393" s="340"/>
      <c r="W393" s="340"/>
      <c r="X393" s="340"/>
      <c r="Y393" s="125"/>
    </row>
    <row r="394" spans="10:25" x14ac:dyDescent="0.2">
      <c r="J394" s="340"/>
      <c r="K394" s="340"/>
      <c r="L394" s="340"/>
      <c r="M394" s="340"/>
      <c r="N394" s="340"/>
      <c r="O394" s="340"/>
      <c r="P394" s="340"/>
      <c r="Q394" s="340"/>
      <c r="R394" s="340"/>
      <c r="S394" s="340"/>
      <c r="T394" s="340"/>
      <c r="U394" s="340"/>
      <c r="V394" s="340"/>
      <c r="W394" s="340"/>
      <c r="X394" s="340"/>
      <c r="Y394" s="125"/>
    </row>
    <row r="395" spans="10:25" x14ac:dyDescent="0.2">
      <c r="J395" s="340"/>
      <c r="K395" s="340"/>
      <c r="L395" s="340"/>
      <c r="M395" s="340"/>
      <c r="N395" s="340"/>
      <c r="O395" s="340"/>
      <c r="P395" s="340"/>
      <c r="Q395" s="340"/>
      <c r="R395" s="340"/>
      <c r="S395" s="340"/>
      <c r="T395" s="340"/>
      <c r="U395" s="340"/>
      <c r="V395" s="340"/>
      <c r="W395" s="340"/>
      <c r="X395" s="340"/>
      <c r="Y395" s="125"/>
    </row>
    <row r="396" spans="10:25" x14ac:dyDescent="0.2">
      <c r="J396" s="340"/>
      <c r="K396" s="340"/>
      <c r="L396" s="340"/>
      <c r="M396" s="340"/>
      <c r="N396" s="340"/>
      <c r="O396" s="340"/>
      <c r="P396" s="340"/>
      <c r="Q396" s="340"/>
      <c r="R396" s="340"/>
      <c r="S396" s="340"/>
      <c r="T396" s="340"/>
      <c r="U396" s="340"/>
      <c r="V396" s="340"/>
      <c r="W396" s="340"/>
      <c r="X396" s="340"/>
      <c r="Y396" s="125"/>
    </row>
    <row r="397" spans="10:25" x14ac:dyDescent="0.2">
      <c r="J397" s="340"/>
      <c r="K397" s="340"/>
      <c r="L397" s="340"/>
      <c r="M397" s="340"/>
      <c r="N397" s="340"/>
      <c r="O397" s="340"/>
      <c r="P397" s="340"/>
      <c r="Q397" s="340"/>
      <c r="R397" s="340"/>
      <c r="S397" s="340"/>
      <c r="T397" s="340"/>
      <c r="U397" s="340"/>
      <c r="V397" s="340"/>
      <c r="W397" s="340"/>
      <c r="X397" s="340"/>
      <c r="Y397" s="125"/>
    </row>
    <row r="398" spans="10:25" x14ac:dyDescent="0.2">
      <c r="J398" s="340"/>
      <c r="K398" s="340"/>
      <c r="L398" s="340"/>
      <c r="M398" s="340"/>
      <c r="N398" s="340"/>
      <c r="O398" s="340"/>
      <c r="P398" s="340"/>
      <c r="Q398" s="340"/>
      <c r="R398" s="340"/>
      <c r="S398" s="340"/>
      <c r="T398" s="340"/>
      <c r="U398" s="340"/>
      <c r="V398" s="340"/>
      <c r="W398" s="340"/>
      <c r="X398" s="340"/>
      <c r="Y398" s="125"/>
    </row>
    <row r="399" spans="10:25" x14ac:dyDescent="0.2">
      <c r="J399" s="340"/>
      <c r="K399" s="340"/>
      <c r="L399" s="340"/>
      <c r="M399" s="340"/>
      <c r="N399" s="340"/>
      <c r="O399" s="340"/>
      <c r="P399" s="340"/>
      <c r="Q399" s="340"/>
      <c r="R399" s="340"/>
      <c r="S399" s="340"/>
      <c r="T399" s="340"/>
      <c r="U399" s="340"/>
      <c r="V399" s="340"/>
      <c r="W399" s="340"/>
      <c r="X399" s="340"/>
      <c r="Y399" s="125"/>
    </row>
    <row r="400" spans="10:25" x14ac:dyDescent="0.2">
      <c r="J400" s="340"/>
      <c r="K400" s="340"/>
      <c r="L400" s="340"/>
      <c r="M400" s="340"/>
      <c r="N400" s="340"/>
      <c r="O400" s="340"/>
      <c r="P400" s="340"/>
      <c r="Q400" s="340"/>
      <c r="R400" s="340"/>
      <c r="S400" s="340"/>
      <c r="T400" s="340"/>
      <c r="U400" s="340"/>
      <c r="V400" s="340"/>
      <c r="W400" s="340"/>
      <c r="X400" s="340"/>
      <c r="Y400" s="125"/>
    </row>
    <row r="401" spans="10:25" x14ac:dyDescent="0.2">
      <c r="J401" s="340"/>
      <c r="K401" s="340"/>
      <c r="L401" s="340"/>
      <c r="M401" s="340"/>
      <c r="N401" s="340"/>
      <c r="O401" s="340"/>
      <c r="P401" s="340"/>
      <c r="Q401" s="340"/>
      <c r="R401" s="340"/>
      <c r="S401" s="340"/>
      <c r="T401" s="340"/>
      <c r="U401" s="340"/>
      <c r="V401" s="340"/>
      <c r="W401" s="340"/>
      <c r="X401" s="340"/>
      <c r="Y401" s="125"/>
    </row>
    <row r="402" spans="10:25" x14ac:dyDescent="0.2">
      <c r="J402" s="340"/>
      <c r="K402" s="340"/>
      <c r="L402" s="340"/>
      <c r="M402" s="340"/>
      <c r="N402" s="340"/>
      <c r="O402" s="340"/>
      <c r="P402" s="340"/>
      <c r="Q402" s="340"/>
      <c r="R402" s="340"/>
      <c r="S402" s="340"/>
      <c r="T402" s="340"/>
      <c r="U402" s="340"/>
      <c r="V402" s="340"/>
      <c r="W402" s="340"/>
      <c r="X402" s="340"/>
      <c r="Y402" s="125"/>
    </row>
    <row r="403" spans="10:25" x14ac:dyDescent="0.2">
      <c r="J403" s="340"/>
      <c r="K403" s="340"/>
      <c r="L403" s="340"/>
      <c r="M403" s="340"/>
      <c r="N403" s="340"/>
      <c r="O403" s="340"/>
      <c r="P403" s="340"/>
      <c r="Q403" s="340"/>
      <c r="R403" s="340"/>
      <c r="S403" s="340"/>
      <c r="T403" s="340"/>
      <c r="U403" s="340"/>
      <c r="V403" s="340"/>
      <c r="W403" s="340"/>
      <c r="X403" s="340"/>
      <c r="Y403" s="125"/>
    </row>
    <row r="404" spans="10:25" x14ac:dyDescent="0.2">
      <c r="J404" s="340"/>
      <c r="K404" s="340"/>
      <c r="L404" s="340"/>
      <c r="M404" s="340"/>
      <c r="N404" s="340"/>
      <c r="O404" s="340"/>
      <c r="P404" s="340"/>
      <c r="Q404" s="340"/>
      <c r="R404" s="340"/>
      <c r="S404" s="340"/>
      <c r="T404" s="340"/>
      <c r="U404" s="340"/>
      <c r="V404" s="340"/>
      <c r="W404" s="340"/>
      <c r="X404" s="340"/>
      <c r="Y404" s="125"/>
    </row>
    <row r="405" spans="10:25" x14ac:dyDescent="0.2">
      <c r="J405" s="340"/>
      <c r="K405" s="340"/>
      <c r="L405" s="340"/>
      <c r="M405" s="340"/>
      <c r="N405" s="340"/>
      <c r="O405" s="340"/>
      <c r="P405" s="340"/>
      <c r="Q405" s="340"/>
      <c r="R405" s="340"/>
      <c r="S405" s="340"/>
      <c r="T405" s="340"/>
      <c r="U405" s="340"/>
      <c r="V405" s="340"/>
      <c r="W405" s="340"/>
      <c r="X405" s="340"/>
      <c r="Y405" s="125"/>
    </row>
    <row r="406" spans="10:25" x14ac:dyDescent="0.2">
      <c r="J406" s="340"/>
      <c r="K406" s="340"/>
      <c r="L406" s="340"/>
      <c r="M406" s="340"/>
      <c r="N406" s="340"/>
      <c r="O406" s="340"/>
      <c r="P406" s="340"/>
      <c r="Q406" s="340"/>
      <c r="R406" s="340"/>
      <c r="S406" s="340"/>
      <c r="T406" s="340"/>
      <c r="U406" s="340"/>
      <c r="V406" s="340"/>
      <c r="W406" s="340"/>
      <c r="X406" s="340"/>
      <c r="Y406" s="125"/>
    </row>
    <row r="407" spans="10:25" x14ac:dyDescent="0.2">
      <c r="J407" s="340"/>
      <c r="K407" s="340"/>
      <c r="L407" s="340"/>
      <c r="M407" s="340"/>
      <c r="N407" s="340"/>
      <c r="O407" s="340"/>
      <c r="P407" s="340"/>
      <c r="Q407" s="340"/>
      <c r="R407" s="340"/>
      <c r="S407" s="340"/>
      <c r="T407" s="340"/>
      <c r="U407" s="340"/>
      <c r="V407" s="340"/>
      <c r="W407" s="340"/>
      <c r="X407" s="340"/>
      <c r="Y407" s="125"/>
    </row>
    <row r="408" spans="10:25" x14ac:dyDescent="0.2">
      <c r="J408" s="340"/>
      <c r="K408" s="340"/>
      <c r="L408" s="340"/>
      <c r="M408" s="340"/>
      <c r="N408" s="340"/>
      <c r="O408" s="340"/>
      <c r="P408" s="340"/>
      <c r="Q408" s="340"/>
      <c r="R408" s="340"/>
      <c r="S408" s="340"/>
      <c r="T408" s="340"/>
      <c r="U408" s="340"/>
      <c r="V408" s="340"/>
      <c r="W408" s="340"/>
      <c r="X408" s="340"/>
      <c r="Y408" s="125"/>
    </row>
    <row r="409" spans="10:25" x14ac:dyDescent="0.2">
      <c r="J409" s="340"/>
      <c r="K409" s="340"/>
      <c r="L409" s="340"/>
      <c r="M409" s="340"/>
      <c r="N409" s="340"/>
      <c r="O409" s="340"/>
      <c r="P409" s="340"/>
      <c r="Q409" s="340"/>
      <c r="R409" s="340"/>
      <c r="S409" s="340"/>
      <c r="T409" s="340"/>
      <c r="U409" s="340"/>
      <c r="V409" s="340"/>
      <c r="W409" s="340"/>
      <c r="X409" s="340"/>
      <c r="Y409" s="125"/>
    </row>
    <row r="410" spans="10:25" x14ac:dyDescent="0.2">
      <c r="J410" s="340"/>
      <c r="K410" s="340"/>
      <c r="L410" s="340"/>
      <c r="M410" s="340"/>
      <c r="N410" s="340"/>
      <c r="O410" s="340"/>
      <c r="P410" s="340"/>
      <c r="Q410" s="340"/>
      <c r="R410" s="340"/>
      <c r="S410" s="340"/>
      <c r="T410" s="340"/>
      <c r="U410" s="340"/>
      <c r="V410" s="340"/>
      <c r="W410" s="340"/>
      <c r="X410" s="340"/>
      <c r="Y410" s="125"/>
    </row>
    <row r="411" spans="10:25" x14ac:dyDescent="0.2">
      <c r="J411" s="340"/>
      <c r="K411" s="340"/>
      <c r="L411" s="340"/>
      <c r="M411" s="340"/>
      <c r="N411" s="340"/>
      <c r="O411" s="340"/>
      <c r="P411" s="340"/>
      <c r="Q411" s="340"/>
      <c r="R411" s="340"/>
      <c r="S411" s="340"/>
      <c r="T411" s="340"/>
      <c r="U411" s="340"/>
      <c r="V411" s="340"/>
      <c r="W411" s="340"/>
      <c r="X411" s="340"/>
      <c r="Y411" s="125"/>
    </row>
    <row r="412" spans="10:25" x14ac:dyDescent="0.2">
      <c r="J412" s="340"/>
      <c r="K412" s="340"/>
      <c r="L412" s="340"/>
      <c r="M412" s="340"/>
      <c r="N412" s="340"/>
      <c r="O412" s="340"/>
      <c r="P412" s="340"/>
      <c r="Q412" s="340"/>
      <c r="R412" s="340"/>
      <c r="S412" s="340"/>
      <c r="T412" s="340"/>
      <c r="U412" s="340"/>
      <c r="V412" s="340"/>
      <c r="W412" s="340"/>
      <c r="X412" s="340"/>
      <c r="Y412" s="125"/>
    </row>
    <row r="413" spans="10:25" x14ac:dyDescent="0.2">
      <c r="J413" s="340"/>
      <c r="K413" s="340"/>
      <c r="L413" s="340"/>
      <c r="M413" s="340"/>
      <c r="N413" s="340"/>
      <c r="O413" s="340"/>
      <c r="P413" s="340"/>
      <c r="Q413" s="340"/>
      <c r="R413" s="340"/>
      <c r="S413" s="340"/>
      <c r="T413" s="340"/>
      <c r="U413" s="340"/>
      <c r="V413" s="340"/>
      <c r="W413" s="340"/>
      <c r="X413" s="340"/>
      <c r="Y413" s="125"/>
    </row>
    <row r="414" spans="10:25" x14ac:dyDescent="0.2">
      <c r="J414" s="340"/>
      <c r="K414" s="340"/>
      <c r="L414" s="340"/>
      <c r="M414" s="340"/>
      <c r="N414" s="340"/>
      <c r="O414" s="340"/>
      <c r="P414" s="340"/>
      <c r="Q414" s="340"/>
      <c r="R414" s="340"/>
      <c r="S414" s="340"/>
      <c r="T414" s="340"/>
      <c r="U414" s="340"/>
      <c r="V414" s="340"/>
      <c r="W414" s="340"/>
      <c r="X414" s="340"/>
      <c r="Y414" s="125"/>
    </row>
    <row r="415" spans="10:25" x14ac:dyDescent="0.2">
      <c r="J415" s="340"/>
      <c r="K415" s="340"/>
      <c r="L415" s="340"/>
      <c r="M415" s="340"/>
      <c r="N415" s="340"/>
      <c r="O415" s="340"/>
      <c r="P415" s="340"/>
      <c r="Q415" s="340"/>
      <c r="R415" s="340"/>
      <c r="S415" s="340"/>
      <c r="T415" s="340"/>
      <c r="U415" s="340"/>
      <c r="V415" s="340"/>
      <c r="W415" s="340"/>
      <c r="X415" s="340"/>
      <c r="Y415" s="125"/>
    </row>
    <row r="416" spans="10:25" x14ac:dyDescent="0.2">
      <c r="J416" s="340"/>
      <c r="K416" s="340"/>
      <c r="L416" s="340"/>
      <c r="M416" s="340"/>
      <c r="N416" s="340"/>
      <c r="O416" s="340"/>
      <c r="P416" s="340"/>
      <c r="Q416" s="340"/>
      <c r="R416" s="340"/>
      <c r="S416" s="340"/>
      <c r="T416" s="340"/>
      <c r="U416" s="340"/>
      <c r="V416" s="340"/>
      <c r="W416" s="340"/>
      <c r="X416" s="340"/>
      <c r="Y416" s="125"/>
    </row>
    <row r="417" spans="10:25" x14ac:dyDescent="0.2">
      <c r="J417" s="340"/>
      <c r="K417" s="340"/>
      <c r="L417" s="340"/>
      <c r="M417" s="340"/>
      <c r="N417" s="340"/>
      <c r="O417" s="340"/>
      <c r="P417" s="340"/>
      <c r="Q417" s="340"/>
      <c r="R417" s="340"/>
      <c r="S417" s="340"/>
      <c r="T417" s="340"/>
      <c r="U417" s="340"/>
      <c r="V417" s="340"/>
      <c r="W417" s="340"/>
      <c r="X417" s="340"/>
      <c r="Y417" s="125"/>
    </row>
    <row r="418" spans="10:25" x14ac:dyDescent="0.2">
      <c r="J418" s="340"/>
      <c r="K418" s="340"/>
      <c r="L418" s="340"/>
      <c r="M418" s="340"/>
      <c r="N418" s="340"/>
      <c r="O418" s="340"/>
      <c r="P418" s="340"/>
      <c r="Q418" s="340"/>
      <c r="R418" s="340"/>
      <c r="S418" s="340"/>
      <c r="T418" s="340"/>
      <c r="U418" s="340"/>
      <c r="V418" s="340"/>
      <c r="W418" s="340"/>
      <c r="X418" s="340"/>
      <c r="Y418" s="125"/>
    </row>
    <row r="419" spans="10:25" x14ac:dyDescent="0.2">
      <c r="J419" s="340"/>
      <c r="K419" s="340"/>
      <c r="L419" s="340"/>
      <c r="M419" s="340"/>
      <c r="N419" s="340"/>
      <c r="O419" s="340"/>
      <c r="P419" s="340"/>
      <c r="Q419" s="340"/>
      <c r="R419" s="340"/>
      <c r="S419" s="340"/>
      <c r="T419" s="340"/>
      <c r="U419" s="340"/>
      <c r="V419" s="340"/>
      <c r="W419" s="340"/>
      <c r="X419" s="340"/>
      <c r="Y419" s="125"/>
    </row>
    <row r="420" spans="10:25" x14ac:dyDescent="0.2">
      <c r="J420" s="340"/>
      <c r="K420" s="340"/>
      <c r="L420" s="340"/>
      <c r="M420" s="340"/>
      <c r="N420" s="340"/>
      <c r="O420" s="340"/>
      <c r="P420" s="340"/>
      <c r="Q420" s="340"/>
      <c r="R420" s="340"/>
      <c r="S420" s="340"/>
      <c r="T420" s="340"/>
      <c r="U420" s="340"/>
      <c r="V420" s="340"/>
      <c r="W420" s="340"/>
      <c r="X420" s="340"/>
      <c r="Y420" s="125"/>
    </row>
    <row r="421" spans="10:25" x14ac:dyDescent="0.2">
      <c r="J421" s="340"/>
      <c r="K421" s="340"/>
      <c r="L421" s="340"/>
      <c r="M421" s="340"/>
      <c r="N421" s="340"/>
      <c r="O421" s="340"/>
      <c r="P421" s="340"/>
      <c r="Q421" s="340"/>
      <c r="R421" s="340"/>
      <c r="S421" s="340"/>
      <c r="T421" s="340"/>
      <c r="U421" s="340"/>
      <c r="V421" s="340"/>
      <c r="W421" s="340"/>
      <c r="X421" s="340"/>
      <c r="Y421" s="125"/>
    </row>
    <row r="422" spans="10:25" x14ac:dyDescent="0.2">
      <c r="J422" s="340"/>
      <c r="K422" s="340"/>
      <c r="L422" s="340"/>
      <c r="M422" s="340"/>
      <c r="N422" s="340"/>
      <c r="O422" s="340"/>
      <c r="P422" s="340"/>
      <c r="Q422" s="340"/>
      <c r="R422" s="340"/>
      <c r="S422" s="340"/>
      <c r="T422" s="340"/>
      <c r="U422" s="340"/>
      <c r="V422" s="340"/>
      <c r="W422" s="340"/>
      <c r="X422" s="340"/>
      <c r="Y422" s="125"/>
    </row>
    <row r="423" spans="10:25" x14ac:dyDescent="0.2">
      <c r="J423" s="340"/>
      <c r="K423" s="340"/>
      <c r="L423" s="340"/>
      <c r="M423" s="340"/>
      <c r="N423" s="340"/>
      <c r="O423" s="340"/>
      <c r="P423" s="340"/>
      <c r="Q423" s="340"/>
      <c r="R423" s="340"/>
      <c r="S423" s="340"/>
      <c r="T423" s="340"/>
      <c r="U423" s="340"/>
      <c r="V423" s="340"/>
      <c r="W423" s="340"/>
      <c r="X423" s="340"/>
      <c r="Y423" s="125"/>
    </row>
    <row r="424" spans="10:25" x14ac:dyDescent="0.2">
      <c r="J424" s="340"/>
      <c r="K424" s="340"/>
      <c r="L424" s="340"/>
      <c r="M424" s="340"/>
      <c r="N424" s="340"/>
      <c r="O424" s="340"/>
      <c r="P424" s="340"/>
      <c r="Q424" s="340"/>
      <c r="R424" s="340"/>
      <c r="S424" s="340"/>
      <c r="T424" s="340"/>
      <c r="U424" s="340"/>
      <c r="V424" s="340"/>
      <c r="W424" s="340"/>
      <c r="X424" s="340"/>
      <c r="Y424" s="125"/>
    </row>
    <row r="425" spans="10:25" x14ac:dyDescent="0.2">
      <c r="J425" s="340"/>
      <c r="K425" s="340"/>
      <c r="L425" s="340"/>
      <c r="M425" s="340"/>
      <c r="N425" s="340"/>
      <c r="O425" s="340"/>
      <c r="P425" s="340"/>
      <c r="Q425" s="340"/>
      <c r="R425" s="340"/>
      <c r="S425" s="340"/>
      <c r="T425" s="340"/>
      <c r="U425" s="340"/>
      <c r="V425" s="340"/>
      <c r="W425" s="340"/>
      <c r="X425" s="340"/>
      <c r="Y425" s="125"/>
    </row>
    <row r="426" spans="10:25" x14ac:dyDescent="0.2">
      <c r="J426" s="340"/>
      <c r="K426" s="340"/>
      <c r="L426" s="340"/>
      <c r="M426" s="340"/>
      <c r="N426" s="340"/>
      <c r="O426" s="340"/>
      <c r="P426" s="340"/>
      <c r="Q426" s="340"/>
      <c r="R426" s="340"/>
      <c r="S426" s="340"/>
      <c r="T426" s="340"/>
      <c r="U426" s="340"/>
      <c r="V426" s="340"/>
      <c r="W426" s="340"/>
      <c r="X426" s="340"/>
      <c r="Y426" s="125"/>
    </row>
    <row r="427" spans="10:25" x14ac:dyDescent="0.2">
      <c r="J427" s="340"/>
      <c r="K427" s="340"/>
      <c r="L427" s="340"/>
      <c r="M427" s="340"/>
      <c r="N427" s="340"/>
      <c r="O427" s="340"/>
      <c r="P427" s="340"/>
      <c r="Q427" s="340"/>
      <c r="R427" s="340"/>
      <c r="S427" s="340"/>
      <c r="T427" s="340"/>
      <c r="U427" s="340"/>
      <c r="V427" s="340"/>
      <c r="W427" s="340"/>
      <c r="X427" s="340"/>
      <c r="Y427" s="125"/>
    </row>
    <row r="428" spans="10:25" x14ac:dyDescent="0.2">
      <c r="J428" s="340"/>
      <c r="K428" s="340"/>
      <c r="L428" s="340"/>
      <c r="M428" s="340"/>
      <c r="N428" s="340"/>
      <c r="O428" s="340"/>
      <c r="P428" s="340"/>
      <c r="Q428" s="340"/>
      <c r="R428" s="340"/>
      <c r="S428" s="340"/>
      <c r="T428" s="340"/>
      <c r="U428" s="340"/>
      <c r="V428" s="340"/>
      <c r="W428" s="340"/>
      <c r="X428" s="340"/>
      <c r="Y428" s="125"/>
    </row>
    <row r="429" spans="10:25" x14ac:dyDescent="0.2">
      <c r="J429" s="340"/>
      <c r="K429" s="340"/>
      <c r="L429" s="340"/>
      <c r="M429" s="340"/>
      <c r="N429" s="340"/>
      <c r="O429" s="340"/>
      <c r="P429" s="340"/>
      <c r="Q429" s="340"/>
      <c r="R429" s="340"/>
      <c r="S429" s="340"/>
      <c r="T429" s="340"/>
      <c r="U429" s="340"/>
      <c r="V429" s="340"/>
      <c r="W429" s="340"/>
      <c r="X429" s="340"/>
      <c r="Y429" s="125"/>
    </row>
    <row r="430" spans="10:25" x14ac:dyDescent="0.2">
      <c r="J430" s="340"/>
      <c r="K430" s="340"/>
      <c r="L430" s="340"/>
      <c r="M430" s="340"/>
      <c r="N430" s="340"/>
      <c r="O430" s="340"/>
      <c r="P430" s="340"/>
      <c r="Q430" s="340"/>
      <c r="R430" s="340"/>
      <c r="S430" s="340"/>
      <c r="T430" s="340"/>
      <c r="U430" s="340"/>
      <c r="V430" s="340"/>
      <c r="W430" s="340"/>
      <c r="X430" s="340"/>
      <c r="Y430" s="125"/>
    </row>
    <row r="431" spans="10:25" x14ac:dyDescent="0.2">
      <c r="J431" s="340"/>
      <c r="K431" s="340"/>
      <c r="L431" s="340"/>
      <c r="M431" s="340"/>
      <c r="N431" s="340"/>
      <c r="O431" s="340"/>
      <c r="P431" s="340"/>
      <c r="Q431" s="340"/>
      <c r="R431" s="340"/>
      <c r="S431" s="340"/>
      <c r="T431" s="340"/>
      <c r="U431" s="340"/>
      <c r="V431" s="340"/>
      <c r="W431" s="340"/>
      <c r="X431" s="340"/>
      <c r="Y431" s="125"/>
    </row>
    <row r="432" spans="10:25" x14ac:dyDescent="0.2">
      <c r="J432" s="340"/>
      <c r="K432" s="340"/>
      <c r="L432" s="340"/>
      <c r="M432" s="340"/>
      <c r="N432" s="340"/>
      <c r="O432" s="340"/>
      <c r="P432" s="340"/>
      <c r="Q432" s="340"/>
      <c r="R432" s="340"/>
      <c r="S432" s="340"/>
      <c r="T432" s="340"/>
      <c r="U432" s="340"/>
      <c r="V432" s="340"/>
      <c r="W432" s="340"/>
      <c r="X432" s="340"/>
      <c r="Y432" s="125"/>
    </row>
    <row r="433" spans="10:25" x14ac:dyDescent="0.2">
      <c r="J433" s="340"/>
      <c r="K433" s="340"/>
      <c r="L433" s="340"/>
      <c r="M433" s="340"/>
      <c r="N433" s="340"/>
      <c r="O433" s="340"/>
      <c r="P433" s="340"/>
      <c r="Q433" s="340"/>
      <c r="R433" s="340"/>
      <c r="S433" s="340"/>
      <c r="T433" s="340"/>
      <c r="U433" s="340"/>
      <c r="V433" s="340"/>
      <c r="W433" s="340"/>
      <c r="X433" s="340"/>
      <c r="Y433" s="125"/>
    </row>
    <row r="434" spans="10:25" x14ac:dyDescent="0.2">
      <c r="J434" s="340"/>
      <c r="K434" s="340"/>
      <c r="L434" s="340"/>
      <c r="M434" s="340"/>
      <c r="N434" s="340"/>
      <c r="O434" s="340"/>
      <c r="P434" s="340"/>
      <c r="Q434" s="340"/>
      <c r="R434" s="340"/>
      <c r="S434" s="340"/>
      <c r="T434" s="340"/>
      <c r="U434" s="340"/>
      <c r="V434" s="340"/>
      <c r="W434" s="340"/>
      <c r="X434" s="340"/>
      <c r="Y434" s="125"/>
    </row>
    <row r="435" spans="10:25" x14ac:dyDescent="0.2">
      <c r="J435" s="340"/>
      <c r="K435" s="340"/>
      <c r="L435" s="125"/>
      <c r="M435" s="125"/>
      <c r="N435" s="125"/>
      <c r="O435" s="125"/>
      <c r="P435" s="125"/>
      <c r="Q435" s="125"/>
      <c r="R435" s="125"/>
      <c r="S435" s="125"/>
      <c r="T435" s="125"/>
      <c r="U435" s="125"/>
      <c r="V435" s="125"/>
      <c r="W435" s="125"/>
      <c r="X435" s="340"/>
      <c r="Y435" s="125"/>
    </row>
    <row r="436" spans="10:25" x14ac:dyDescent="0.2">
      <c r="J436" s="340"/>
      <c r="K436" s="340"/>
      <c r="X436" s="340"/>
      <c r="Y436" s="125"/>
    </row>
    <row r="437" spans="10:25" x14ac:dyDescent="0.2">
      <c r="X437" s="125"/>
      <c r="Y437" s="125"/>
    </row>
    <row r="438" spans="10:25" x14ac:dyDescent="0.2">
      <c r="Y438" s="125"/>
    </row>
    <row r="439" spans="10:25" x14ac:dyDescent="0.2">
      <c r="Y439" s="125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Q146"/>
  <sheetViews>
    <sheetView zoomScaleNormal="100" workbookViewId="0">
      <selection activeCell="G14" sqref="G14"/>
    </sheetView>
  </sheetViews>
  <sheetFormatPr defaultColWidth="9.140625" defaultRowHeight="12.75" x14ac:dyDescent="0.2"/>
  <cols>
    <col min="1" max="1" width="3.140625" style="158" customWidth="1"/>
    <col min="2" max="16" width="5.7109375" style="158" customWidth="1"/>
    <col min="17" max="17" width="6.85546875" style="158" customWidth="1"/>
    <col min="18" max="20" width="5.7109375" style="158" customWidth="1"/>
    <col min="21" max="16384" width="9.140625" style="158"/>
  </cols>
  <sheetData>
    <row r="1" spans="1:17" x14ac:dyDescent="0.2">
      <c r="A1" s="360"/>
      <c r="B1" s="158" t="s">
        <v>539</v>
      </c>
      <c r="D1" s="563">
        <f>__1_Bed</f>
        <v>0</v>
      </c>
      <c r="L1" s="158" t="s">
        <v>540</v>
      </c>
      <c r="M1" s="1066">
        <f ca="1">TODAY()</f>
        <v>42748</v>
      </c>
      <c r="N1" s="1067"/>
      <c r="O1" s="160">
        <f ca="1">NOW()</f>
        <v>42748.478776620374</v>
      </c>
      <c r="P1" s="160"/>
    </row>
    <row r="2" spans="1:17" ht="6.75" customHeight="1" x14ac:dyDescent="0.2"/>
    <row r="3" spans="1:17" x14ac:dyDescent="0.2">
      <c r="B3" s="161" t="str">
        <f>NeoGui1700!B10</f>
        <v>Medische Afspraken</v>
      </c>
      <c r="J3" s="158" t="s">
        <v>357</v>
      </c>
      <c r="M3" s="1068">
        <f>__0_PatNum</f>
        <v>0</v>
      </c>
      <c r="N3" s="1068"/>
      <c r="O3" s="162"/>
    </row>
    <row r="4" spans="1:17" x14ac:dyDescent="0.2">
      <c r="B4" s="161" t="str">
        <f>NeoGui1700!B11</f>
        <v>Afdeling Neonatologie (IC-HC-MC)</v>
      </c>
      <c r="J4" s="158" t="str">
        <f>NeoGui1700!G11</f>
        <v>Naam:</v>
      </c>
      <c r="M4" s="163" t="str">
        <f>NeoGui1700!I11</f>
        <v xml:space="preserve">,  </v>
      </c>
      <c r="N4" s="164"/>
      <c r="O4" s="162"/>
    </row>
    <row r="5" spans="1:17" x14ac:dyDescent="0.2">
      <c r="B5" s="161" t="str">
        <f>NeoGui1700!B12</f>
        <v>Divisie Obstetrie Neonatologie en Gynaecologie</v>
      </c>
      <c r="J5" s="158" t="str">
        <f>NeoGui1700!G12</f>
        <v>Geboortedatum:</v>
      </c>
      <c r="M5" s="1069">
        <f>NeoGui1700!I12</f>
        <v>1462</v>
      </c>
      <c r="N5" s="1069"/>
      <c r="O5" s="1069"/>
      <c r="P5" s="1069"/>
    </row>
    <row r="6" spans="1:17" ht="15" x14ac:dyDescent="0.2">
      <c r="A6" s="360"/>
      <c r="B6" s="165"/>
      <c r="C6" s="166"/>
      <c r="D6" s="166"/>
      <c r="E6" s="166"/>
      <c r="F6" s="166"/>
      <c r="G6" s="166"/>
      <c r="H6" s="166"/>
      <c r="I6" s="166"/>
      <c r="J6" s="158" t="str">
        <f ca="1">"Leeftijd: "&amp;Var_Neo_Dag&amp;" dag(-en)"</f>
        <v>Leeftijd: 41287 dag(-en)</v>
      </c>
      <c r="N6" s="166" t="s">
        <v>541</v>
      </c>
      <c r="O6" s="166" t="str">
        <f>NeoGui1700!H13&amp;" weken en "&amp;NeoGui1700!J13&amp;" dagen"</f>
        <v>0 weken en 0 dagen</v>
      </c>
      <c r="Q6" s="166"/>
    </row>
    <row r="7" spans="1:17" ht="9" customHeight="1" x14ac:dyDescent="0.2">
      <c r="B7" s="167"/>
      <c r="C7" s="168"/>
      <c r="D7" s="168"/>
      <c r="E7" s="168"/>
      <c r="F7" s="168"/>
      <c r="G7" s="168"/>
      <c r="H7" s="168"/>
      <c r="I7" s="168"/>
      <c r="J7" s="168"/>
      <c r="K7" s="168"/>
      <c r="L7" s="168"/>
      <c r="M7" s="168"/>
      <c r="N7" s="168"/>
      <c r="O7" s="169"/>
      <c r="P7" s="169"/>
      <c r="Q7" s="168"/>
    </row>
    <row r="8" spans="1:17" x14ac:dyDescent="0.2">
      <c r="P8" s="170" t="s">
        <v>542</v>
      </c>
      <c r="Q8" s="171"/>
    </row>
    <row r="9" spans="1:17" x14ac:dyDescent="0.2">
      <c r="B9" s="158" t="str">
        <f>NeoGui1700!B14</f>
        <v>Datum:</v>
      </c>
      <c r="D9" s="1070">
        <f>NeoGui1700!C14</f>
        <v>1462</v>
      </c>
      <c r="E9" s="1070"/>
      <c r="F9" s="1067"/>
      <c r="I9" s="158" t="str">
        <f>NeoGui1700!G16</f>
        <v>Gewicht:</v>
      </c>
      <c r="K9" s="158" t="str">
        <f>NeoGui1700!H16</f>
        <v>0 kg</v>
      </c>
      <c r="P9" s="170" t="s">
        <v>543</v>
      </c>
      <c r="Q9" s="171"/>
    </row>
    <row r="10" spans="1:17" x14ac:dyDescent="0.2">
      <c r="B10" s="158" t="str">
        <f>NeoGui1700!B15</f>
        <v>Bed:</v>
      </c>
      <c r="F10" s="158">
        <f>Var_Neo_InfB_Arts</f>
        <v>0</v>
      </c>
      <c r="I10" s="1071" t="str">
        <f ca="1">"Leeftijd: "&amp;NeoGui1700!$H$15</f>
        <v>Leeftijd: 5898 weken en 0 dag(-en)</v>
      </c>
      <c r="J10" s="1067"/>
      <c r="K10" s="1067"/>
      <c r="L10" s="1067"/>
      <c r="M10" s="1067"/>
      <c r="N10" s="1067"/>
      <c r="O10" s="1072"/>
      <c r="P10" s="170"/>
      <c r="Q10" s="171"/>
    </row>
    <row r="11" spans="1:17" x14ac:dyDescent="0.2">
      <c r="B11" s="168" t="s">
        <v>544</v>
      </c>
      <c r="C11" s="168"/>
      <c r="D11" s="168"/>
      <c r="E11" s="168"/>
      <c r="F11" s="168"/>
      <c r="G11" s="168"/>
      <c r="H11" s="168"/>
      <c r="I11" s="168"/>
      <c r="J11" s="168"/>
      <c r="K11" s="168"/>
      <c r="L11" s="168"/>
      <c r="M11" s="168"/>
      <c r="N11" s="168"/>
      <c r="O11" s="168"/>
      <c r="P11" s="170"/>
      <c r="Q11" s="171"/>
    </row>
    <row r="12" spans="1:17" x14ac:dyDescent="0.2">
      <c r="P12" s="170"/>
      <c r="Q12" s="171"/>
    </row>
    <row r="13" spans="1:17" x14ac:dyDescent="0.2">
      <c r="B13" s="172" t="str">
        <f>NeoGui1700!B18</f>
        <v>Totale vochtintake</v>
      </c>
      <c r="C13" s="166"/>
      <c r="D13" s="166"/>
      <c r="E13" s="166"/>
      <c r="F13" s="173" t="e">
        <f ca="1">NeoGui1700!E18</f>
        <v>#DIV/0!</v>
      </c>
      <c r="G13" s="166" t="str">
        <f>NeoGui1700!F18</f>
        <v>ml/ kg/ 24 uur</v>
      </c>
      <c r="H13" s="166"/>
      <c r="I13" s="166"/>
      <c r="J13" s="158" t="str">
        <f ca="1">"= "&amp;NeoBer1700!K47&amp;" ml"</f>
        <v>= 0 ml</v>
      </c>
      <c r="P13" s="170"/>
      <c r="Q13" s="171"/>
    </row>
    <row r="14" spans="1:17" x14ac:dyDescent="0.2">
      <c r="B14" s="172"/>
      <c r="C14" s="166"/>
      <c r="D14" s="166"/>
      <c r="E14" s="166"/>
      <c r="F14" s="173"/>
      <c r="G14" s="166"/>
      <c r="H14" s="166"/>
      <c r="I14" s="166"/>
      <c r="P14" s="390"/>
      <c r="Q14" s="391"/>
    </row>
    <row r="15" spans="1:17" x14ac:dyDescent="0.2">
      <c r="B15" s="172"/>
      <c r="C15" s="166"/>
      <c r="D15" s="166"/>
      <c r="E15" s="166"/>
      <c r="F15" s="173"/>
      <c r="G15" s="166"/>
      <c r="H15" s="166"/>
      <c r="I15" s="166"/>
      <c r="J15" s="164" t="s">
        <v>1029</v>
      </c>
      <c r="P15" s="390"/>
      <c r="Q15" s="391"/>
    </row>
    <row r="16" spans="1:17" x14ac:dyDescent="0.2">
      <c r="B16" s="161" t="str">
        <f>NeoGui1700!H21</f>
        <v>Voeding:</v>
      </c>
      <c r="E16" s="158">
        <f>INDEX(tbl_Neo_Pos,NeoBer1700!D14,1)</f>
        <v>0</v>
      </c>
      <c r="I16" s="158" t="str">
        <f>IF(OR(J16&lt;&gt;0,J17&lt;&gt;0,J18&lt;&gt;0,J19&lt;&gt;0,J20&lt;&gt;0),"met","")</f>
        <v>met</v>
      </c>
      <c r="J16" s="158" t="str">
        <f>IF(NeoBer1700!K52=0,"","BMF in MM")</f>
        <v/>
      </c>
      <c r="M16" s="164">
        <f>IF(J16&lt;&gt;0,NeoBer1700!K52,0)</f>
        <v>0</v>
      </c>
      <c r="N16" s="158" t="str">
        <f>IF(M16&lt;&gt;0,"%","")</f>
        <v/>
      </c>
      <c r="P16" s="390"/>
      <c r="Q16" s="391"/>
    </row>
    <row r="17" spans="1:17" x14ac:dyDescent="0.2">
      <c r="B17" s="174" t="str">
        <f>NeoGui1700!D21</f>
        <v>Hoeveelheid:</v>
      </c>
      <c r="E17" s="163" t="str">
        <f>NeoGui1700!$E$21</f>
        <v/>
      </c>
      <c r="F17" s="158" t="str">
        <f>NeoGui1700!F21</f>
        <v>maal</v>
      </c>
      <c r="G17" s="164" t="str">
        <f>NeoGui1700!G21</f>
        <v/>
      </c>
      <c r="J17" s="158">
        <f>INDEX(tbl_Neo_ToevoegingenMMPrint,NeoBer1700!B53,1)</f>
        <v>0</v>
      </c>
      <c r="M17" s="164">
        <f>IF(J17&lt;&gt;0,NeoBer1700!K53,0)</f>
        <v>0</v>
      </c>
      <c r="N17" s="158" t="str">
        <f t="shared" ref="N17:N26" si="0">IF(M17&lt;&gt;0,"%","")</f>
        <v/>
      </c>
      <c r="P17" s="390"/>
      <c r="Q17" s="391"/>
    </row>
    <row r="18" spans="1:17" x14ac:dyDescent="0.2">
      <c r="C18" s="175" t="str">
        <f>IF(E18="","","en")</f>
        <v/>
      </c>
      <c r="E18" s="163" t="str">
        <f>IF(NeoGui1700!G22&lt;&gt;"0 ml",NeoGui1700!$E$22,"")</f>
        <v/>
      </c>
      <c r="F18" s="158" t="str">
        <f>IF(NeoGui1700!G22&lt;&gt;"0 ml",NeoGui1700!F22,"")</f>
        <v>maal</v>
      </c>
      <c r="G18" s="164" t="str">
        <f>IF(NeoGui1700!G22&lt;&gt;"0 ml",NeoGui1700!G22,"")</f>
        <v/>
      </c>
      <c r="J18" s="158">
        <f>INDEX(tbl_Neo_ToevoegingenMMPrint,NeoBer1700!B54,1)</f>
        <v>0</v>
      </c>
      <c r="M18" s="164">
        <f>IF(J18&lt;&gt;0,NeoBer1700!K54,0)</f>
        <v>0</v>
      </c>
      <c r="N18" s="158" t="str">
        <f t="shared" si="0"/>
        <v/>
      </c>
      <c r="P18" s="390"/>
      <c r="Q18" s="391"/>
    </row>
    <row r="19" spans="1:17" x14ac:dyDescent="0.2">
      <c r="J19" s="158">
        <f>INDEX(tbl_Neo_ToevoegingenMMPrint,NeoBer1700!B55,1)</f>
        <v>0</v>
      </c>
      <c r="M19" s="164">
        <f>IF(J19&lt;&gt;0,NeoBer1700!K55,0)</f>
        <v>0</v>
      </c>
      <c r="N19" s="158" t="str">
        <f t="shared" si="0"/>
        <v/>
      </c>
      <c r="P19" s="390"/>
      <c r="Q19" s="391"/>
    </row>
    <row r="20" spans="1:17" x14ac:dyDescent="0.2">
      <c r="B20" s="172"/>
      <c r="C20" s="166"/>
      <c r="D20" s="166"/>
      <c r="E20" s="166"/>
      <c r="F20" s="173"/>
      <c r="G20" s="166"/>
      <c r="H20" s="166"/>
      <c r="I20" s="166"/>
      <c r="J20" s="158">
        <f>INDEX(tbl_Neo_ToevoegingenMMPrint,NeoBer1700!B56,1)</f>
        <v>0</v>
      </c>
      <c r="K20" s="166"/>
      <c r="L20" s="176"/>
      <c r="M20" s="164">
        <f>IF(J20&lt;&gt;0,NeoBer1700!K56,0)</f>
        <v>0</v>
      </c>
      <c r="N20" s="158" t="str">
        <f t="shared" si="0"/>
        <v/>
      </c>
      <c r="P20" s="390"/>
      <c r="Q20" s="391"/>
    </row>
    <row r="21" spans="1:17" x14ac:dyDescent="0.2">
      <c r="B21" s="164"/>
      <c r="P21" s="170"/>
      <c r="Q21" s="171"/>
    </row>
    <row r="22" spans="1:17" x14ac:dyDescent="0.2">
      <c r="B22" s="164"/>
      <c r="I22" s="166"/>
      <c r="J22" s="164" t="s">
        <v>1030</v>
      </c>
      <c r="P22" s="390"/>
      <c r="Q22" s="391"/>
    </row>
    <row r="23" spans="1:17" x14ac:dyDescent="0.2">
      <c r="B23" s="164"/>
      <c r="I23" s="158" t="str">
        <f>IF(OR(J23&lt;&gt;0,J24&lt;&gt;0,J25&lt;&gt;0,J26&lt;&gt;0),"met","")</f>
        <v/>
      </c>
      <c r="J23" s="158">
        <f>INDEX(tbl_Neo_ToevoegingenKVPrint,NeoBer1700!B58,1)</f>
        <v>0</v>
      </c>
      <c r="M23" s="164">
        <f>IF(J23&lt;&gt;0,NeoBer1700!K58,0)</f>
        <v>0</v>
      </c>
      <c r="N23" s="158" t="str">
        <f t="shared" si="0"/>
        <v/>
      </c>
      <c r="P23" s="390"/>
      <c r="Q23" s="391"/>
    </row>
    <row r="24" spans="1:17" x14ac:dyDescent="0.2">
      <c r="B24" s="164"/>
      <c r="J24" s="158">
        <f>INDEX(tbl_Neo_ToevoegingenKVPrint,NeoBer1700!B59,1)</f>
        <v>0</v>
      </c>
      <c r="M24" s="164">
        <f>IF(J24&lt;&gt;0,NeoBer1700!K59,0)</f>
        <v>0</v>
      </c>
      <c r="N24" s="158" t="str">
        <f t="shared" si="0"/>
        <v/>
      </c>
      <c r="P24" s="390"/>
      <c r="Q24" s="391"/>
    </row>
    <row r="25" spans="1:17" x14ac:dyDescent="0.2">
      <c r="J25" s="158">
        <f>INDEX(tbl_Neo_ToevoegingenKVPrint,NeoBer1700!B60,1)</f>
        <v>0</v>
      </c>
      <c r="M25" s="164">
        <f>IF(J25&lt;&gt;0,NeoBer1700!K60,0)</f>
        <v>0</v>
      </c>
      <c r="N25" s="158" t="str">
        <f t="shared" si="0"/>
        <v/>
      </c>
      <c r="P25" s="170"/>
      <c r="Q25" s="171"/>
    </row>
    <row r="26" spans="1:17" x14ac:dyDescent="0.2">
      <c r="J26" s="158">
        <f>INDEX(tbl_Neo_ToevoegingenKVPrint,NeoBer1700!B61,1)</f>
        <v>0</v>
      </c>
      <c r="M26" s="164">
        <f>IF(J26&lt;&gt;0,NeoBer1700!K61,0)</f>
        <v>0</v>
      </c>
      <c r="N26" s="158" t="str">
        <f t="shared" si="0"/>
        <v/>
      </c>
      <c r="P26" s="170"/>
      <c r="Q26" s="171"/>
    </row>
    <row r="27" spans="1:17" x14ac:dyDescent="0.2">
      <c r="P27" s="170"/>
      <c r="Q27" s="171"/>
    </row>
    <row r="28" spans="1:17" x14ac:dyDescent="0.2">
      <c r="B28" s="177" t="str">
        <f>IF(NeoBer1700!J14=1,"De voeding is extra","")</f>
        <v>De voeding is extra</v>
      </c>
      <c r="C28" s="168"/>
      <c r="D28" s="168"/>
      <c r="E28" s="168"/>
      <c r="F28" s="168"/>
      <c r="G28" s="168"/>
      <c r="H28" s="168"/>
      <c r="I28" s="168"/>
      <c r="J28" s="168"/>
      <c r="K28" s="168"/>
      <c r="L28" s="168"/>
      <c r="M28" s="168"/>
      <c r="N28" s="168"/>
      <c r="O28" s="168"/>
      <c r="P28" s="178"/>
      <c r="Q28" s="179"/>
    </row>
    <row r="29" spans="1:17" x14ac:dyDescent="0.2">
      <c r="P29" s="170"/>
      <c r="Q29" s="171"/>
    </row>
    <row r="30" spans="1:17" x14ac:dyDescent="0.2">
      <c r="B30" s="161" t="str">
        <f>NeoGui1700!B28</f>
        <v>Infuus/parenterale voeding:</v>
      </c>
      <c r="G30" s="164">
        <f ca="1">NeoGui1700!E28</f>
        <v>0</v>
      </c>
      <c r="H30" s="158" t="str">
        <f>NeoGui1700!F28</f>
        <v>ml/ 24 uur</v>
      </c>
      <c r="O30" s="171"/>
      <c r="P30" s="166"/>
      <c r="Q30" s="171"/>
    </row>
    <row r="31" spans="1:17" x14ac:dyDescent="0.2">
      <c r="O31" s="171"/>
      <c r="P31" s="180" t="s">
        <v>545</v>
      </c>
      <c r="Q31" s="171"/>
    </row>
    <row r="32" spans="1:17" ht="15.95" customHeight="1" x14ac:dyDescent="0.2">
      <c r="A32" s="158">
        <v>1</v>
      </c>
      <c r="B32" s="181" t="str">
        <f>IF(Var_Neo_InfB_ArtLijn&gt;0,NeoGui1700!B30,"")</f>
        <v/>
      </c>
      <c r="C32" s="181"/>
      <c r="D32" s="181"/>
      <c r="E32" s="181"/>
      <c r="F32" s="181"/>
      <c r="G32" s="181"/>
      <c r="H32" s="181"/>
      <c r="I32" s="181"/>
      <c r="J32" s="181"/>
      <c r="K32" s="182" t="str">
        <f>IF(NeoGui1700!G30&lt;&gt; "0 ml/uur",NeoGui1700!G30,"")</f>
        <v/>
      </c>
      <c r="L32" s="181"/>
      <c r="M32" s="181"/>
      <c r="N32" s="181"/>
      <c r="O32" s="183"/>
      <c r="P32" s="184" t="str">
        <f>IF(B32="","",IF(NeoBer1700!J18,"ja","nee"))</f>
        <v/>
      </c>
      <c r="Q32" s="185"/>
    </row>
    <row r="33" spans="1:17" ht="15.95" customHeight="1" x14ac:dyDescent="0.2">
      <c r="A33" s="158">
        <v>2</v>
      </c>
      <c r="B33" s="186">
        <f>INDEX(tbl_Neo_MedIV,NeoBer1700!B20,1)</f>
        <v>0</v>
      </c>
      <c r="C33" s="181"/>
      <c r="D33" s="186"/>
      <c r="E33" s="187" t="str">
        <f>NeoGui1700!C32</f>
        <v/>
      </c>
      <c r="F33" s="186"/>
      <c r="G33" s="188" t="str">
        <f>NeoGui1700!D32</f>
        <v/>
      </c>
      <c r="H33" s="186"/>
      <c r="I33" s="189">
        <f>INDEX(tbl_Neo_Opl,NeoBer1700!E20,1)</f>
        <v>0</v>
      </c>
      <c r="J33" s="186"/>
      <c r="K33" s="187" t="str">
        <f>NeoGui1700!G32</f>
        <v/>
      </c>
      <c r="L33" s="186"/>
      <c r="M33" s="190" t="str">
        <f>NeoGui1700!H32</f>
        <v/>
      </c>
      <c r="N33" s="191">
        <f>INDEX(tbl_Neo_Dose,NeoBer1700!G20,1)</f>
        <v>0</v>
      </c>
      <c r="O33" s="192"/>
      <c r="P33" s="189" t="str">
        <f>IF(B33&lt;&gt;0,IF(NeoBer1700!J20,"ja","nee"),"")</f>
        <v/>
      </c>
      <c r="Q33" s="193"/>
    </row>
    <row r="34" spans="1:17" ht="15.95" customHeight="1" x14ac:dyDescent="0.2">
      <c r="A34" s="158">
        <v>3</v>
      </c>
      <c r="B34" s="186">
        <f>INDEX(tbl_Neo_MedIV,NeoBer1700!B21,1)</f>
        <v>0</v>
      </c>
      <c r="C34" s="181"/>
      <c r="D34" s="186"/>
      <c r="E34" s="187" t="str">
        <f>NeoGui1700!C33</f>
        <v/>
      </c>
      <c r="F34" s="186"/>
      <c r="G34" s="188" t="str">
        <f>NeoGui1700!D33</f>
        <v/>
      </c>
      <c r="H34" s="186"/>
      <c r="I34" s="189">
        <f>INDEX(tbl_Neo_Opl,NeoBer1700!E21,1)</f>
        <v>0</v>
      </c>
      <c r="J34" s="186"/>
      <c r="K34" s="187" t="str">
        <f>NeoGui1700!G33</f>
        <v/>
      </c>
      <c r="L34" s="186"/>
      <c r="M34" s="190" t="str">
        <f>NeoGui1700!H33</f>
        <v/>
      </c>
      <c r="N34" s="191">
        <f>INDEX(tbl_Neo_Dose,NeoBer1700!G21,1)</f>
        <v>0</v>
      </c>
      <c r="O34" s="192"/>
      <c r="P34" s="189" t="str">
        <f>IF(B34&lt;&gt;0,IF(NeoBer1700!J21,"ja","nee"),"")</f>
        <v/>
      </c>
      <c r="Q34" s="185"/>
    </row>
    <row r="35" spans="1:17" ht="15.95" customHeight="1" x14ac:dyDescent="0.2">
      <c r="A35" s="158">
        <v>4</v>
      </c>
      <c r="B35" s="186">
        <f>INDEX(tbl_Neo_MedIV,NeoBer1700!B22,1)</f>
        <v>0</v>
      </c>
      <c r="C35" s="181"/>
      <c r="D35" s="186"/>
      <c r="E35" s="187" t="str">
        <f>NeoGui1700!C34</f>
        <v/>
      </c>
      <c r="F35" s="186"/>
      <c r="G35" s="188" t="str">
        <f>NeoGui1700!D34</f>
        <v/>
      </c>
      <c r="H35" s="186"/>
      <c r="I35" s="189">
        <f>INDEX(tbl_Neo_Opl,NeoBer1700!E22,1)</f>
        <v>0</v>
      </c>
      <c r="J35" s="186"/>
      <c r="K35" s="187" t="str">
        <f>NeoGui1700!G34</f>
        <v/>
      </c>
      <c r="L35" s="186"/>
      <c r="M35" s="190" t="str">
        <f>NeoGui1700!H34</f>
        <v/>
      </c>
      <c r="N35" s="191">
        <f>INDEX(tbl_Neo_Dose,NeoBer1700!G22,1)</f>
        <v>0</v>
      </c>
      <c r="O35" s="192"/>
      <c r="P35" s="189" t="str">
        <f>IF(B35&lt;&gt;0,IF(NeoBer1700!J22,"ja","nee"),"")</f>
        <v/>
      </c>
      <c r="Q35" s="193"/>
    </row>
    <row r="36" spans="1:17" ht="15.95" customHeight="1" x14ac:dyDescent="0.2">
      <c r="A36" s="158">
        <v>5</v>
      </c>
      <c r="B36" s="186">
        <f>INDEX(tbl_Neo_MedIV,NeoBer1700!B23,1)</f>
        <v>0</v>
      </c>
      <c r="C36" s="181"/>
      <c r="D36" s="186"/>
      <c r="E36" s="187" t="str">
        <f>NeoGui1700!C35</f>
        <v/>
      </c>
      <c r="F36" s="186"/>
      <c r="G36" s="188" t="str">
        <f>NeoGui1700!D35</f>
        <v/>
      </c>
      <c r="H36" s="186"/>
      <c r="I36" s="189">
        <f>INDEX(tbl_Neo_Opl,NeoBer1700!E23,1)</f>
        <v>0</v>
      </c>
      <c r="J36" s="186"/>
      <c r="K36" s="187" t="str">
        <f>NeoGui1700!G35</f>
        <v/>
      </c>
      <c r="L36" s="186"/>
      <c r="M36" s="190" t="str">
        <f>NeoGui1700!H35</f>
        <v/>
      </c>
      <c r="N36" s="191">
        <f>INDEX(tbl_Neo_Dose,NeoBer1700!G23,1)</f>
        <v>0</v>
      </c>
      <c r="O36" s="192"/>
      <c r="P36" s="189" t="str">
        <f>IF(B36&lt;&gt;0,IF(NeoBer1700!J23,"ja","nee"),"")</f>
        <v/>
      </c>
      <c r="Q36" s="185"/>
    </row>
    <row r="37" spans="1:17" ht="15.95" customHeight="1" x14ac:dyDescent="0.2">
      <c r="A37" s="158">
        <v>6</v>
      </c>
      <c r="B37" s="186">
        <f>INDEX(tbl_Neo_MedIV,NeoBer1700!B24,1)</f>
        <v>0</v>
      </c>
      <c r="C37" s="181"/>
      <c r="D37" s="186"/>
      <c r="E37" s="187" t="str">
        <f>NeoGui1700!C36</f>
        <v/>
      </c>
      <c r="F37" s="186"/>
      <c r="G37" s="188" t="str">
        <f>NeoGui1700!D36</f>
        <v/>
      </c>
      <c r="H37" s="186"/>
      <c r="I37" s="189">
        <f>INDEX(tbl_Neo_Opl,NeoBer1700!E24,1)</f>
        <v>0</v>
      </c>
      <c r="J37" s="186"/>
      <c r="K37" s="187" t="str">
        <f>NeoGui1700!G36</f>
        <v/>
      </c>
      <c r="L37" s="186"/>
      <c r="M37" s="190" t="str">
        <f>NeoGui1700!H36</f>
        <v/>
      </c>
      <c r="N37" s="191">
        <f>INDEX(tbl_Neo_Dose,NeoBer1700!G24,1)</f>
        <v>0</v>
      </c>
      <c r="O37" s="192"/>
      <c r="P37" s="189" t="str">
        <f>IF(B37&lt;&gt;0,IF(NeoBer1700!J24,"ja","nee"),"")</f>
        <v/>
      </c>
      <c r="Q37" s="193"/>
    </row>
    <row r="38" spans="1:17" ht="15.95" customHeight="1" x14ac:dyDescent="0.2">
      <c r="A38" s="158">
        <v>7</v>
      </c>
      <c r="B38" s="186">
        <f>INDEX(tbl_Neo_MedIV,NeoBer1700!B25,1)</f>
        <v>0</v>
      </c>
      <c r="C38" s="181"/>
      <c r="D38" s="186"/>
      <c r="E38" s="187" t="str">
        <f>NeoGui1700!C37</f>
        <v/>
      </c>
      <c r="F38" s="186"/>
      <c r="G38" s="188" t="str">
        <f>NeoGui1700!D37</f>
        <v/>
      </c>
      <c r="H38" s="186"/>
      <c r="I38" s="189">
        <f>INDEX(tbl_Neo_Opl,NeoBer1700!E25,1)</f>
        <v>0</v>
      </c>
      <c r="J38" s="186"/>
      <c r="K38" s="187" t="str">
        <f>NeoGui1700!G37</f>
        <v/>
      </c>
      <c r="L38" s="186"/>
      <c r="M38" s="190" t="str">
        <f>NeoGui1700!H37</f>
        <v/>
      </c>
      <c r="N38" s="191">
        <f>INDEX(tbl_Neo_Dose,NeoBer1700!G25,1)</f>
        <v>0</v>
      </c>
      <c r="O38" s="192"/>
      <c r="P38" s="189" t="str">
        <f>IF(B38&lt;&gt;0,IF(NeoBer1700!J25,"ja","nee"),"")</f>
        <v/>
      </c>
      <c r="Q38" s="185"/>
    </row>
    <row r="39" spans="1:17" ht="15.95" customHeight="1" x14ac:dyDescent="0.2">
      <c r="A39" s="158">
        <v>8</v>
      </c>
      <c r="B39" s="186">
        <f>INDEX(tbl_Neo_MedIV,NeoBer1700!B26,1)</f>
        <v>0</v>
      </c>
      <c r="C39" s="181"/>
      <c r="D39" s="186"/>
      <c r="E39" s="187" t="str">
        <f>NeoGui1700!C38</f>
        <v/>
      </c>
      <c r="F39" s="186"/>
      <c r="G39" s="188" t="str">
        <f>NeoGui1700!D38</f>
        <v/>
      </c>
      <c r="H39" s="186"/>
      <c r="I39" s="189">
        <f>INDEX(tbl_Neo_Opl,NeoBer1700!E26,1)</f>
        <v>0</v>
      </c>
      <c r="J39" s="186"/>
      <c r="K39" s="187" t="str">
        <f>NeoGui1700!G38</f>
        <v/>
      </c>
      <c r="L39" s="186"/>
      <c r="M39" s="190" t="str">
        <f>NeoGui1700!H38</f>
        <v/>
      </c>
      <c r="N39" s="191">
        <f>INDEX(tbl_Neo_Dose,NeoBer1700!G26,1)</f>
        <v>0</v>
      </c>
      <c r="O39" s="192"/>
      <c r="P39" s="189" t="str">
        <f>IF(B39&lt;&gt;0,IF(NeoBer1700!J26,"ja","nee"),"")</f>
        <v/>
      </c>
      <c r="Q39" s="193"/>
    </row>
    <row r="40" spans="1:17" ht="15.95" customHeight="1" x14ac:dyDescent="0.2">
      <c r="A40" s="158">
        <v>9</v>
      </c>
      <c r="B40" s="186">
        <f>INDEX(tbl_Neo_MedIV,NeoBer1700!B27,1)</f>
        <v>0</v>
      </c>
      <c r="C40" s="181"/>
      <c r="D40" s="186"/>
      <c r="E40" s="187" t="str">
        <f>NeoGui1700!C39</f>
        <v/>
      </c>
      <c r="F40" s="186"/>
      <c r="G40" s="188" t="str">
        <f>NeoGui1700!D39</f>
        <v/>
      </c>
      <c r="H40" s="186"/>
      <c r="I40" s="189">
        <f>INDEX(tbl_Neo_Opl,NeoBer1700!E27,1)</f>
        <v>0</v>
      </c>
      <c r="J40" s="186"/>
      <c r="K40" s="187" t="str">
        <f>NeoGui1700!G39</f>
        <v/>
      </c>
      <c r="L40" s="186"/>
      <c r="M40" s="190" t="str">
        <f>NeoGui1700!H39</f>
        <v/>
      </c>
      <c r="N40" s="191">
        <f>INDEX(tbl_Neo_Dose,NeoBer1700!G27,1)</f>
        <v>0</v>
      </c>
      <c r="O40" s="192"/>
      <c r="P40" s="189" t="str">
        <f>IF(B40&lt;&gt;0,IF(NeoBer1700!J27,"ja","nee"),"")</f>
        <v/>
      </c>
      <c r="Q40" s="185"/>
    </row>
    <row r="41" spans="1:17" ht="15.95" customHeight="1" x14ac:dyDescent="0.2">
      <c r="A41" s="158">
        <v>10</v>
      </c>
      <c r="B41" s="186">
        <f>INDEX(tbl_Neo_MedIV,NeoBer1700!B28,1)</f>
        <v>0</v>
      </c>
      <c r="C41" s="181"/>
      <c r="D41" s="186"/>
      <c r="E41" s="187" t="str">
        <f>NeoGui1700!C40</f>
        <v/>
      </c>
      <c r="F41" s="186"/>
      <c r="G41" s="188" t="str">
        <f>NeoGui1700!D40</f>
        <v/>
      </c>
      <c r="H41" s="186"/>
      <c r="I41" s="189">
        <f>INDEX(tbl_Neo_Opl,NeoBer1700!E28,1)</f>
        <v>0</v>
      </c>
      <c r="J41" s="186"/>
      <c r="K41" s="187" t="str">
        <f>NeoGui1700!G40</f>
        <v/>
      </c>
      <c r="L41" s="186"/>
      <c r="M41" s="190" t="str">
        <f>NeoGui1700!H40</f>
        <v/>
      </c>
      <c r="N41" s="191">
        <f>INDEX(tbl_Neo_Dose,NeoBer1700!G28,1)</f>
        <v>0</v>
      </c>
      <c r="O41" s="192"/>
      <c r="P41" s="189" t="str">
        <f>IF(B41&lt;&gt;0,IF(NeoBer1700!J28,"ja","nee"),"")</f>
        <v/>
      </c>
      <c r="Q41" s="193"/>
    </row>
    <row r="42" spans="1:17" ht="15.95" customHeight="1" x14ac:dyDescent="0.2">
      <c r="A42" s="158">
        <v>11</v>
      </c>
      <c r="B42" s="186" t="str">
        <f>IF(I42&lt;&gt;"",NeoGui1700!B42,"")</f>
        <v>Zijlijn 1</v>
      </c>
      <c r="C42" s="181"/>
      <c r="D42" s="186"/>
      <c r="E42" s="187"/>
      <c r="F42" s="186"/>
      <c r="G42" s="187"/>
      <c r="H42" s="186"/>
      <c r="I42" s="189">
        <f>IFERROR(INDEX(tbl_Neo_Opl,NeoBer1700!E29,1),"")</f>
        <v>0</v>
      </c>
      <c r="J42" s="186"/>
      <c r="K42" s="187" t="str">
        <f>NeoGui1700!G42</f>
        <v/>
      </c>
      <c r="L42" s="186"/>
      <c r="M42" s="190"/>
      <c r="N42" s="186"/>
      <c r="O42" s="192"/>
      <c r="P42" s="189" t="str">
        <f>IF(B42&lt;&gt;"",IF(NeoBer1700!J29,"ja","nee"),"")</f>
        <v>nee</v>
      </c>
      <c r="Q42" s="193"/>
    </row>
    <row r="43" spans="1:17" ht="15.95" customHeight="1" x14ac:dyDescent="0.2">
      <c r="A43" s="158">
        <v>12</v>
      </c>
      <c r="B43" s="186" t="str">
        <f>IF(I43&lt;&gt;"",NeoGui1700!B43,"")</f>
        <v>Zijlijn 2</v>
      </c>
      <c r="C43" s="181"/>
      <c r="D43" s="186"/>
      <c r="E43" s="187"/>
      <c r="F43" s="186"/>
      <c r="G43" s="187"/>
      <c r="H43" s="186"/>
      <c r="I43" s="189">
        <f>IFERROR(INDEX(tbl_Neo_Opl,NeoBer1700!E30,1),"")</f>
        <v>0</v>
      </c>
      <c r="J43" s="186"/>
      <c r="K43" s="187" t="str">
        <f>NeoGui1700!G43</f>
        <v/>
      </c>
      <c r="L43" s="186"/>
      <c r="M43" s="190"/>
      <c r="N43" s="186"/>
      <c r="O43" s="192"/>
      <c r="P43" s="189" t="str">
        <f>IF(B43&lt;&gt;"",IF(NeoBer1700!J30,"ja","nee"),"")</f>
        <v>nee</v>
      </c>
      <c r="Q43" s="193"/>
    </row>
    <row r="44" spans="1:17" ht="15.95" customHeight="1" x14ac:dyDescent="0.2">
      <c r="A44" s="158">
        <v>13</v>
      </c>
      <c r="B44" s="186" t="str">
        <f>IF(I44&lt;&gt;"",NeoGui1700!B44,"")</f>
        <v>Zijlijn 3</v>
      </c>
      <c r="C44" s="181"/>
      <c r="D44" s="186"/>
      <c r="E44" s="187"/>
      <c r="F44" s="186"/>
      <c r="G44" s="187"/>
      <c r="H44" s="186"/>
      <c r="I44" s="189">
        <f>IFERROR(INDEX(tbl_Neo_Opl,NeoBer1700!E31,1),"")</f>
        <v>0</v>
      </c>
      <c r="J44" s="186"/>
      <c r="K44" s="187" t="str">
        <f>NeoGui1700!G44</f>
        <v/>
      </c>
      <c r="L44" s="186"/>
      <c r="M44" s="186"/>
      <c r="N44" s="186"/>
      <c r="O44" s="192"/>
      <c r="P44" s="189" t="str">
        <f>IF(B44&lt;&gt;"",IF(NeoBer1700!J31,"ja","nee"),"")</f>
        <v>nee</v>
      </c>
      <c r="Q44" s="193"/>
    </row>
    <row r="45" spans="1:17" ht="15.95" customHeight="1" x14ac:dyDescent="0.2">
      <c r="A45" s="158">
        <v>14</v>
      </c>
      <c r="B45" s="186" t="str">
        <f>NeoGui1700!B45</f>
        <v/>
      </c>
      <c r="C45" s="181"/>
      <c r="D45" s="186"/>
      <c r="E45" s="187"/>
      <c r="F45" s="186"/>
      <c r="G45" s="187"/>
      <c r="H45" s="186"/>
      <c r="I45" s="186"/>
      <c r="J45" s="186"/>
      <c r="K45" s="187"/>
      <c r="L45" s="186"/>
      <c r="M45" s="186"/>
      <c r="N45" s="186"/>
      <c r="O45" s="192"/>
      <c r="P45" s="186"/>
      <c r="Q45" s="193"/>
    </row>
    <row r="46" spans="1:17" ht="15.95" customHeight="1" x14ac:dyDescent="0.2">
      <c r="A46" s="158">
        <v>15</v>
      </c>
      <c r="B46" s="186" t="str">
        <f>NeoGui1700!B46</f>
        <v/>
      </c>
      <c r="C46" s="181"/>
      <c r="D46" s="186"/>
      <c r="E46" s="187"/>
      <c r="F46" s="186"/>
      <c r="G46" s="187"/>
      <c r="H46" s="186"/>
      <c r="I46" s="186"/>
      <c r="J46" s="186"/>
      <c r="K46" s="187"/>
      <c r="L46" s="186"/>
      <c r="M46" s="186"/>
      <c r="N46" s="186"/>
      <c r="O46" s="192"/>
      <c r="P46" s="186"/>
      <c r="Q46" s="193"/>
    </row>
    <row r="47" spans="1:17" ht="15.75" customHeight="1" x14ac:dyDescent="0.2">
      <c r="A47" s="158">
        <v>16</v>
      </c>
      <c r="B47" s="186">
        <f>NeoGui1700!B48</f>
        <v>0</v>
      </c>
      <c r="C47" s="181"/>
      <c r="D47" s="186"/>
      <c r="E47" s="187"/>
      <c r="F47" s="186"/>
      <c r="G47" s="187" t="str">
        <f ca="1">NeoGui1700!E48</f>
        <v/>
      </c>
      <c r="H47" s="186"/>
      <c r="I47" s="186"/>
      <c r="J47" s="186"/>
      <c r="K47" s="187"/>
      <c r="L47" s="186"/>
      <c r="M47" s="186"/>
      <c r="N47" s="186"/>
      <c r="O47" s="192"/>
      <c r="P47" s="186"/>
      <c r="Q47" s="185"/>
    </row>
    <row r="48" spans="1:17" x14ac:dyDescent="0.2">
      <c r="O48" s="171"/>
      <c r="P48" s="166"/>
      <c r="Q48" s="171"/>
    </row>
    <row r="49" spans="2:17" x14ac:dyDescent="0.2">
      <c r="B49" s="161" t="str">
        <f>NeoGui1700!B51</f>
        <v>Samenstelling</v>
      </c>
      <c r="F49" s="158" t="s">
        <v>546</v>
      </c>
      <c r="I49" s="158" t="s">
        <v>547</v>
      </c>
      <c r="L49" s="158" t="s">
        <v>548</v>
      </c>
      <c r="P49" s="170"/>
      <c r="Q49" s="171"/>
    </row>
    <row r="50" spans="2:17" x14ac:dyDescent="0.2">
      <c r="F50" s="194" t="s">
        <v>549</v>
      </c>
      <c r="G50" s="195"/>
      <c r="H50" s="196"/>
      <c r="I50" s="197" t="s">
        <v>550</v>
      </c>
      <c r="J50" s="195"/>
      <c r="K50" s="198"/>
      <c r="L50" s="194" t="s">
        <v>550</v>
      </c>
      <c r="M50" s="195"/>
      <c r="N50" s="198"/>
      <c r="P50" s="170"/>
      <c r="Q50" s="171"/>
    </row>
    <row r="51" spans="2:17" x14ac:dyDescent="0.2">
      <c r="B51" s="197" t="str">
        <f>NeoGui1700!B52</f>
        <v>NaCl 2,9%</v>
      </c>
      <c r="C51" s="199"/>
      <c r="D51" s="199"/>
      <c r="E51" s="196"/>
      <c r="F51" s="200" t="str">
        <f ca="1">NeoGui1700!E52</f>
        <v>0 ml</v>
      </c>
      <c r="G51" s="201"/>
      <c r="H51" s="202"/>
      <c r="I51" s="200"/>
      <c r="J51" s="201"/>
      <c r="K51" s="202"/>
      <c r="L51" s="200" t="str">
        <f>NeoGui1700!I52</f>
        <v/>
      </c>
      <c r="M51" s="201"/>
      <c r="N51" s="202"/>
      <c r="P51" s="203"/>
      <c r="Q51" s="185"/>
    </row>
    <row r="52" spans="2:17" x14ac:dyDescent="0.2">
      <c r="B52" s="197" t="str">
        <f>NeoGui1700!B53</f>
        <v>Kacetaat</v>
      </c>
      <c r="C52" s="199"/>
      <c r="D52" s="199"/>
      <c r="E52" s="196"/>
      <c r="F52" s="200" t="str">
        <f ca="1">NeoGui1700!E53</f>
        <v>0 ml</v>
      </c>
      <c r="G52" s="201"/>
      <c r="H52" s="202"/>
      <c r="I52" s="200"/>
      <c r="J52" s="201"/>
      <c r="K52" s="202"/>
      <c r="L52" s="200" t="str">
        <f>NeoGui1700!I53</f>
        <v/>
      </c>
      <c r="M52" s="201"/>
      <c r="N52" s="202"/>
      <c r="P52" s="204"/>
      <c r="Q52" s="193"/>
    </row>
    <row r="53" spans="2:17" x14ac:dyDescent="0.2">
      <c r="B53" s="197" t="str">
        <f>NeoGui1700!B54</f>
        <v>CaCl2</v>
      </c>
      <c r="C53" s="199"/>
      <c r="D53" s="199"/>
      <c r="E53" s="196"/>
      <c r="F53" s="200" t="str">
        <f ca="1">NeoGui1700!E54</f>
        <v>0 ml</v>
      </c>
      <c r="G53" s="201"/>
      <c r="H53" s="202"/>
      <c r="I53" s="200"/>
      <c r="J53" s="201"/>
      <c r="K53" s="202"/>
      <c r="L53" s="200"/>
      <c r="M53" s="201"/>
      <c r="N53" s="202"/>
      <c r="P53" s="203"/>
      <c r="Q53" s="185"/>
    </row>
    <row r="54" spans="2:17" x14ac:dyDescent="0.2">
      <c r="B54" s="197" t="str">
        <f>NeoGui1700!B55</f>
        <v>MgCl2</v>
      </c>
      <c r="C54" s="199"/>
      <c r="D54" s="199"/>
      <c r="E54" s="196"/>
      <c r="F54" s="200" t="str">
        <f ca="1">NeoGui1700!E55</f>
        <v>0 ml</v>
      </c>
      <c r="G54" s="201"/>
      <c r="H54" s="202"/>
      <c r="I54" s="200"/>
      <c r="J54" s="201"/>
      <c r="K54" s="202"/>
      <c r="L54" s="200"/>
      <c r="M54" s="201"/>
      <c r="N54" s="202"/>
      <c r="P54" s="204"/>
      <c r="Q54" s="193"/>
    </row>
    <row r="55" spans="2:17" x14ac:dyDescent="0.2">
      <c r="B55" s="197" t="str">
        <f>NeoGui1700!B56</f>
        <v>Soluvit</v>
      </c>
      <c r="C55" s="199"/>
      <c r="D55" s="199"/>
      <c r="E55" s="196"/>
      <c r="F55" s="200" t="str">
        <f ca="1">NeoGui1700!E56</f>
        <v>0 ml</v>
      </c>
      <c r="G55" s="201"/>
      <c r="H55" s="202"/>
      <c r="I55" s="200"/>
      <c r="J55" s="201"/>
      <c r="K55" s="202"/>
      <c r="L55" s="200"/>
      <c r="M55" s="201"/>
      <c r="N55" s="202"/>
      <c r="P55" s="203"/>
      <c r="Q55" s="185"/>
    </row>
    <row r="56" spans="2:17" x14ac:dyDescent="0.2">
      <c r="B56" s="197" t="str">
        <f>NeoGui1700!B57</f>
        <v>Primene</v>
      </c>
      <c r="C56" s="199"/>
      <c r="D56" s="199"/>
      <c r="E56" s="196"/>
      <c r="F56" s="200" t="str">
        <f ca="1">NeoGui1700!E57</f>
        <v>0 ml</v>
      </c>
      <c r="G56" s="201"/>
      <c r="H56" s="202"/>
      <c r="I56" s="200"/>
      <c r="J56" s="201"/>
      <c r="K56" s="202"/>
      <c r="L56" s="200"/>
      <c r="M56" s="201"/>
      <c r="N56" s="202"/>
      <c r="P56" s="204"/>
      <c r="Q56" s="193"/>
    </row>
    <row r="57" spans="2:17" x14ac:dyDescent="0.2">
      <c r="B57" s="197" t="str">
        <f>NeoGui1700!B58</f>
        <v>NICU-mix</v>
      </c>
      <c r="C57" s="199"/>
      <c r="D57" s="199"/>
      <c r="E57" s="196"/>
      <c r="F57" s="200"/>
      <c r="G57" s="201"/>
      <c r="H57" s="202"/>
      <c r="I57" s="200" t="str">
        <f>NeoGui1700!G58</f>
        <v/>
      </c>
      <c r="J57" s="201"/>
      <c r="K57" s="202"/>
      <c r="L57" s="200"/>
      <c r="M57" s="201"/>
      <c r="N57" s="202"/>
      <c r="P57" s="203"/>
      <c r="Q57" s="185"/>
    </row>
    <row r="58" spans="2:17" x14ac:dyDescent="0.2">
      <c r="B58" s="197" t="str">
        <f>NeoGui1700!B59</f>
        <v>Samenstelling B</v>
      </c>
      <c r="C58" s="199"/>
      <c r="D58" s="199"/>
      <c r="E58" s="196"/>
      <c r="F58" s="200"/>
      <c r="G58" s="201"/>
      <c r="H58" s="202"/>
      <c r="I58" s="200"/>
      <c r="J58" s="201"/>
      <c r="K58" s="202"/>
      <c r="L58" s="200" t="str">
        <f>NeoGui1700!I59</f>
        <v/>
      </c>
      <c r="M58" s="201"/>
      <c r="N58" s="202"/>
      <c r="P58" s="204"/>
      <c r="Q58" s="193"/>
    </row>
    <row r="59" spans="2:17" x14ac:dyDescent="0.2">
      <c r="B59" s="197">
        <f>INDEX(tbl_Neo_Opl,NeoBer1700!D45+1,1)</f>
        <v>0</v>
      </c>
      <c r="C59" s="199"/>
      <c r="D59" s="199"/>
      <c r="E59" s="196"/>
      <c r="F59" s="200" t="str">
        <f>NeoGui1700!E60&amp;" "&amp;NeoGui1700!F60</f>
        <v>0 ml</v>
      </c>
      <c r="G59" s="201"/>
      <c r="H59" s="202"/>
      <c r="I59" s="200" t="str">
        <f>NeoGui1700!G60&amp;" "&amp;NeoGui1700!H60</f>
        <v xml:space="preserve"> </v>
      </c>
      <c r="J59" s="201"/>
      <c r="K59" s="202"/>
      <c r="L59" s="200" t="str">
        <f>NeoGui1700!I60&amp;" "&amp;NeoGui1700!J60</f>
        <v xml:space="preserve"> </v>
      </c>
      <c r="M59" s="201"/>
      <c r="N59" s="202"/>
      <c r="P59" s="205"/>
      <c r="Q59" s="206"/>
    </row>
    <row r="60" spans="2:17" ht="18.75" customHeight="1" x14ac:dyDescent="0.2">
      <c r="B60" s="161" t="str">
        <f>NeoGui1700!B19</f>
        <v>Fototherapie</v>
      </c>
      <c r="E60" s="164" t="str">
        <f>IF(NeoBer1700!B15=1,"ja","nee")</f>
        <v>nee</v>
      </c>
      <c r="P60" s="166"/>
      <c r="Q60" s="166"/>
    </row>
    <row r="61" spans="2:17" x14ac:dyDescent="0.2">
      <c r="B61" s="166"/>
      <c r="C61" s="166"/>
      <c r="D61" s="166"/>
      <c r="E61" s="166"/>
      <c r="F61" s="166"/>
      <c r="G61" s="166"/>
      <c r="H61" s="166"/>
      <c r="I61" s="166"/>
      <c r="J61" s="166"/>
      <c r="K61" s="166"/>
      <c r="L61" s="166"/>
      <c r="M61" s="166"/>
      <c r="N61" s="166"/>
      <c r="O61" s="166"/>
      <c r="P61" s="166"/>
      <c r="Q61" s="166"/>
    </row>
    <row r="62" spans="2:17" x14ac:dyDescent="0.2">
      <c r="B62" s="168" t="str">
        <f>NeoGui1700!B2</f>
        <v>Intake</v>
      </c>
      <c r="C62" s="168"/>
      <c r="D62" s="168" t="str">
        <f>NeoGui1700!C2</f>
        <v>Intraveneus</v>
      </c>
      <c r="E62" s="168"/>
      <c r="F62" s="168" t="str">
        <f>NeoGui1700!D2</f>
        <v>Oraal</v>
      </c>
      <c r="G62" s="168"/>
      <c r="H62" s="168" t="str">
        <f>NeoGui1700!E2</f>
        <v>Totaal</v>
      </c>
      <c r="I62" s="168"/>
      <c r="J62" s="168"/>
      <c r="K62" s="168" t="s">
        <v>367</v>
      </c>
      <c r="L62" s="168"/>
      <c r="M62" s="168" t="str">
        <f>NeoGui1700!H2</f>
        <v>Intraveneus</v>
      </c>
      <c r="N62" s="168"/>
      <c r="O62" s="168" t="str">
        <f>NeoGui1700!I2</f>
        <v>Oraal</v>
      </c>
      <c r="P62" s="168"/>
      <c r="Q62" s="168" t="str">
        <f>NeoGui1700!J2</f>
        <v>Totaal</v>
      </c>
    </row>
    <row r="63" spans="2:17" x14ac:dyDescent="0.2">
      <c r="B63" s="158" t="str">
        <f>NeoGui1700!B3</f>
        <v>Volume</v>
      </c>
      <c r="D63" s="207" t="e">
        <f ca="1">NeoGui1700!C3</f>
        <v>#DIV/0!</v>
      </c>
      <c r="E63" s="207"/>
      <c r="F63" s="207" t="e">
        <f>NeoGui1700!D3</f>
        <v>#DIV/0!</v>
      </c>
      <c r="H63" s="207" t="e">
        <f ca="1">NeoGui1700!E3</f>
        <v>#DIV/0!</v>
      </c>
      <c r="K63" s="158" t="str">
        <f>NeoGui1700!G3</f>
        <v>Natrium</v>
      </c>
      <c r="M63" s="207" t="e">
        <f ca="1">NeoGui1700!H3</f>
        <v>#DIV/0!</v>
      </c>
      <c r="N63" s="207"/>
      <c r="O63" s="207" t="e">
        <f>NeoGui1700!I3</f>
        <v>#DIV/0!</v>
      </c>
      <c r="Q63" s="207" t="e">
        <f ca="1">NeoGui1700!J3</f>
        <v>#DIV/0!</v>
      </c>
    </row>
    <row r="64" spans="2:17" x14ac:dyDescent="0.2">
      <c r="B64" s="158" t="str">
        <f>NeoGui1700!B4</f>
        <v>Eiwit</v>
      </c>
      <c r="D64" s="207" t="e">
        <f ca="1">NeoGui1700!C4</f>
        <v>#DIV/0!</v>
      </c>
      <c r="E64" s="207"/>
      <c r="F64" s="207" t="e">
        <f>NeoGui1700!D4</f>
        <v>#DIV/0!</v>
      </c>
      <c r="H64" s="207" t="e">
        <f ca="1">NeoGui1700!E4</f>
        <v>#DIV/0!</v>
      </c>
      <c r="K64" s="158" t="str">
        <f>NeoGui1700!G4</f>
        <v>Kalium</v>
      </c>
      <c r="M64" s="207" t="e">
        <f ca="1">NeoGui1700!H4</f>
        <v>#DIV/0!</v>
      </c>
      <c r="N64" s="207"/>
      <c r="O64" s="207" t="e">
        <f>NeoGui1700!I4</f>
        <v>#DIV/0!</v>
      </c>
      <c r="Q64" s="207" t="e">
        <f ca="1">NeoGui1700!J4</f>
        <v>#DIV/0!</v>
      </c>
    </row>
    <row r="65" spans="2:17" x14ac:dyDescent="0.2">
      <c r="B65" s="158" t="str">
        <f>NeoGui1700!B5</f>
        <v>Vet</v>
      </c>
      <c r="D65" s="207" t="e">
        <f ca="1">NeoGui1700!C5</f>
        <v>#DIV/0!</v>
      </c>
      <c r="E65" s="207"/>
      <c r="F65" s="207" t="e">
        <f>NeoGui1700!D5</f>
        <v>#DIV/0!</v>
      </c>
      <c r="H65" s="207" t="e">
        <f ca="1">NeoGui1700!E5</f>
        <v>#DIV/0!</v>
      </c>
      <c r="K65" s="158" t="str">
        <f>NeoGui1700!G5</f>
        <v>Calcium</v>
      </c>
      <c r="M65" s="207" t="e">
        <f ca="1">NeoGui1700!H5</f>
        <v>#DIV/0!</v>
      </c>
      <c r="N65" s="207"/>
      <c r="O65" s="207" t="e">
        <f>NeoGui1700!I5</f>
        <v>#DIV/0!</v>
      </c>
      <c r="Q65" s="207" t="e">
        <f ca="1">NeoGui1700!J5</f>
        <v>#DIV/0!</v>
      </c>
    </row>
    <row r="66" spans="2:17" x14ac:dyDescent="0.2">
      <c r="B66" s="158" t="str">
        <f>NeoGui1700!B6</f>
        <v>Glucose</v>
      </c>
      <c r="D66" s="207" t="e">
        <f>NeoGui1700!C6</f>
        <v>#DIV/0!</v>
      </c>
      <c r="E66" s="207"/>
      <c r="F66" s="207" t="e">
        <f>NeoGui1700!D6</f>
        <v>#DIV/0!</v>
      </c>
      <c r="H66" s="207" t="e">
        <f>NeoGui1700!E6</f>
        <v>#DIV/0!</v>
      </c>
      <c r="K66" s="158" t="str">
        <f>NeoGui1700!G6</f>
        <v>Magnesium</v>
      </c>
      <c r="M66" s="207" t="e">
        <f ca="1">NeoGui1700!H6</f>
        <v>#DIV/0!</v>
      </c>
      <c r="N66" s="207"/>
      <c r="O66" s="207" t="e">
        <f>NeoGui1700!I6</f>
        <v>#DIV/0!</v>
      </c>
      <c r="Q66" s="207" t="e">
        <f ca="1">NeoGui1700!J6</f>
        <v>#DIV/0!</v>
      </c>
    </row>
    <row r="67" spans="2:17" x14ac:dyDescent="0.2">
      <c r="B67" s="158" t="str">
        <f>NeoGui1700!B7</f>
        <v>Energie</v>
      </c>
      <c r="D67" s="207" t="e">
        <f ca="1">NeoGui1700!C7</f>
        <v>#DIV/0!</v>
      </c>
      <c r="E67" s="207"/>
      <c r="F67" s="207" t="e">
        <f>NeoGui1700!D7</f>
        <v>#DIV/0!</v>
      </c>
      <c r="H67" s="207" t="e">
        <f ca="1">NeoGui1700!E7</f>
        <v>#DIV/0!</v>
      </c>
      <c r="K67" s="158" t="str">
        <f>NeoGui1700!G7</f>
        <v>Chloor</v>
      </c>
      <c r="M67" s="207" t="e">
        <f ca="1">NeoGui1700!H7</f>
        <v>#DIV/0!</v>
      </c>
      <c r="N67" s="207"/>
      <c r="O67" s="207" t="e">
        <f>NeoGui1700!I7</f>
        <v>#DIV/0!</v>
      </c>
      <c r="Q67" s="207" t="e">
        <f ca="1">NeoGui1700!J7</f>
        <v>#DIV/0!</v>
      </c>
    </row>
    <row r="68" spans="2:17" x14ac:dyDescent="0.2">
      <c r="B68" s="158" t="str">
        <f>NeoGui1700!B8</f>
        <v>Vit D</v>
      </c>
      <c r="D68" s="207" t="str">
        <f ca="1">NeoGui1700!C8</f>
        <v>0 IE/ml</v>
      </c>
      <c r="E68" s="207"/>
      <c r="F68" s="207" t="str">
        <f>NeoGui1700!D8</f>
        <v>0 IE/ml</v>
      </c>
      <c r="H68" s="207" t="str">
        <f ca="1">NeoGui1700!E8</f>
        <v>0 IE/ml</v>
      </c>
      <c r="K68" s="158" t="str">
        <f>NeoGui1700!G8</f>
        <v>Fosfaat</v>
      </c>
      <c r="M68" s="207" t="e">
        <f>NeoGui1700!H8</f>
        <v>#DIV/0!</v>
      </c>
      <c r="N68" s="207"/>
      <c r="O68" s="207" t="e">
        <f>NeoGui1700!I8</f>
        <v>#DIV/0!</v>
      </c>
      <c r="Q68" s="207" t="e">
        <f>NeoGui1700!J8</f>
        <v>#DIV/0!</v>
      </c>
    </row>
    <row r="70" spans="2:17" x14ac:dyDescent="0.2">
      <c r="B70" s="1065" t="s">
        <v>122</v>
      </c>
      <c r="C70" s="1065"/>
      <c r="D70" s="1065"/>
      <c r="E70" s="1065"/>
      <c r="F70" s="1065"/>
      <c r="G70" s="1065"/>
      <c r="H70" s="1065"/>
      <c r="I70" s="1065"/>
      <c r="J70" s="1065"/>
      <c r="K70" s="1065"/>
      <c r="L70" s="1065"/>
      <c r="M70" s="1065"/>
      <c r="N70" s="1065"/>
      <c r="O70" s="1065"/>
      <c r="P70" s="1065"/>
      <c r="Q70" s="1065"/>
    </row>
    <row r="71" spans="2:17" x14ac:dyDescent="0.2">
      <c r="B71" s="158" t="s">
        <v>390</v>
      </c>
      <c r="D71" s="158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P71" s="166"/>
      <c r="Q71" s="166"/>
    </row>
    <row r="72" spans="2:17" x14ac:dyDescent="0.2">
      <c r="B72" s="158" t="s">
        <v>755</v>
      </c>
      <c r="D72" s="158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P72" s="166"/>
      <c r="Q72" s="166"/>
    </row>
    <row r="73" spans="2:17" x14ac:dyDescent="0.2">
      <c r="B73" s="158" t="s">
        <v>756</v>
      </c>
      <c r="D73" s="158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P73" s="166"/>
      <c r="Q73" s="166"/>
    </row>
    <row r="74" spans="2:17" x14ac:dyDescent="0.2">
      <c r="B74" s="158" t="s">
        <v>757</v>
      </c>
      <c r="D74" s="158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P74" s="166"/>
      <c r="Q74" s="166"/>
    </row>
    <row r="75" spans="2:17" x14ac:dyDescent="0.2">
      <c r="B75" s="158" t="s">
        <v>154</v>
      </c>
      <c r="D75" s="158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P75" s="166"/>
      <c r="Q75" s="166"/>
    </row>
    <row r="76" spans="2:17" x14ac:dyDescent="0.2">
      <c r="B76" s="158" t="s">
        <v>758</v>
      </c>
      <c r="D76" s="158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P76" s="166"/>
      <c r="Q76" s="166"/>
    </row>
    <row r="77" spans="2:17" x14ac:dyDescent="0.2">
      <c r="B77" s="158" t="s">
        <v>762</v>
      </c>
      <c r="D77" s="158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P77" s="166"/>
      <c r="Q77" s="166"/>
    </row>
    <row r="78" spans="2:17" x14ac:dyDescent="0.2">
      <c r="B78" s="158" t="s">
        <v>304</v>
      </c>
      <c r="D78" s="158" t="str">
        <f>IF(_Neo_Lab_Opm=0,"",_Neo_Lab_Opm)</f>
        <v/>
      </c>
      <c r="P78" s="166"/>
      <c r="Q78" s="166"/>
    </row>
    <row r="79" spans="2:17" x14ac:dyDescent="0.2">
      <c r="P79" s="166"/>
      <c r="Q79" s="166"/>
    </row>
    <row r="80" spans="2:17" x14ac:dyDescent="0.2">
      <c r="P80" s="166"/>
      <c r="Q80" s="166"/>
    </row>
    <row r="81" spans="2:17" x14ac:dyDescent="0.2">
      <c r="B81" s="1065" t="s">
        <v>71</v>
      </c>
      <c r="C81" s="1065"/>
      <c r="D81" s="1065"/>
      <c r="E81" s="1065"/>
      <c r="F81" s="1065"/>
      <c r="G81" s="1065"/>
      <c r="H81" s="1065"/>
      <c r="I81" s="1065"/>
      <c r="J81" s="1065"/>
      <c r="K81" s="1065"/>
      <c r="L81" s="1065"/>
      <c r="M81" s="1065"/>
      <c r="N81" s="1065"/>
      <c r="O81" s="1065"/>
      <c r="P81" s="1065"/>
      <c r="Q81" s="1065"/>
    </row>
    <row r="82" spans="2:17" x14ac:dyDescent="0.2">
      <c r="B82" s="158" t="s">
        <v>765</v>
      </c>
      <c r="D82" s="158" t="str">
        <f>IFERROR(LEFT(Var_Neo_AfsprControles,LEN(Var_Neo_AfsprControles)-3),"")</f>
        <v/>
      </c>
      <c r="P82" s="166"/>
      <c r="Q82" s="166"/>
    </row>
    <row r="83" spans="2:17" x14ac:dyDescent="0.2">
      <c r="B83" s="158" t="s">
        <v>771</v>
      </c>
      <c r="D83" s="158" t="str">
        <f>IFERROR(LEFT(Var_Neo_AfsprOnderzoek,LEN(Var_Neo_AfsprOnderzoek)-3),"")</f>
        <v/>
      </c>
      <c r="P83" s="166"/>
      <c r="Q83" s="166"/>
    </row>
    <row r="84" spans="2:17" x14ac:dyDescent="0.2">
      <c r="B84" s="158" t="s">
        <v>703</v>
      </c>
      <c r="D84" s="158" t="str">
        <f>IFERROR(LEFT(Var_Neo_AfsprKweken,LEN(Var_Neo_AfsprKweken)-3),"")</f>
        <v/>
      </c>
      <c r="P84" s="166"/>
      <c r="Q84" s="166"/>
    </row>
    <row r="85" spans="2:17" x14ac:dyDescent="0.2">
      <c r="B85" s="158" t="s">
        <v>1009</v>
      </c>
      <c r="D85" s="158" t="str">
        <f>IFERROR(LEFT(Var_Neo_AfsprInstellingen,LEN(Var_Neo_AfsprInstellingen)-3),"")</f>
        <v/>
      </c>
      <c r="P85" s="166"/>
      <c r="Q85" s="166"/>
    </row>
    <row r="86" spans="2:17" x14ac:dyDescent="0.2">
      <c r="B86" s="158" t="s">
        <v>749</v>
      </c>
      <c r="D86" s="158" t="str">
        <f>IFERROR(LEFT(Var_Neo_AfsprOverig,LEN(Var_Neo_AfsprOverig)-3),"")</f>
        <v/>
      </c>
      <c r="P86" s="166"/>
      <c r="Q86" s="166"/>
    </row>
    <row r="87" spans="2:17" x14ac:dyDescent="0.2">
      <c r="P87" s="166"/>
      <c r="Q87" s="166"/>
    </row>
    <row r="88" spans="2:17" x14ac:dyDescent="0.2">
      <c r="P88" s="166"/>
      <c r="Q88" s="166"/>
    </row>
    <row r="89" spans="2:17" x14ac:dyDescent="0.2">
      <c r="P89" s="166"/>
      <c r="Q89" s="166"/>
    </row>
    <row r="90" spans="2:17" x14ac:dyDescent="0.2">
      <c r="P90" s="166"/>
      <c r="Q90" s="166"/>
    </row>
    <row r="91" spans="2:17" x14ac:dyDescent="0.2">
      <c r="P91" s="166"/>
      <c r="Q91" s="166"/>
    </row>
    <row r="92" spans="2:17" x14ac:dyDescent="0.2">
      <c r="P92" s="166"/>
      <c r="Q92" s="166"/>
    </row>
    <row r="93" spans="2:17" x14ac:dyDescent="0.2">
      <c r="P93" s="166"/>
      <c r="Q93" s="166"/>
    </row>
    <row r="94" spans="2:17" x14ac:dyDescent="0.2">
      <c r="P94" s="166"/>
      <c r="Q94" s="166"/>
    </row>
    <row r="95" spans="2:17" x14ac:dyDescent="0.2">
      <c r="P95" s="166"/>
      <c r="Q95" s="166"/>
    </row>
    <row r="96" spans="2:17" x14ac:dyDescent="0.2">
      <c r="P96" s="166"/>
      <c r="Q96" s="166"/>
    </row>
    <row r="97" spans="16:17" x14ac:dyDescent="0.2">
      <c r="P97" s="166"/>
      <c r="Q97" s="166"/>
    </row>
    <row r="98" spans="16:17" x14ac:dyDescent="0.2">
      <c r="P98" s="166"/>
      <c r="Q98" s="166"/>
    </row>
    <row r="99" spans="16:17" x14ac:dyDescent="0.2">
      <c r="P99" s="166"/>
      <c r="Q99" s="166"/>
    </row>
    <row r="100" spans="16:17" x14ac:dyDescent="0.2">
      <c r="P100" s="166"/>
      <c r="Q100" s="166"/>
    </row>
    <row r="101" spans="16:17" x14ac:dyDescent="0.2">
      <c r="P101" s="166"/>
      <c r="Q101" s="166"/>
    </row>
    <row r="102" spans="16:17" x14ac:dyDescent="0.2">
      <c r="P102" s="166"/>
      <c r="Q102" s="166"/>
    </row>
    <row r="103" spans="16:17" x14ac:dyDescent="0.2">
      <c r="P103" s="166"/>
      <c r="Q103" s="166"/>
    </row>
    <row r="104" spans="16:17" x14ac:dyDescent="0.2">
      <c r="P104" s="166"/>
      <c r="Q104" s="166"/>
    </row>
    <row r="105" spans="16:17" x14ac:dyDescent="0.2">
      <c r="P105" s="166"/>
      <c r="Q105" s="166"/>
    </row>
    <row r="106" spans="16:17" x14ac:dyDescent="0.2">
      <c r="P106" s="166"/>
      <c r="Q106" s="166"/>
    </row>
    <row r="107" spans="16:17" x14ac:dyDescent="0.2">
      <c r="P107" s="166"/>
      <c r="Q107" s="166"/>
    </row>
    <row r="108" spans="16:17" x14ac:dyDescent="0.2">
      <c r="P108" s="166"/>
      <c r="Q108" s="166"/>
    </row>
    <row r="109" spans="16:17" x14ac:dyDescent="0.2">
      <c r="P109" s="166"/>
      <c r="Q109" s="166"/>
    </row>
    <row r="110" spans="16:17" x14ac:dyDescent="0.2">
      <c r="P110" s="166"/>
      <c r="Q110" s="166"/>
    </row>
    <row r="111" spans="16:17" x14ac:dyDescent="0.2">
      <c r="P111" s="166"/>
      <c r="Q111" s="166"/>
    </row>
    <row r="112" spans="16:17" x14ac:dyDescent="0.2">
      <c r="P112" s="166"/>
      <c r="Q112" s="166"/>
    </row>
    <row r="113" spans="16:17" x14ac:dyDescent="0.2">
      <c r="P113" s="166"/>
      <c r="Q113" s="166"/>
    </row>
    <row r="114" spans="16:17" x14ac:dyDescent="0.2">
      <c r="P114" s="166"/>
      <c r="Q114" s="166"/>
    </row>
    <row r="115" spans="16:17" x14ac:dyDescent="0.2">
      <c r="P115" s="166"/>
      <c r="Q115" s="166"/>
    </row>
    <row r="116" spans="16:17" x14ac:dyDescent="0.2">
      <c r="P116" s="166"/>
      <c r="Q116" s="166"/>
    </row>
    <row r="117" spans="16:17" x14ac:dyDescent="0.2">
      <c r="P117" s="166"/>
      <c r="Q117" s="166"/>
    </row>
    <row r="118" spans="16:17" x14ac:dyDescent="0.2">
      <c r="P118" s="166"/>
      <c r="Q118" s="166"/>
    </row>
    <row r="119" spans="16:17" x14ac:dyDescent="0.2">
      <c r="P119" s="166"/>
      <c r="Q119" s="166"/>
    </row>
    <row r="120" spans="16:17" x14ac:dyDescent="0.2">
      <c r="P120" s="166"/>
      <c r="Q120" s="166"/>
    </row>
    <row r="121" spans="16:17" x14ac:dyDescent="0.2">
      <c r="P121" s="166"/>
      <c r="Q121" s="166"/>
    </row>
    <row r="122" spans="16:17" x14ac:dyDescent="0.2">
      <c r="P122" s="166"/>
      <c r="Q122" s="166"/>
    </row>
    <row r="123" spans="16:17" x14ac:dyDescent="0.2">
      <c r="P123" s="166"/>
      <c r="Q123" s="166"/>
    </row>
    <row r="124" spans="16:17" x14ac:dyDescent="0.2">
      <c r="P124" s="166"/>
      <c r="Q124" s="166"/>
    </row>
    <row r="125" spans="16:17" x14ac:dyDescent="0.2">
      <c r="P125" s="166"/>
      <c r="Q125" s="166"/>
    </row>
    <row r="126" spans="16:17" x14ac:dyDescent="0.2">
      <c r="P126" s="166"/>
      <c r="Q126" s="166"/>
    </row>
    <row r="127" spans="16:17" x14ac:dyDescent="0.2">
      <c r="P127" s="166"/>
      <c r="Q127" s="166"/>
    </row>
    <row r="128" spans="16:17" x14ac:dyDescent="0.2">
      <c r="P128" s="166"/>
      <c r="Q128" s="166"/>
    </row>
    <row r="129" spans="16:17" x14ac:dyDescent="0.2">
      <c r="P129" s="166"/>
      <c r="Q129" s="166"/>
    </row>
    <row r="130" spans="16:17" x14ac:dyDescent="0.2">
      <c r="P130" s="166"/>
      <c r="Q130" s="166"/>
    </row>
    <row r="131" spans="16:17" x14ac:dyDescent="0.2">
      <c r="P131" s="166"/>
      <c r="Q131" s="166"/>
    </row>
    <row r="132" spans="16:17" x14ac:dyDescent="0.2">
      <c r="P132" s="166"/>
      <c r="Q132" s="166"/>
    </row>
    <row r="133" spans="16:17" x14ac:dyDescent="0.2">
      <c r="P133" s="166"/>
      <c r="Q133" s="166"/>
    </row>
    <row r="134" spans="16:17" x14ac:dyDescent="0.2">
      <c r="P134" s="166"/>
      <c r="Q134" s="166"/>
    </row>
    <row r="135" spans="16:17" x14ac:dyDescent="0.2">
      <c r="P135" s="166"/>
      <c r="Q135" s="166"/>
    </row>
    <row r="136" spans="16:17" x14ac:dyDescent="0.2">
      <c r="P136" s="166"/>
      <c r="Q136" s="166"/>
    </row>
    <row r="137" spans="16:17" x14ac:dyDescent="0.2">
      <c r="P137" s="166"/>
      <c r="Q137" s="166"/>
    </row>
    <row r="138" spans="16:17" x14ac:dyDescent="0.2">
      <c r="P138" s="166"/>
      <c r="Q138" s="166"/>
    </row>
    <row r="139" spans="16:17" x14ac:dyDescent="0.2">
      <c r="P139" s="166"/>
      <c r="Q139" s="166"/>
    </row>
    <row r="140" spans="16:17" x14ac:dyDescent="0.2">
      <c r="P140" s="166"/>
      <c r="Q140" s="166"/>
    </row>
    <row r="141" spans="16:17" x14ac:dyDescent="0.2">
      <c r="P141" s="166"/>
      <c r="Q141" s="166"/>
    </row>
    <row r="142" spans="16:17" x14ac:dyDescent="0.2">
      <c r="P142" s="166"/>
      <c r="Q142" s="166"/>
    </row>
    <row r="143" spans="16:17" x14ac:dyDescent="0.2">
      <c r="P143" s="166"/>
      <c r="Q143" s="166"/>
    </row>
    <row r="144" spans="16:17" x14ac:dyDescent="0.2">
      <c r="P144" s="166"/>
      <c r="Q144" s="166"/>
    </row>
    <row r="145" spans="16:17" x14ac:dyDescent="0.2">
      <c r="P145" s="166"/>
      <c r="Q145" s="166"/>
    </row>
    <row r="146" spans="16:17" x14ac:dyDescent="0.2">
      <c r="P146" s="166"/>
      <c r="Q146" s="166"/>
    </row>
  </sheetData>
  <mergeCells count="7">
    <mergeCell ref="B70:Q70"/>
    <mergeCell ref="B81:Q81"/>
    <mergeCell ref="M1:N1"/>
    <mergeCell ref="M3:N3"/>
    <mergeCell ref="M5:P5"/>
    <mergeCell ref="D9:F9"/>
    <mergeCell ref="I10:O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T73"/>
  <sheetViews>
    <sheetView zoomScaleNormal="100" workbookViewId="0"/>
  </sheetViews>
  <sheetFormatPr defaultColWidth="9.140625" defaultRowHeight="12.75" x14ac:dyDescent="0.2"/>
  <cols>
    <col min="1" max="13" width="5.7109375" style="158" customWidth="1"/>
    <col min="14" max="15" width="11.28515625" style="158" bestFit="1" customWidth="1"/>
    <col min="16" max="17" width="5.7109375" style="158" customWidth="1"/>
    <col min="18" max="16384" width="9.140625" style="158"/>
  </cols>
  <sheetData>
    <row r="1" spans="1:20" x14ac:dyDescent="0.2">
      <c r="A1" s="360"/>
      <c r="B1" s="158" t="s">
        <v>573</v>
      </c>
      <c r="H1" s="158" t="s">
        <v>553</v>
      </c>
      <c r="J1" s="1075">
        <f ca="1">TODAY()</f>
        <v>42748</v>
      </c>
      <c r="K1" s="1075"/>
      <c r="L1" s="1075"/>
      <c r="M1" s="158" t="s">
        <v>536</v>
      </c>
      <c r="N1" s="180">
        <f>__1_Bed</f>
        <v>0</v>
      </c>
    </row>
    <row r="2" spans="1:20" x14ac:dyDescent="0.2">
      <c r="B2" s="158" t="s">
        <v>552</v>
      </c>
      <c r="D2" s="164" t="str">
        <f>__3_VoorNaam&amp;" "&amp;__2_AchterNaam</f>
        <v xml:space="preserve"> </v>
      </c>
      <c r="H2" s="158" t="s">
        <v>556</v>
      </c>
      <c r="J2" s="164" t="str">
        <f>IF(Var_Neo_InfB_Arts&gt;0,Var_Neo_InfB_Arts,"")</f>
        <v/>
      </c>
      <c r="M2" s="158" t="s">
        <v>554</v>
      </c>
      <c r="N2" s="1076">
        <f ca="1">NOW()</f>
        <v>42748.478776620374</v>
      </c>
      <c r="O2" s="1076"/>
    </row>
    <row r="3" spans="1:20" x14ac:dyDescent="0.2">
      <c r="B3" s="158" t="s">
        <v>555</v>
      </c>
      <c r="D3" s="164">
        <f>(_Pat_Gewicht/10)</f>
        <v>0</v>
      </c>
      <c r="E3" s="158" t="s">
        <v>677</v>
      </c>
      <c r="J3" s="166"/>
      <c r="K3" s="166"/>
      <c r="L3" s="166"/>
      <c r="M3" s="158" t="s">
        <v>574</v>
      </c>
    </row>
    <row r="4" spans="1:20" ht="9" customHeight="1" x14ac:dyDescent="0.2">
      <c r="H4" s="166"/>
      <c r="I4" s="166"/>
      <c r="J4" s="166"/>
      <c r="K4" s="166"/>
    </row>
    <row r="5" spans="1:20" ht="15.75" x14ac:dyDescent="0.25">
      <c r="A5" s="258">
        <v>1</v>
      </c>
      <c r="B5" s="259" t="str">
        <f>IF(NeoPrtWerkbr!C26&lt;&gt;"zijlijn",NeoPrtWerkbr!A26,"")</f>
        <v/>
      </c>
      <c r="C5" s="259"/>
      <c r="D5" s="260" t="str">
        <f>NeoPrtWerkbr!C26</f>
        <v/>
      </c>
      <c r="E5" s="261"/>
      <c r="F5" s="262" t="str">
        <f>IF(NeoPrtWerkbr!E26&lt;&gt;"",IF(D5&lt;&gt;"lidocaine",IF(NeoPrtWerkbr!M28&lt;25,NeoPrtWerkbr!E26*2,NeoPrtWerkbr!E26),NeoPrtWerkbr!E26*1.5),"")</f>
        <v/>
      </c>
      <c r="G5" s="261" t="str">
        <f>NeoPrtWerkbr!F26</f>
        <v>mg</v>
      </c>
      <c r="H5" s="263" t="str">
        <f>NeoPrtWerkbr!G26</f>
        <v>(</v>
      </c>
      <c r="I5" s="261" t="str">
        <f>NeoPrtWerkbr!H26</f>
        <v/>
      </c>
      <c r="J5" s="261" t="str">
        <f>NeoPrtWerkbr!I26</f>
        <v>mg=</v>
      </c>
      <c r="K5" s="261" t="str">
        <f>NeoPrtWerkbr!J26</f>
        <v/>
      </c>
      <c r="L5" s="261" t="str">
        <f>NeoPrtWerkbr!K26</f>
        <v>ml)</v>
      </c>
      <c r="M5" s="261"/>
      <c r="N5" s="264" t="str">
        <f>IF(B5&lt;&gt;"",IF(B5&gt;0,TRUNC((K5/I5)*F5),0),"")</f>
        <v/>
      </c>
      <c r="O5" s="265" t="str">
        <f>IF(B5&lt;&gt;"",(ROUND((K5/I5)*F5,2)-N5)*100,"")</f>
        <v/>
      </c>
      <c r="P5" s="166"/>
      <c r="Q5" s="166"/>
      <c r="R5" s="166"/>
    </row>
    <row r="6" spans="1:20" ht="15.75" x14ac:dyDescent="0.25">
      <c r="A6" s="381"/>
      <c r="B6" s="259"/>
      <c r="C6" s="259"/>
      <c r="D6" s="266" t="str">
        <f>NeoPrtWerkbr!C28</f>
        <v/>
      </c>
      <c r="E6" s="267"/>
      <c r="F6" s="267" t="str">
        <f>NeoPrtWerkbr!E28</f>
        <v/>
      </c>
      <c r="G6" s="267"/>
      <c r="H6" s="268"/>
      <c r="I6" s="267"/>
      <c r="J6" s="267" t="str">
        <f>NeoPrtWerkbr!I27</f>
        <v>in</v>
      </c>
      <c r="K6" s="269" t="str">
        <f>IF(AND(D5&lt;&gt;"Nepresol (dihydralazine)",D5&lt;&gt;"Flolan (epoprostenol)"),NeoPrtWerkbr!J27,"NaCl 0,9%")</f>
        <v/>
      </c>
      <c r="L6" s="267"/>
      <c r="M6" s="267"/>
      <c r="N6" s="270" t="str">
        <f>IF(B5&lt;&gt;"",TRUNC(N7+O7/100-N5-O5/100),"")</f>
        <v/>
      </c>
      <c r="O6" s="271" t="str">
        <f>IF(B5&lt;&gt;"",(N7+O7/100-N5-O5/100-N6)*100,"")</f>
        <v/>
      </c>
      <c r="P6" s="166"/>
      <c r="Q6" s="166"/>
      <c r="R6" s="166"/>
    </row>
    <row r="7" spans="1:20" ht="15.75" x14ac:dyDescent="0.25">
      <c r="A7" s="258"/>
      <c r="B7" s="259"/>
      <c r="C7" s="259"/>
      <c r="D7" s="272" t="s">
        <v>575</v>
      </c>
      <c r="E7" s="273"/>
      <c r="F7" s="274" t="str">
        <f>IF(D5&lt;&gt;"",INDEX(tbl_Neo_MedIV,NeoBerInfB!B20,2),"")</f>
        <v/>
      </c>
      <c r="G7" s="273"/>
      <c r="H7" s="273"/>
      <c r="I7" s="275"/>
      <c r="J7" s="275"/>
      <c r="K7" s="276" t="str">
        <f>NeoPrtWerkbr!J28</f>
        <v>Totaal</v>
      </c>
      <c r="L7" s="275"/>
      <c r="M7" s="275"/>
      <c r="N7" s="277" t="str">
        <f>IF(B5&lt;&gt;"",IF(D5&lt;&gt;"lidocaine",IF(_Neo_1700_OplHoev_1&lt;25,2*TRUNC(_Neo_1700_OplHoev_1),TRUNC(_Neo_1700_OplHoev_1)),TRUNC(_Neo_1700_OplHoev_1*1.5)),"")</f>
        <v/>
      </c>
      <c r="O7" s="278" t="str">
        <f>IF(B5&lt;&gt;"",IF(D5&lt;&gt;"lidocaine",IF(_Neo_1700_OplHoev_1&lt;25,(2*_Neo_1700_OplHoev_1-N7)*100,(_Neo_1700_OplHoev_1-N7)*100),1.5*_Neo_1700_OplHoev_1-N7),"")</f>
        <v/>
      </c>
      <c r="P7" s="166"/>
      <c r="Q7" s="166"/>
      <c r="R7" s="166"/>
    </row>
    <row r="8" spans="1:20" ht="9.9499999999999993" customHeight="1" x14ac:dyDescent="0.25">
      <c r="A8" s="258"/>
      <c r="B8" s="232"/>
      <c r="C8" s="232"/>
      <c r="D8" s="216"/>
      <c r="E8" s="216"/>
      <c r="F8" s="279"/>
      <c r="G8" s="216"/>
      <c r="H8" s="216"/>
      <c r="I8" s="216"/>
      <c r="J8" s="216"/>
      <c r="K8" s="217"/>
      <c r="L8" s="216"/>
      <c r="M8" s="216"/>
      <c r="N8" s="280"/>
      <c r="O8" s="281"/>
      <c r="P8" s="166"/>
      <c r="Q8" s="166"/>
      <c r="R8" s="166"/>
    </row>
    <row r="9" spans="1:20" ht="15.75" x14ac:dyDescent="0.25">
      <c r="A9" s="258">
        <v>2</v>
      </c>
      <c r="B9" s="282" t="str">
        <f>IF(NeoPrtWerkbr!C29&lt;&gt;"zijlijn",NeoPrtWerkbr!A29,"")</f>
        <v/>
      </c>
      <c r="C9" s="282"/>
      <c r="D9" s="194" t="str">
        <f>NeoPrtWerkbr!C29</f>
        <v/>
      </c>
      <c r="E9" s="195"/>
      <c r="F9" s="283" t="str">
        <f>IF(NeoPrtWerkbr!E29&lt;&gt;"",IF(D9&lt;&gt;"lidocaine",IF(NeoPrtWerkbr!M31&lt;25,NeoPrtWerkbr!E29*2,NeoPrtWerkbr!E29),NeoPrtWerkbr!E29*1.5),"")</f>
        <v/>
      </c>
      <c r="G9" s="195" t="str">
        <f>NeoPrtWerkbr!F29</f>
        <v>mg</v>
      </c>
      <c r="H9" s="284" t="str">
        <f>NeoPrtWerkbr!G29</f>
        <v>(</v>
      </c>
      <c r="I9" s="195" t="str">
        <f>NeoPrtWerkbr!H29</f>
        <v/>
      </c>
      <c r="J9" s="195" t="str">
        <f>NeoPrtWerkbr!I29</f>
        <v>mg=</v>
      </c>
      <c r="K9" s="195" t="str">
        <f>NeoPrtWerkbr!J29</f>
        <v/>
      </c>
      <c r="L9" s="195" t="str">
        <f>NeoPrtWerkbr!K29</f>
        <v>ml)</v>
      </c>
      <c r="M9" s="195"/>
      <c r="N9" s="285" t="str">
        <f>IF(B9&lt;&gt;"",IF(B9&gt;0,TRUNC((K9/I9)*F9),0),"")</f>
        <v/>
      </c>
      <c r="O9" s="286" t="str">
        <f>IF(B9&lt;&gt;"",(IF(B9&gt;0,ROUND((K9/I9)*F9,2),0)-N9)*100,"")</f>
        <v/>
      </c>
      <c r="P9" s="166"/>
      <c r="Q9" s="166"/>
      <c r="R9" s="166"/>
    </row>
    <row r="10" spans="1:20" ht="15.75" x14ac:dyDescent="0.25">
      <c r="A10" s="258"/>
      <c r="B10" s="282"/>
      <c r="C10" s="282"/>
      <c r="D10" s="287" t="str">
        <f>NeoPrtWerkbr!C31</f>
        <v/>
      </c>
      <c r="E10" s="166"/>
      <c r="F10" s="166" t="str">
        <f>NeoPrtWerkbr!E31</f>
        <v/>
      </c>
      <c r="G10" s="166"/>
      <c r="H10" s="288"/>
      <c r="I10" s="166"/>
      <c r="J10" s="166" t="str">
        <f>NeoPrtWerkbr!I30</f>
        <v>in</v>
      </c>
      <c r="K10" s="173" t="str">
        <f>IF(AND(D9&lt;&gt;"Nepresol (dihydralazine)",D9&lt;&gt;"Flolan (epoprostenol)"),NeoPrtWerkbr!J30,"NaCl 0,9%")</f>
        <v/>
      </c>
      <c r="L10" s="166"/>
      <c r="M10" s="166"/>
      <c r="N10" s="285" t="str">
        <f>IF(B9&lt;&gt;"",TRUNC(IF(B9&gt;0,N11+O11/100-N9-O9/100,0)),"")</f>
        <v/>
      </c>
      <c r="O10" s="286" t="str">
        <f>IF(B9&lt;&gt;"",(IF(B9&gt;0,N11+O11/100-N9-O9/100,0)-N10)*100,"")</f>
        <v/>
      </c>
      <c r="P10" s="166"/>
      <c r="Q10" s="166"/>
      <c r="R10" s="166"/>
    </row>
    <row r="11" spans="1:20" ht="15.75" x14ac:dyDescent="0.25">
      <c r="A11" s="258"/>
      <c r="B11" s="282"/>
      <c r="C11" s="282"/>
      <c r="D11" s="289" t="s">
        <v>575</v>
      </c>
      <c r="E11" s="290"/>
      <c r="F11" s="291" t="str">
        <f>IF(D9&lt;&gt;"",INDEX(tbl_Neo_MedIV,NeoBerInfB!B21,2),"")</f>
        <v/>
      </c>
      <c r="G11" s="290"/>
      <c r="H11" s="292"/>
      <c r="I11" s="293"/>
      <c r="J11" s="293"/>
      <c r="K11" s="294" t="str">
        <f>NeoPrtWerkbr!J31</f>
        <v>Totaal</v>
      </c>
      <c r="L11" s="293"/>
      <c r="M11" s="293"/>
      <c r="N11" s="295" t="str">
        <f>IF(B9&lt;&gt;"",IF(D9&lt;&gt;"lidocaine",IF(_Neo_1700_OplHoev_2&lt;25,2*TRUNC(_Neo_1700_OplHoev_2),TRUNC(_Neo_1700_OplHoev_2)),TRUNC(_Neo_1700_OplHoev_2*1.5)),"")</f>
        <v/>
      </c>
      <c r="O11" s="296" t="str">
        <f>IF(B9&lt;&gt;"",IF(D9&lt;&gt;"lidocaine",IF(_Neo_1700_OplHoev_2&lt;25,(2*_Neo_1700_OplHoev_2-N11)*100,(_Neo_1700_OplHoev_2-N11)*100),1.5*_Neo_1700_OplHoev_2-N11),"")</f>
        <v/>
      </c>
      <c r="P11" s="166"/>
      <c r="Q11" s="166"/>
      <c r="R11" s="166"/>
    </row>
    <row r="12" spans="1:20" ht="9.9499999999999993" customHeight="1" x14ac:dyDescent="0.25">
      <c r="A12" s="258"/>
      <c r="B12" s="297"/>
      <c r="C12" s="297"/>
      <c r="D12" s="195"/>
      <c r="E12" s="195"/>
      <c r="F12" s="298"/>
      <c r="G12" s="195"/>
      <c r="H12" s="284"/>
      <c r="I12" s="195"/>
      <c r="J12" s="195"/>
      <c r="K12" s="283"/>
      <c r="L12" s="195"/>
      <c r="M12" s="195"/>
      <c r="N12" s="299"/>
      <c r="O12" s="300"/>
      <c r="P12" s="166"/>
      <c r="Q12" s="166"/>
      <c r="R12" s="166"/>
    </row>
    <row r="13" spans="1:20" ht="15.75" x14ac:dyDescent="0.25">
      <c r="A13" s="258">
        <v>3</v>
      </c>
      <c r="B13" s="259" t="str">
        <f>IF(NeoPrtWerkbr!C32&lt;&gt;"zijlijn",NeoPrtWerkbr!A32,"")</f>
        <v/>
      </c>
      <c r="C13" s="259"/>
      <c r="D13" s="260" t="str">
        <f>NeoPrtWerkbr!C32</f>
        <v/>
      </c>
      <c r="E13" s="261"/>
      <c r="F13" s="262" t="str">
        <f>IF(NeoPrtWerkbr!E32&lt;&gt;"",IF(D13&lt;&gt;"lidocaine",IF(NeoPrtWerkbr!M34&lt;25,NeoPrtWerkbr!E32*2,NeoPrtWerkbr!E32),NeoPrtWerkbr!E32*1.5),"")</f>
        <v/>
      </c>
      <c r="G13" s="261" t="str">
        <f>NeoPrtWerkbr!F32</f>
        <v>mg</v>
      </c>
      <c r="H13" s="263" t="str">
        <f>NeoPrtWerkbr!G32</f>
        <v>(</v>
      </c>
      <c r="I13" s="261" t="str">
        <f>NeoPrtWerkbr!H32</f>
        <v/>
      </c>
      <c r="J13" s="261" t="str">
        <f>NeoPrtWerkbr!I32</f>
        <v>mg=</v>
      </c>
      <c r="K13" s="261" t="str">
        <f>NeoPrtWerkbr!J32</f>
        <v/>
      </c>
      <c r="L13" s="261" t="str">
        <f>NeoPrtWerkbr!K32</f>
        <v>ml)</v>
      </c>
      <c r="M13" s="261"/>
      <c r="N13" s="264" t="str">
        <f>IF(B13&lt;&gt;"",IF(B13&gt;0,TRUNC((K13/I13)*F13),0),"")</f>
        <v/>
      </c>
      <c r="O13" s="265" t="str">
        <f>IF(B13&lt;&gt;"",(IF(B13&gt;0,ROUND((K13/I13)*F13,2),0)-N13)*100,"")</f>
        <v/>
      </c>
      <c r="P13" s="166"/>
      <c r="Q13" s="166"/>
      <c r="R13" s="166"/>
      <c r="T13" s="174"/>
    </row>
    <row r="14" spans="1:20" ht="15.75" x14ac:dyDescent="0.25">
      <c r="A14" s="258"/>
      <c r="B14" s="259"/>
      <c r="C14" s="259"/>
      <c r="D14" s="266" t="str">
        <f>NeoPrtWerkbr!C34</f>
        <v/>
      </c>
      <c r="E14" s="267"/>
      <c r="F14" s="267" t="str">
        <f>NeoPrtWerkbr!E34</f>
        <v/>
      </c>
      <c r="G14" s="267"/>
      <c r="H14" s="268"/>
      <c r="I14" s="267"/>
      <c r="J14" s="267" t="str">
        <f>NeoPrtWerkbr!I33</f>
        <v>in</v>
      </c>
      <c r="K14" s="269" t="str">
        <f>IF(AND(D13&lt;&gt;"Nepresol (dihydralazine)",D13&lt;&gt;"Flolan (epoprostenol)"),NeoPrtWerkbr!J33,"NaCl 0,9%")</f>
        <v/>
      </c>
      <c r="L14" s="267"/>
      <c r="M14" s="267"/>
      <c r="N14" s="270" t="str">
        <f>IF(B13&lt;&gt;"",TRUNC(IF(B13&gt;0,N15+O15/100-N13-O13/100,0)),"")</f>
        <v/>
      </c>
      <c r="O14" s="271" t="str">
        <f>IF(B13&lt;&gt;"",(IF(B13&gt;0,N15+O15/100-N13-O13/100,0)-N14)*100,"")</f>
        <v/>
      </c>
      <c r="P14" s="166"/>
      <c r="Q14" s="166"/>
      <c r="R14" s="166"/>
    </row>
    <row r="15" spans="1:20" ht="15.75" x14ac:dyDescent="0.25">
      <c r="A15" s="258"/>
      <c r="B15" s="259"/>
      <c r="C15" s="259"/>
      <c r="D15" s="272" t="s">
        <v>575</v>
      </c>
      <c r="E15" s="273"/>
      <c r="F15" s="274" t="str">
        <f>IF(D13&lt;&gt;"",INDEX(tbl_Neo_MedIV,NeoBerInfB!B22,2),"")</f>
        <v/>
      </c>
      <c r="G15" s="273"/>
      <c r="H15" s="275"/>
      <c r="I15" s="275"/>
      <c r="J15" s="275"/>
      <c r="K15" s="276" t="str">
        <f>NeoPrtWerkbr!J34</f>
        <v>Totaal</v>
      </c>
      <c r="L15" s="275"/>
      <c r="M15" s="275"/>
      <c r="N15" s="277" t="str">
        <f>IF(B13&lt;&gt;"",IF(D13&lt;&gt;"lidocaine",IF(_Neo_1700_OplHoev_3&lt;25,2*TRUNC(_Neo_1700_OplHoev_3),TRUNC(_Neo_1700_OplHoev_3)),TRUNC(_Neo_1700_OplHoev_3*1.5)),"")</f>
        <v/>
      </c>
      <c r="O15" s="278" t="str">
        <f>IF(B13&lt;&gt;"",IF(D13&lt;&gt;"lidocaine",IF(_Neo_1700_OplHoev_3&lt;25,(2*_Neo_1700_OplHoev_3-N15)*100,(_Neo_1700_OplHoev_3-N15)*100),1.5*_Neo_1700_OplHoev_3-N15),"")</f>
        <v/>
      </c>
      <c r="P15" s="166"/>
      <c r="Q15" s="166"/>
      <c r="R15" s="166"/>
    </row>
    <row r="16" spans="1:20" ht="9.9499999999999993" customHeight="1" x14ac:dyDescent="0.25">
      <c r="A16" s="258"/>
      <c r="B16" s="232"/>
      <c r="C16" s="232"/>
      <c r="D16" s="216"/>
      <c r="E16" s="216"/>
      <c r="F16" s="279"/>
      <c r="G16" s="216"/>
      <c r="H16" s="216"/>
      <c r="I16" s="216"/>
      <c r="J16" s="216"/>
      <c r="K16" s="217"/>
      <c r="L16" s="216"/>
      <c r="M16" s="216"/>
      <c r="N16" s="280"/>
      <c r="O16" s="281"/>
      <c r="P16" s="166"/>
      <c r="Q16" s="166"/>
      <c r="R16" s="166"/>
    </row>
    <row r="17" spans="1:18" ht="15.75" x14ac:dyDescent="0.25">
      <c r="A17" s="258">
        <v>4</v>
      </c>
      <c r="B17" s="282" t="str">
        <f>IF(NeoPrtWerkbr!C35&lt;&gt;"zijlijn",NeoPrtWerkbr!A35,"")</f>
        <v/>
      </c>
      <c r="C17" s="282"/>
      <c r="D17" s="194" t="str">
        <f>NeoPrtWerkbr!C35</f>
        <v/>
      </c>
      <c r="E17" s="195"/>
      <c r="F17" s="283" t="str">
        <f>IF(NeoPrtWerkbr!E35&lt;&gt;"",IF(D17&lt;&gt;"lidocaine",IF(NeoPrtWerkbr!M37&lt;25,NeoPrtWerkbr!E35*2,NeoPrtWerkbr!E35),NeoPrtWerkbr!E35*1.5),"")</f>
        <v/>
      </c>
      <c r="G17" s="195" t="str">
        <f>NeoPrtWerkbr!F35</f>
        <v>mg</v>
      </c>
      <c r="H17" s="284" t="str">
        <f>NeoPrtWerkbr!G35</f>
        <v>(</v>
      </c>
      <c r="I17" s="195" t="str">
        <f>NeoPrtWerkbr!H35</f>
        <v/>
      </c>
      <c r="J17" s="195" t="str">
        <f>NeoPrtWerkbr!I35</f>
        <v>mg=</v>
      </c>
      <c r="K17" s="195" t="str">
        <f>NeoPrtWerkbr!J35</f>
        <v/>
      </c>
      <c r="L17" s="195" t="str">
        <f>NeoPrtWerkbr!K35</f>
        <v>ml)</v>
      </c>
      <c r="M17" s="195"/>
      <c r="N17" s="285" t="str">
        <f>IF(B17&lt;&gt;"",IF(B17&gt;0,TRUNC((K17/I17)*F17),0),"")</f>
        <v/>
      </c>
      <c r="O17" s="286" t="str">
        <f>IF(B17&lt;&gt;"",(IF(B17&gt;0,ROUND((K17/I17)*F17,2),0)-N17)*100,"")</f>
        <v/>
      </c>
      <c r="P17" s="166"/>
      <c r="Q17" s="166"/>
      <c r="R17" s="166"/>
    </row>
    <row r="18" spans="1:18" ht="15.75" x14ac:dyDescent="0.25">
      <c r="A18" s="258"/>
      <c r="B18" s="282"/>
      <c r="C18" s="282"/>
      <c r="D18" s="287" t="str">
        <f>NeoPrtWerkbr!C37</f>
        <v/>
      </c>
      <c r="E18" s="166"/>
      <c r="F18" s="166" t="str">
        <f>NeoPrtWerkbr!E37</f>
        <v/>
      </c>
      <c r="G18" s="166"/>
      <c r="H18" s="288"/>
      <c r="I18" s="166"/>
      <c r="J18" s="166" t="str">
        <f>NeoPrtWerkbr!I36</f>
        <v>in</v>
      </c>
      <c r="K18" s="173" t="str">
        <f>IF(AND(D17&lt;&gt;"Nepresol (dihydralazine)",D17&lt;&gt;"Flolan (epoprostenol)"),NeoPrtWerkbr!J36,"NaCl 0,9%")</f>
        <v/>
      </c>
      <c r="L18" s="166"/>
      <c r="M18" s="166"/>
      <c r="N18" s="285" t="str">
        <f>IF(B17&lt;&gt;"",TRUNC(IF(B17&gt;0,N19+O19/100-N17-O17/100,0)),"")</f>
        <v/>
      </c>
      <c r="O18" s="286" t="str">
        <f>IF(B17&lt;&gt;"",(IF(B17&gt;0,N19+O19/100-N17-O17/100,0)-N18)*100,"")</f>
        <v/>
      </c>
      <c r="P18" s="166"/>
      <c r="Q18" s="166"/>
      <c r="R18" s="166"/>
    </row>
    <row r="19" spans="1:18" ht="15.75" x14ac:dyDescent="0.25">
      <c r="A19" s="258"/>
      <c r="B19" s="282"/>
      <c r="C19" s="282"/>
      <c r="D19" s="289" t="s">
        <v>575</v>
      </c>
      <c r="E19" s="290"/>
      <c r="F19" s="291" t="str">
        <f>IF(D17&lt;&gt;"",INDEX(tbl_Neo_MedIV,NeoBerInfB!B23,2),"")</f>
        <v/>
      </c>
      <c r="G19" s="290"/>
      <c r="H19" s="290"/>
      <c r="I19" s="293"/>
      <c r="J19" s="293"/>
      <c r="K19" s="294" t="str">
        <f>NeoPrtWerkbr!J37</f>
        <v>Totaal</v>
      </c>
      <c r="L19" s="293"/>
      <c r="M19" s="293"/>
      <c r="N19" s="295" t="str">
        <f>IF(B17&lt;&gt;"",IF(D17&lt;&gt;"lidocaine",IF(_Neo_1700_OplHoev_4&lt;25,2*TRUNC(_Neo_1700_OplHoev_4),TRUNC(_Neo_1700_OplHoev_4)),TRUNC(_Neo_1700_OplHoev_4*1.5)),"")</f>
        <v/>
      </c>
      <c r="O19" s="296" t="str">
        <f>IF(B17&lt;&gt;"",IF(D17&lt;&gt;"lidocaine",IF(_Neo_1700_OplHoev_4&lt;25,(2*_Neo_1700_OplHoev_4-N19)*100,(_Neo_1700_OplHoev_4-N19)*100),1.5*_Neo_1700_OplHoev_4-N19),"")</f>
        <v/>
      </c>
      <c r="P19" s="166"/>
      <c r="Q19" s="166"/>
      <c r="R19" s="166"/>
    </row>
    <row r="20" spans="1:18" ht="9.9499999999999993" customHeight="1" x14ac:dyDescent="0.25">
      <c r="A20" s="258"/>
      <c r="B20" s="297"/>
      <c r="C20" s="297"/>
      <c r="D20" s="195"/>
      <c r="E20" s="195"/>
      <c r="F20" s="298"/>
      <c r="G20" s="195"/>
      <c r="H20" s="195"/>
      <c r="I20" s="195"/>
      <c r="J20" s="195"/>
      <c r="K20" s="283"/>
      <c r="L20" s="195"/>
      <c r="M20" s="195"/>
      <c r="N20" s="299"/>
      <c r="O20" s="300"/>
      <c r="P20" s="166"/>
      <c r="Q20" s="166"/>
      <c r="R20" s="166"/>
    </row>
    <row r="21" spans="1:18" ht="15.75" x14ac:dyDescent="0.25">
      <c r="A21" s="258">
        <v>5</v>
      </c>
      <c r="B21" s="259" t="str">
        <f>IF(NeoPrtWerkbr!C38&lt;&gt;"zijlijn",NeoPrtWerkbr!A38,"")</f>
        <v/>
      </c>
      <c r="C21" s="259"/>
      <c r="D21" s="260" t="str">
        <f>NeoPrtWerkbr!C38</f>
        <v/>
      </c>
      <c r="E21" s="261"/>
      <c r="F21" s="262" t="str">
        <f>IF(NeoPrtWerkbr!E38&lt;&gt;"",IF(D21&lt;&gt;"lidocaine",IF(NeoPrtWerkbr!M40&lt;25,NeoPrtWerkbr!E38*2,NeoPrtWerkbr!E38),NeoPrtWerkbr!E38*1.5),"")</f>
        <v/>
      </c>
      <c r="G21" s="261" t="str">
        <f>NeoPrtWerkbr!F38</f>
        <v>mg</v>
      </c>
      <c r="H21" s="263" t="str">
        <f>NeoPrtWerkbr!G38</f>
        <v>(</v>
      </c>
      <c r="I21" s="261" t="str">
        <f>NeoPrtWerkbr!H38</f>
        <v/>
      </c>
      <c r="J21" s="261" t="str">
        <f>NeoPrtWerkbr!I38</f>
        <v>mg=</v>
      </c>
      <c r="K21" s="261" t="str">
        <f>NeoPrtWerkbr!J38</f>
        <v/>
      </c>
      <c r="L21" s="261" t="str">
        <f>NeoPrtWerkbr!K38</f>
        <v>ml)</v>
      </c>
      <c r="M21" s="261"/>
      <c r="N21" s="264" t="str">
        <f>IF(B21&lt;&gt;"",IF(B21&gt;0,TRUNC((K21/I21)*F21),0),"")</f>
        <v/>
      </c>
      <c r="O21" s="265" t="str">
        <f>IF(B21&lt;&gt;"",(IF(B21&gt;0,ROUND((K21/I21)*F21,2),0)-N21)*100,"")</f>
        <v/>
      </c>
      <c r="P21" s="166"/>
      <c r="Q21" s="166"/>
      <c r="R21" s="166"/>
    </row>
    <row r="22" spans="1:18" ht="15.75" x14ac:dyDescent="0.25">
      <c r="A22" s="258"/>
      <c r="B22" s="259"/>
      <c r="C22" s="259"/>
      <c r="D22" s="266" t="str">
        <f>NeoPrtWerkbr!C40</f>
        <v/>
      </c>
      <c r="E22" s="267"/>
      <c r="F22" s="267" t="str">
        <f>NeoPrtWerkbr!E40</f>
        <v/>
      </c>
      <c r="G22" s="267"/>
      <c r="H22" s="268"/>
      <c r="I22" s="267"/>
      <c r="J22" s="267" t="str">
        <f>NeoPrtWerkbr!I39</f>
        <v>in</v>
      </c>
      <c r="K22" s="269" t="str">
        <f>IF(AND(D21&lt;&gt;"Nepresol (dihydralazine)",D21&lt;&gt;"Flolan (epoprostenol)"),NeoPrtWerkbr!J39,"NaCl 0,9%")</f>
        <v/>
      </c>
      <c r="L22" s="267"/>
      <c r="M22" s="267"/>
      <c r="N22" s="270" t="str">
        <f>IF(B21&lt;&gt;"",TRUNC(IF(B21&gt;0,N23+O23/100-N21-O21/100,0)),"")</f>
        <v/>
      </c>
      <c r="O22" s="271" t="str">
        <f>IF(B21&lt;&gt;"",(IF(B21&gt;0,N23+O23/100-N21-O21/100,0)-N22)*100,"")</f>
        <v/>
      </c>
      <c r="P22" s="166"/>
      <c r="Q22" s="166"/>
      <c r="R22" s="166"/>
    </row>
    <row r="23" spans="1:18" ht="15.75" x14ac:dyDescent="0.25">
      <c r="A23" s="258"/>
      <c r="B23" s="259"/>
      <c r="C23" s="259"/>
      <c r="D23" s="272" t="s">
        <v>575</v>
      </c>
      <c r="E23" s="273"/>
      <c r="F23" s="274" t="str">
        <f>IF(D21&lt;&gt;"",INDEX(tbl_Neo_MedIV,NeoBerInfB!B24,2),"")</f>
        <v/>
      </c>
      <c r="G23" s="273"/>
      <c r="H23" s="301"/>
      <c r="I23" s="275"/>
      <c r="J23" s="275"/>
      <c r="K23" s="276" t="str">
        <f>NeoPrtWerkbr!J40</f>
        <v>Totaal</v>
      </c>
      <c r="L23" s="275"/>
      <c r="M23" s="275"/>
      <c r="N23" s="277" t="str">
        <f>IF(B21&lt;&gt;"",IF(D21&lt;&gt;"lidocaine",IF(_Neo_1700_OplHoev_5&lt;25,2*TRUNC(_Neo_1700_OplHoev_5),TRUNC(_Neo_1700_OplHoev_5)),TRUNC(_Neo_1700_OplHoev_5*1.5)),"")</f>
        <v/>
      </c>
      <c r="O23" s="278" t="str">
        <f>IF(B21&lt;&gt;"",IF(D21&lt;&gt;"lidocaine",IF(_Neo_1700_OplHoev_5&lt;25,(2*_Neo_1700_OplHoev_5-N23)*100,(_Neo_1700_OplHoev_5-N23)*100),1.5*_Neo_1700_OplHoev_5-N23),"")</f>
        <v/>
      </c>
      <c r="P23" s="166"/>
      <c r="Q23" s="166"/>
      <c r="R23" s="166"/>
    </row>
    <row r="24" spans="1:18" ht="9.9499999999999993" customHeight="1" x14ac:dyDescent="0.25">
      <c r="A24" s="258"/>
      <c r="B24" s="232"/>
      <c r="C24" s="232"/>
      <c r="D24" s="216"/>
      <c r="E24" s="216"/>
      <c r="F24" s="279"/>
      <c r="G24" s="216"/>
      <c r="H24" s="244"/>
      <c r="I24" s="216"/>
      <c r="J24" s="216"/>
      <c r="K24" s="217"/>
      <c r="L24" s="216"/>
      <c r="M24" s="216"/>
      <c r="N24" s="280"/>
      <c r="O24" s="281"/>
      <c r="P24" s="166"/>
      <c r="Q24" s="166"/>
      <c r="R24" s="166"/>
    </row>
    <row r="25" spans="1:18" ht="15.75" x14ac:dyDescent="0.25">
      <c r="A25" s="258">
        <v>6</v>
      </c>
      <c r="B25" s="282" t="str">
        <f>IF(NeoPrtWerkbr!C41&lt;&gt;"zijlijn",NeoPrtWerkbr!A41,"")</f>
        <v/>
      </c>
      <c r="C25" s="282"/>
      <c r="D25" s="194" t="str">
        <f>NeoPrtWerkbr!C41</f>
        <v/>
      </c>
      <c r="E25" s="195"/>
      <c r="F25" s="283" t="str">
        <f>IF(NeoPrtWerkbr!E41&lt;&gt;"",IF(D25&lt;&gt;"lidocaine",IF(NeoPrtWerkbr!M43&lt;25,NeoPrtWerkbr!E41*2,NeoPrtWerkbr!E41),NeoPrtWerkbr!E41*1.5),"")</f>
        <v/>
      </c>
      <c r="G25" s="195" t="str">
        <f>NeoPrtWerkbr!F41</f>
        <v>mg</v>
      </c>
      <c r="H25" s="284" t="str">
        <f>NeoPrtWerkbr!G41</f>
        <v>(</v>
      </c>
      <c r="I25" s="195" t="str">
        <f>NeoPrtWerkbr!H41</f>
        <v/>
      </c>
      <c r="J25" s="195" t="str">
        <f>NeoPrtWerkbr!I41</f>
        <v>mg=</v>
      </c>
      <c r="K25" s="195" t="str">
        <f>NeoPrtWerkbr!J41</f>
        <v/>
      </c>
      <c r="L25" s="195" t="str">
        <f>NeoPrtWerkbr!K41</f>
        <v>ml)</v>
      </c>
      <c r="M25" s="195"/>
      <c r="N25" s="285" t="str">
        <f>IF(B25&lt;&gt;"",IF(B25&gt;0,TRUNC((K25/I25)*F25),0),"")</f>
        <v/>
      </c>
      <c r="O25" s="286" t="str">
        <f>IF(B25&lt;&gt;"",(IF(B25&gt;0,ROUND((K25/I25)*F25,2),0)-N25)*100,"")</f>
        <v/>
      </c>
      <c r="P25" s="166"/>
      <c r="Q25" s="166"/>
      <c r="R25" s="166"/>
    </row>
    <row r="26" spans="1:18" ht="15.75" x14ac:dyDescent="0.25">
      <c r="A26" s="258"/>
      <c r="B26" s="282"/>
      <c r="C26" s="282"/>
      <c r="D26" s="287" t="str">
        <f>NeoPrtWerkbr!C43</f>
        <v/>
      </c>
      <c r="E26" s="166"/>
      <c r="F26" s="166" t="str">
        <f>NeoPrtWerkbr!E43</f>
        <v/>
      </c>
      <c r="G26" s="166"/>
      <c r="H26" s="288"/>
      <c r="I26" s="166"/>
      <c r="J26" s="166" t="str">
        <f>NeoPrtWerkbr!I42</f>
        <v>in</v>
      </c>
      <c r="K26" s="173" t="str">
        <f>IF(AND(D25&lt;&gt;"Nepresol (dihydralazine)",D25&lt;&gt;"Flolan (epoprostenol)"),NeoPrtWerkbr!J42,"NaCl 0,9%")</f>
        <v/>
      </c>
      <c r="L26" s="166"/>
      <c r="M26" s="166"/>
      <c r="N26" s="285" t="str">
        <f>IF(B25&lt;&gt;"",TRUNC(IF(B25&gt;0,N27+O27/100-N25-O25/100,0)),"")</f>
        <v/>
      </c>
      <c r="O26" s="286" t="str">
        <f>IF(B25&lt;&gt;"",(IF(B25&gt;0,N27+O27/100-N25-O25/100,0)-N26)*100,"")</f>
        <v/>
      </c>
      <c r="P26" s="166"/>
      <c r="Q26" s="166"/>
      <c r="R26" s="166"/>
    </row>
    <row r="27" spans="1:18" ht="15.75" x14ac:dyDescent="0.25">
      <c r="A27" s="258"/>
      <c r="B27" s="282"/>
      <c r="C27" s="282"/>
      <c r="D27" s="289" t="s">
        <v>575</v>
      </c>
      <c r="E27" s="290"/>
      <c r="F27" s="291" t="str">
        <f>IF(D25&lt;&gt;"",INDEX(tbl_Neo_MedIV,NeoBerInfB!B25,2),"")</f>
        <v/>
      </c>
      <c r="G27" s="290"/>
      <c r="H27" s="302"/>
      <c r="I27" s="293"/>
      <c r="J27" s="293"/>
      <c r="K27" s="294" t="str">
        <f>NeoPrtWerkbr!J43</f>
        <v>Totaal</v>
      </c>
      <c r="L27" s="293"/>
      <c r="M27" s="293"/>
      <c r="N27" s="295" t="str">
        <f>IF(B25&lt;&gt;"",IF(D25&lt;&gt;"lidocaine",IF(_Neo_1700_OplHoev_6&lt;25,2*TRUNC(_Neo_1700_OplHoev_6),TRUNC(_Neo_1700_OplHoev_6)),TRUNC(_Neo_1700_OplHoev_6*1.5)),"")</f>
        <v/>
      </c>
      <c r="O27" s="296" t="str">
        <f>IF(B25&lt;&gt;"",IF(D25&lt;&gt;"lidocaine",IF(_Neo_1700_OplHoev_6&lt;25,(2*_Neo_1700_OplHoev_6-N27)*100,(_Neo_1700_OplHoev_6-N27)*100),1.5*_Neo_1700_OplHoev_6-N27),"")</f>
        <v/>
      </c>
      <c r="P27" s="166"/>
      <c r="Q27" s="166"/>
      <c r="R27" s="166"/>
    </row>
    <row r="28" spans="1:18" ht="9.9499999999999993" customHeight="1" x14ac:dyDescent="0.25">
      <c r="A28" s="258"/>
      <c r="B28" s="297"/>
      <c r="C28" s="297"/>
      <c r="D28" s="195"/>
      <c r="E28" s="195"/>
      <c r="F28" s="298"/>
      <c r="G28" s="195"/>
      <c r="H28" s="284"/>
      <c r="I28" s="195"/>
      <c r="J28" s="195"/>
      <c r="K28" s="283"/>
      <c r="L28" s="195"/>
      <c r="M28" s="195"/>
      <c r="N28" s="299"/>
      <c r="O28" s="300"/>
      <c r="P28" s="166"/>
      <c r="Q28" s="166"/>
      <c r="R28" s="166"/>
    </row>
    <row r="29" spans="1:18" ht="15.75" x14ac:dyDescent="0.25">
      <c r="A29" s="258">
        <v>7</v>
      </c>
      <c r="B29" s="259" t="str">
        <f>IF(NeoPrtWerkbr!C44&lt;&gt;"zijlijn",NeoPrtWerkbr!A44,"")</f>
        <v/>
      </c>
      <c r="C29" s="259"/>
      <c r="D29" s="260" t="str">
        <f>NeoPrtWerkbr!C44</f>
        <v/>
      </c>
      <c r="E29" s="261"/>
      <c r="F29" s="262" t="str">
        <f>IF(NeoPrtWerkbr!E44&lt;&gt;"",IF(D29&lt;&gt;"lidocaine",IF(NeoPrtWerkbr!M46&lt;25,NeoPrtWerkbr!E44*2,NeoPrtWerkbr!E44),NeoPrtWerkbr!E44*1.5),"")</f>
        <v/>
      </c>
      <c r="G29" s="261" t="str">
        <f>NeoPrtWerkbr!F44</f>
        <v>mg</v>
      </c>
      <c r="H29" s="263" t="str">
        <f>NeoPrtWerkbr!G44</f>
        <v>(</v>
      </c>
      <c r="I29" s="261" t="str">
        <f>NeoPrtWerkbr!H44</f>
        <v/>
      </c>
      <c r="J29" s="261" t="str">
        <f>NeoPrtWerkbr!I44</f>
        <v>mg=</v>
      </c>
      <c r="K29" s="261" t="str">
        <f>NeoPrtWerkbr!J44</f>
        <v/>
      </c>
      <c r="L29" s="261" t="str">
        <f>NeoPrtWerkbr!K44</f>
        <v>ml)</v>
      </c>
      <c r="M29" s="261"/>
      <c r="N29" s="264" t="str">
        <f>IF(B29&lt;&gt;"",IF(B29&gt;0,TRUNC((K29/I29)*F29),0),"")</f>
        <v/>
      </c>
      <c r="O29" s="265" t="str">
        <f>IF(B29&lt;&gt;"",(IF(B29&gt;0,ROUND((K29/I29)*F29,2),0)-N29)*100,"")</f>
        <v/>
      </c>
      <c r="P29" s="166"/>
      <c r="Q29" s="166"/>
      <c r="R29" s="166"/>
    </row>
    <row r="30" spans="1:18" ht="15.75" x14ac:dyDescent="0.25">
      <c r="A30" s="258"/>
      <c r="B30" s="259"/>
      <c r="C30" s="259"/>
      <c r="D30" s="266" t="str">
        <f>NeoPrtWerkbr!C46</f>
        <v/>
      </c>
      <c r="E30" s="267"/>
      <c r="F30" s="267" t="str">
        <f>NeoPrtWerkbr!E46</f>
        <v/>
      </c>
      <c r="G30" s="267"/>
      <c r="H30" s="268"/>
      <c r="I30" s="267"/>
      <c r="J30" s="267" t="str">
        <f>NeoPrtWerkbr!I45</f>
        <v>in</v>
      </c>
      <c r="K30" s="269" t="str">
        <f>IF(AND(D29&lt;&gt;"Nepresol (dihydralazine)",D29&lt;&gt;"Flolan (epoprostenol)"),NeoPrtWerkbr!J45,"NaCl 0,9%")</f>
        <v/>
      </c>
      <c r="L30" s="267"/>
      <c r="M30" s="267"/>
      <c r="N30" s="270" t="str">
        <f>IF(B29&lt;&gt;"",TRUNC(IF(B29&gt;0,N31+O31/100-N29-O29/100,0)),"")</f>
        <v/>
      </c>
      <c r="O30" s="271" t="str">
        <f>IF(B29&lt;&gt;"",(IF(B29&gt;0,N31+O31/100-N29-O29/100,0)-N30)*100,"")</f>
        <v/>
      </c>
      <c r="P30" s="166"/>
      <c r="Q30" s="166"/>
      <c r="R30" s="166"/>
    </row>
    <row r="31" spans="1:18" ht="15.75" x14ac:dyDescent="0.25">
      <c r="A31" s="258"/>
      <c r="B31" s="259"/>
      <c r="C31" s="259"/>
      <c r="D31" s="272" t="s">
        <v>575</v>
      </c>
      <c r="E31" s="273"/>
      <c r="F31" s="273" t="str">
        <f>IF(D29&lt;&gt;"",INDEX(tbl_Neo_MedIV,NeoBerInfB!B26,2),"")</f>
        <v/>
      </c>
      <c r="G31" s="273"/>
      <c r="H31" s="275"/>
      <c r="I31" s="275"/>
      <c r="J31" s="275"/>
      <c r="K31" s="276" t="str">
        <f>NeoPrtWerkbr!J46</f>
        <v>Totaal</v>
      </c>
      <c r="L31" s="275"/>
      <c r="M31" s="275"/>
      <c r="N31" s="277" t="str">
        <f>IF(B29&lt;&gt;"",IF(D29&lt;&gt;"lidocaine",IF(_Neo_1700_OplHoev_7&lt;25,2*TRUNC(_Neo_1700_OplHoev_7),TRUNC(_Neo_1700_OplHoev_7)),TRUNC(_Neo_1700_OplHoev_7*1.5)),"")</f>
        <v/>
      </c>
      <c r="O31" s="278" t="str">
        <f>IF(B29&lt;&gt;"",IF(D29&lt;&gt;"lidocaine",IF(_Neo_1700_OplHoev_7&lt;25,(2*_Neo_1700_OplHoev_7-N31)*100,(_Neo_1700_OplHoev_7-N31)*100),1.5*_Neo_1700_OplHoev_7-N31),"")</f>
        <v/>
      </c>
      <c r="P31" s="166"/>
      <c r="Q31" s="166"/>
      <c r="R31" s="166"/>
    </row>
    <row r="32" spans="1:18" ht="9.9499999999999993" customHeight="1" x14ac:dyDescent="0.25">
      <c r="A32" s="258"/>
      <c r="B32" s="232"/>
      <c r="C32" s="232"/>
      <c r="D32" s="216"/>
      <c r="E32" s="216"/>
      <c r="F32" s="216"/>
      <c r="G32" s="216"/>
      <c r="H32" s="216"/>
      <c r="I32" s="216"/>
      <c r="J32" s="216"/>
      <c r="K32" s="217"/>
      <c r="L32" s="216"/>
      <c r="M32" s="216"/>
      <c r="N32" s="280"/>
      <c r="O32" s="281"/>
      <c r="P32" s="166"/>
      <c r="Q32" s="166"/>
      <c r="R32" s="166"/>
    </row>
    <row r="33" spans="1:18" ht="15.75" x14ac:dyDescent="0.25">
      <c r="A33" s="258">
        <v>8</v>
      </c>
      <c r="B33" s="282" t="str">
        <f>IF(NeoPrtWerkbr!C47&lt;&gt;"zijlijn",NeoPrtWerkbr!A47,"")</f>
        <v/>
      </c>
      <c r="C33" s="282"/>
      <c r="D33" s="194" t="str">
        <f>NeoPrtWerkbr!C47</f>
        <v/>
      </c>
      <c r="E33" s="195"/>
      <c r="F33" s="283" t="str">
        <f>IF(NeoPrtWerkbr!E47&lt;&gt;"",IF(D33&lt;&gt;"lidocaine",IF(NeoPrtWerkbr!M49&lt;25,NeoPrtWerkbr!E47*2,NeoPrtWerkbr!E47),NeoPrtWerkbr!E47*1.5),"")</f>
        <v/>
      </c>
      <c r="G33" s="195" t="str">
        <f>NeoPrtWerkbr!F47</f>
        <v>mg</v>
      </c>
      <c r="H33" s="284" t="str">
        <f>NeoPrtWerkbr!G47</f>
        <v>(</v>
      </c>
      <c r="I33" s="195" t="str">
        <f>NeoPrtWerkbr!H47</f>
        <v/>
      </c>
      <c r="J33" s="195" t="str">
        <f>NeoPrtWerkbr!I47</f>
        <v>mg=</v>
      </c>
      <c r="K33" s="195" t="str">
        <f>NeoPrtWerkbr!J47</f>
        <v/>
      </c>
      <c r="L33" s="195" t="str">
        <f>NeoPrtWerkbr!K47</f>
        <v>ml)</v>
      </c>
      <c r="M33" s="195"/>
      <c r="N33" s="285" t="str">
        <f>IF(B33&lt;&gt;"",IF(B33&gt;0,TRUNC((K33/I33)*F33),0),"")</f>
        <v/>
      </c>
      <c r="O33" s="286" t="str">
        <f>IF(B33&lt;&gt;"",(IF(B33&gt;0,ROUND((K33/I33)*F33,2),0)-N33)*100,"")</f>
        <v/>
      </c>
      <c r="P33" s="166"/>
      <c r="Q33" s="166"/>
      <c r="R33" s="166"/>
    </row>
    <row r="34" spans="1:18" ht="15.75" x14ac:dyDescent="0.25">
      <c r="A34" s="258"/>
      <c r="B34" s="282"/>
      <c r="C34" s="282"/>
      <c r="D34" s="287" t="str">
        <f>NeoPrtWerkbr!C49</f>
        <v/>
      </c>
      <c r="E34" s="166"/>
      <c r="F34" s="166" t="str">
        <f>NeoPrtWerkbr!E49</f>
        <v/>
      </c>
      <c r="G34" s="166"/>
      <c r="H34" s="288"/>
      <c r="I34" s="166"/>
      <c r="J34" s="166" t="str">
        <f>NeoPrtWerkbr!I48</f>
        <v>in</v>
      </c>
      <c r="K34" s="173" t="str">
        <f>IF(AND(D33&lt;&gt;"Nepresol (dihydralazine)",D33&lt;&gt;"Flolan (epoprostenol)"),NeoPrtWerkbr!J48,"NaCl 0,9%")</f>
        <v/>
      </c>
      <c r="L34" s="166"/>
      <c r="M34" s="166"/>
      <c r="N34" s="285" t="str">
        <f>IF(B33&lt;&gt;"",TRUNC(IF(B33&gt;0,N35+O35/100-N33-O33/100,0)),"")</f>
        <v/>
      </c>
      <c r="O34" s="286" t="str">
        <f>IF(B33&lt;&gt;"",(IF(B33&gt;0,N35+O35/100-N33-O33/100,0)-N34)*100,"")</f>
        <v/>
      </c>
      <c r="P34" s="166"/>
      <c r="Q34" s="166"/>
      <c r="R34" s="166"/>
    </row>
    <row r="35" spans="1:18" ht="15.75" x14ac:dyDescent="0.25">
      <c r="A35" s="258"/>
      <c r="B35" s="282"/>
      <c r="C35" s="282"/>
      <c r="D35" s="289" t="s">
        <v>575</v>
      </c>
      <c r="E35" s="290"/>
      <c r="F35" s="290" t="str">
        <f>IF(D33&lt;&gt;"",INDEX(tbl_Neo_MedIV,NeoBerInfB!B27,2),"")</f>
        <v/>
      </c>
      <c r="G35" s="290"/>
      <c r="H35" s="293"/>
      <c r="I35" s="293"/>
      <c r="J35" s="293"/>
      <c r="K35" s="294" t="str">
        <f>NeoPrtWerkbr!J49</f>
        <v>Totaal</v>
      </c>
      <c r="L35" s="293"/>
      <c r="M35" s="293"/>
      <c r="N35" s="295" t="str">
        <f>IF(B33&lt;&gt;"",IF(D33&lt;&gt;"lidocaine",IF(_Neo_1700_OplHoev_8&lt;25,2*TRUNC(_Neo_1700_OplHoev_8),TRUNC(_Neo_1700_OplHoev_8)),TRUNC(_Neo_1700_OplHoev_8*1.5)),"")</f>
        <v/>
      </c>
      <c r="O35" s="296" t="str">
        <f>IF(B33&lt;&gt;"",IF(D33&lt;&gt;"lidocaine",IF(_Neo_1700_OplHoev_8&lt;25,(2*_Neo_1700_OplHoev_8-N35)*100,(_Neo_1700_OplHoev_8-N35)*100),1.5*_Neo_1700_OplHoev_8-N35),"")</f>
        <v/>
      </c>
      <c r="P35" s="166"/>
      <c r="Q35" s="166"/>
      <c r="R35" s="166"/>
    </row>
    <row r="36" spans="1:18" ht="9.9499999999999993" customHeight="1" x14ac:dyDescent="0.25">
      <c r="A36" s="258"/>
      <c r="B36" s="297"/>
      <c r="C36" s="297"/>
      <c r="D36" s="195"/>
      <c r="E36" s="195"/>
      <c r="F36" s="195"/>
      <c r="G36" s="195"/>
      <c r="H36" s="195"/>
      <c r="I36" s="195"/>
      <c r="J36" s="195"/>
      <c r="K36" s="283"/>
      <c r="L36" s="195"/>
      <c r="M36" s="195"/>
      <c r="N36" s="299"/>
      <c r="O36" s="300"/>
      <c r="P36" s="166"/>
      <c r="Q36" s="166"/>
      <c r="R36" s="166"/>
    </row>
    <row r="37" spans="1:18" ht="15.75" x14ac:dyDescent="0.25">
      <c r="A37" s="258">
        <v>9</v>
      </c>
      <c r="B37" s="259" t="str">
        <f>IF(NeoPrtWerkbr!C50&lt;&gt;"zijlijn",NeoPrtWerkbr!A50,"")</f>
        <v/>
      </c>
      <c r="C37" s="259"/>
      <c r="D37" s="260" t="str">
        <f>NeoPrtWerkbr!C50</f>
        <v/>
      </c>
      <c r="E37" s="261"/>
      <c r="F37" s="262" t="str">
        <f>IF(NeoPrtWerkbr!E50&lt;&gt;"",IF(D37&lt;&gt;"lidocaine",IF(NeoPrtWerkbr!M52&lt;25,NeoPrtWerkbr!E50*2,NeoPrtWerkbr!E50),NeoPrtWerkbr!E50*1.5),"")</f>
        <v/>
      </c>
      <c r="G37" s="261" t="str">
        <f>NeoPrtWerkbr!F50</f>
        <v>mg</v>
      </c>
      <c r="H37" s="263" t="str">
        <f>NeoPrtWerkbr!G50</f>
        <v>(</v>
      </c>
      <c r="I37" s="261" t="str">
        <f>NeoPrtWerkbr!H50</f>
        <v/>
      </c>
      <c r="J37" s="261" t="str">
        <f>NeoPrtWerkbr!I50</f>
        <v>mg=</v>
      </c>
      <c r="K37" s="261" t="str">
        <f>NeoPrtWerkbr!J50</f>
        <v/>
      </c>
      <c r="L37" s="261" t="str">
        <f>NeoPrtWerkbr!K50</f>
        <v>ml)</v>
      </c>
      <c r="M37" s="261"/>
      <c r="N37" s="264" t="str">
        <f>IF(B37&lt;&gt;"",IF(B37&gt;0,TRUNC((K37/I37)*F37),0),"")</f>
        <v/>
      </c>
      <c r="O37" s="265" t="str">
        <f>IF(B37&lt;&gt;"",(IF(B37&gt;0,ROUND((K37/I37)*F37,2),0)-N37)*100,"")</f>
        <v/>
      </c>
      <c r="P37" s="166"/>
      <c r="Q37" s="166"/>
      <c r="R37" s="166"/>
    </row>
    <row r="38" spans="1:18" ht="15.75" x14ac:dyDescent="0.25">
      <c r="A38" s="258"/>
      <c r="B38" s="259"/>
      <c r="C38" s="259"/>
      <c r="D38" s="266" t="str">
        <f>NeoPrtWerkbr!C52</f>
        <v/>
      </c>
      <c r="E38" s="267"/>
      <c r="F38" s="267" t="str">
        <f>NeoPrtWerkbr!E52</f>
        <v/>
      </c>
      <c r="G38" s="267"/>
      <c r="H38" s="268"/>
      <c r="I38" s="267"/>
      <c r="J38" s="267" t="str">
        <f>NeoPrtWerkbr!I51</f>
        <v>in</v>
      </c>
      <c r="K38" s="269" t="str">
        <f>IF(AND(D37&lt;&gt;"Nepresol (dihydralazine)",D37&lt;&gt;"Flolan (epoprostenol)"),NeoPrtWerkbr!J51,"NaCl 0,9%")</f>
        <v/>
      </c>
      <c r="L38" s="267"/>
      <c r="M38" s="267"/>
      <c r="N38" s="270" t="str">
        <f>IF(B37&lt;&gt;"",TRUNC(IF(B37&gt;0,N39+O39/100-N37-O37/100,0)),"")</f>
        <v/>
      </c>
      <c r="O38" s="271" t="str">
        <f>IF(B37&lt;&gt;"",(IF(B37&gt;0,N39+O39/100-N37-O37/100,0)-N38)*100,"")</f>
        <v/>
      </c>
      <c r="P38" s="166"/>
      <c r="Q38" s="166"/>
      <c r="R38" s="166"/>
    </row>
    <row r="39" spans="1:18" ht="15.75" x14ac:dyDescent="0.25">
      <c r="A39" s="258"/>
      <c r="B39" s="259"/>
      <c r="C39" s="259"/>
      <c r="D39" s="272" t="s">
        <v>575</v>
      </c>
      <c r="E39" s="273"/>
      <c r="F39" s="273" t="str">
        <f>IF(D37&lt;&gt;"",INDEX(tbl_Neo_MedIV,NeoBerInfB!B28,2),"")</f>
        <v/>
      </c>
      <c r="G39" s="273"/>
      <c r="H39" s="275"/>
      <c r="I39" s="275"/>
      <c r="J39" s="275"/>
      <c r="K39" s="276" t="str">
        <f>NeoPrtWerkbr!J52</f>
        <v>Totaal</v>
      </c>
      <c r="L39" s="275"/>
      <c r="M39" s="275"/>
      <c r="N39" s="277" t="str">
        <f>IF(B37&lt;&gt;"",IF(D37&lt;&gt;"lidocaine",IF(_Neo_1700_OplHoev_9&lt;25,2*TRUNC(_Neo_1700_OplHoev_9),TRUNC(_Neo_1700_OplHoev_9)),TRUNC(_Neo_1700_OplHoev_9*1.5)),"")</f>
        <v/>
      </c>
      <c r="O39" s="278" t="str">
        <f>IF(B37&lt;&gt;"",IF(D37&lt;&gt;"lidocaine",IF(_Neo_1700_OplHoev_9&lt;25,(2*_Neo_1700_OplHoev_9-N39)*100,(_Neo_1700_OplHoev_9-N39)*100),1.5*_Neo_1700_OplHoev_9-N39),"")</f>
        <v/>
      </c>
      <c r="P39" s="166"/>
      <c r="Q39" s="166"/>
      <c r="R39" s="166"/>
    </row>
    <row r="40" spans="1:18" ht="9.75" customHeight="1" x14ac:dyDescent="0.2">
      <c r="A40" s="258"/>
      <c r="D40" s="166"/>
      <c r="E40" s="166"/>
      <c r="F40" s="166"/>
      <c r="G40" s="166"/>
      <c r="H40" s="166"/>
      <c r="I40" s="166"/>
      <c r="J40" s="166"/>
      <c r="K40" s="166"/>
      <c r="L40" s="166"/>
      <c r="M40" s="166"/>
      <c r="N40" s="288"/>
      <c r="O40" s="303"/>
      <c r="P40" s="166"/>
      <c r="Q40" s="166"/>
      <c r="R40" s="166"/>
    </row>
    <row r="41" spans="1:18" ht="14.25" x14ac:dyDescent="0.2">
      <c r="A41" s="258">
        <v>10</v>
      </c>
      <c r="B41" s="197" t="str">
        <f>NeoPrtAfspr!B45</f>
        <v/>
      </c>
      <c r="C41" s="199"/>
      <c r="D41" s="304"/>
      <c r="E41" s="199"/>
      <c r="F41" s="199"/>
      <c r="G41" s="199"/>
      <c r="H41" s="303"/>
      <c r="I41" s="199"/>
      <c r="J41" s="199"/>
      <c r="K41" s="199"/>
      <c r="L41" s="199"/>
      <c r="M41" s="199"/>
      <c r="N41" s="303"/>
      <c r="O41" s="305"/>
      <c r="P41" s="166"/>
      <c r="Q41" s="166"/>
      <c r="R41" s="166"/>
    </row>
    <row r="42" spans="1:18" ht="14.25" x14ac:dyDescent="0.2">
      <c r="A42" s="258">
        <v>11</v>
      </c>
      <c r="B42" s="197" t="str">
        <f>NeoPrtAfspr!B46</f>
        <v/>
      </c>
      <c r="C42" s="199"/>
      <c r="D42" s="304"/>
      <c r="E42" s="199"/>
      <c r="F42" s="199"/>
      <c r="G42" s="199"/>
      <c r="H42" s="303"/>
      <c r="I42" s="199"/>
      <c r="J42" s="199"/>
      <c r="K42" s="199"/>
      <c r="L42" s="199"/>
      <c r="M42" s="199"/>
      <c r="N42" s="303"/>
      <c r="O42" s="305"/>
      <c r="P42" s="166"/>
      <c r="Q42" s="166"/>
      <c r="R42" s="166"/>
    </row>
    <row r="43" spans="1:18" ht="14.25" x14ac:dyDescent="0.2">
      <c r="A43" s="258">
        <v>12</v>
      </c>
      <c r="B43" s="197">
        <f>NeoPrtAfspr!B47</f>
        <v>0</v>
      </c>
      <c r="C43" s="199"/>
      <c r="D43" s="304"/>
      <c r="E43" s="199"/>
      <c r="F43" s="199"/>
      <c r="G43" s="199"/>
      <c r="H43" s="303"/>
      <c r="I43" s="199"/>
      <c r="J43" s="199"/>
      <c r="K43" s="199"/>
      <c r="L43" s="199"/>
      <c r="M43" s="199"/>
      <c r="N43" s="303"/>
      <c r="O43" s="305"/>
      <c r="P43" s="166"/>
      <c r="Q43" s="166"/>
      <c r="R43" s="166"/>
    </row>
    <row r="44" spans="1:18" x14ac:dyDescent="0.2">
      <c r="B44" s="166"/>
      <c r="C44" s="166"/>
      <c r="D44" s="172"/>
      <c r="E44" s="166"/>
      <c r="F44" s="166"/>
      <c r="G44" s="166"/>
      <c r="H44" s="288"/>
      <c r="I44" s="166"/>
      <c r="J44" s="166"/>
      <c r="K44" s="166"/>
      <c r="L44" s="166"/>
      <c r="M44" s="166"/>
      <c r="N44" s="288"/>
      <c r="O44" s="288"/>
      <c r="P44" s="166"/>
      <c r="Q44" s="166"/>
      <c r="R44" s="166"/>
    </row>
    <row r="45" spans="1:18" x14ac:dyDescent="0.2">
      <c r="B45" s="166"/>
      <c r="C45" s="166"/>
      <c r="D45" s="172"/>
      <c r="E45" s="166"/>
      <c r="F45" s="166"/>
      <c r="G45" s="166"/>
      <c r="H45" s="288"/>
      <c r="I45" s="166"/>
      <c r="J45" s="166"/>
      <c r="K45" s="166"/>
      <c r="L45" s="166"/>
      <c r="M45" s="166"/>
      <c r="N45" s="288"/>
      <c r="O45" s="288"/>
      <c r="P45" s="166"/>
      <c r="Q45" s="166"/>
      <c r="R45" s="166"/>
    </row>
    <row r="47" spans="1:18" s="207" customFormat="1" ht="9.75" customHeight="1" x14ac:dyDescent="0.2">
      <c r="A47" s="1073">
        <f ca="1">TODAY()</f>
        <v>42748</v>
      </c>
      <c r="B47" s="1073"/>
      <c r="C47" s="207" t="str">
        <f>"Bed "&amp;__1_Bed</f>
        <v xml:space="preserve">Bed </v>
      </c>
      <c r="E47" s="207">
        <v>1</v>
      </c>
      <c r="G47" s="1073">
        <f ca="1">TODAY()</f>
        <v>42748</v>
      </c>
      <c r="H47" s="1073"/>
      <c r="I47" s="207" t="str">
        <f>"Bed "&amp;__1_Bed</f>
        <v xml:space="preserve">Bed </v>
      </c>
      <c r="K47" s="207">
        <v>2</v>
      </c>
      <c r="M47" s="1073">
        <f ca="1">TODAY()</f>
        <v>42748</v>
      </c>
      <c r="N47" s="1074"/>
      <c r="O47" s="207" t="str">
        <f>"Bed "&amp;__1_Bed</f>
        <v xml:space="preserve">Bed </v>
      </c>
      <c r="Q47" s="207">
        <v>3</v>
      </c>
    </row>
    <row r="48" spans="1:18" ht="9.9499999999999993" customHeight="1" x14ac:dyDescent="0.2">
      <c r="A48" s="306" t="str">
        <f>IF(D5&lt;&gt;"",__3_VoorNaam&amp;" "&amp;__2_AchterNaam,"")</f>
        <v/>
      </c>
      <c r="B48" s="207"/>
      <c r="C48" s="207"/>
      <c r="E48" s="207"/>
      <c r="F48" s="207"/>
      <c r="G48" s="306" t="str">
        <f>IF(D9&lt;&gt;"",__3_VoorNaam&amp;" "&amp;__2_AchterNaam,"")</f>
        <v/>
      </c>
      <c r="H48" s="207"/>
      <c r="I48" s="207"/>
      <c r="J48" s="207"/>
      <c r="K48" s="207"/>
      <c r="L48" s="207"/>
      <c r="M48" s="306" t="str">
        <f>IF(D13&lt;&gt;"",__3_VoorNaam&amp;" "&amp;__2_AchterNaam,"")</f>
        <v/>
      </c>
      <c r="N48" s="207"/>
      <c r="O48" s="207"/>
      <c r="P48" s="207"/>
      <c r="Q48" s="207"/>
    </row>
    <row r="49" spans="1:18" ht="9.9499999999999993" customHeight="1" x14ac:dyDescent="0.2">
      <c r="A49" s="207" t="str">
        <f>IF(D5&lt;&gt;"",D5&amp;" "&amp;NeoPrtWerkbr!E26&amp;" "&amp;G5,"")</f>
        <v/>
      </c>
      <c r="B49" s="207"/>
      <c r="C49" s="207"/>
      <c r="E49" s="207"/>
      <c r="F49" s="207"/>
      <c r="G49" s="207" t="str">
        <f>IF(D9&lt;&gt;"",D9&amp;" "&amp;NeoPrtWerkbr!E29&amp;" "&amp;G9,"")</f>
        <v/>
      </c>
      <c r="H49" s="207"/>
      <c r="I49" s="207"/>
      <c r="K49" s="207"/>
      <c r="L49" s="207"/>
      <c r="M49" s="207" t="str">
        <f>IF(D13&lt;&gt;"",D13&amp;" "&amp;NeoPrtWerkbr!E32&amp;" "&amp;G13,"")</f>
        <v/>
      </c>
      <c r="N49" s="207"/>
      <c r="O49" s="207"/>
      <c r="Q49" s="207"/>
    </row>
    <row r="50" spans="1:18" ht="9.9499999999999993" customHeight="1" x14ac:dyDescent="0.2">
      <c r="A50" s="307" t="str">
        <f>NeoPrtAfspr!G33&amp;" "&amp;K6</f>
        <v xml:space="preserve"> </v>
      </c>
      <c r="B50" s="307"/>
      <c r="C50" s="307"/>
      <c r="D50" s="207" t="str">
        <f>IF(_Neo_1700_OplHoev_1&gt;0,"("&amp;N7-_Neo_1700_OplHoev_1&amp;" ml extra)","")</f>
        <v/>
      </c>
      <c r="E50" s="307"/>
      <c r="F50" s="207"/>
      <c r="G50" s="207" t="str">
        <f>NeoPrtAfspr!G34&amp;" "&amp;K10</f>
        <v xml:space="preserve"> </v>
      </c>
      <c r="H50" s="207"/>
      <c r="I50" s="207"/>
      <c r="J50" s="207" t="str">
        <f>IF(_Neo_1700_OplHoev_2&gt;0,"("&amp;N11-_Neo_1700_OplHoev_2&amp;" ml extra)","")</f>
        <v/>
      </c>
      <c r="K50" s="207"/>
      <c r="L50" s="207"/>
      <c r="M50" s="207" t="str">
        <f>NeoPrtAfspr!G35&amp;" "&amp;K14</f>
        <v xml:space="preserve"> </v>
      </c>
      <c r="N50" s="207"/>
      <c r="O50" s="207"/>
      <c r="P50" s="207" t="str">
        <f>IF(_Neo_1700_OplHoev_3&gt;0,"("&amp;N15-_Neo_1700_OplHoev_3&amp;" ml extra)","")</f>
        <v/>
      </c>
      <c r="Q50" s="207"/>
    </row>
    <row r="51" spans="1:18" ht="9.9499999999999993" customHeight="1" x14ac:dyDescent="0.2">
      <c r="A51" s="207" t="str">
        <f>IF(D6&lt;&gt;"",D6,"")</f>
        <v/>
      </c>
      <c r="B51" s="207"/>
      <c r="C51" s="207" t="str">
        <f>F6</f>
        <v/>
      </c>
      <c r="D51" s="207"/>
      <c r="E51" s="207"/>
      <c r="F51" s="207"/>
      <c r="G51" s="207" t="str">
        <f>IF(D10&lt;&gt;"",D10,"")</f>
        <v/>
      </c>
      <c r="H51" s="207"/>
      <c r="I51" s="207" t="str">
        <f>IF(F10&lt;&gt;"",F10,"")</f>
        <v/>
      </c>
      <c r="J51" s="207"/>
      <c r="K51" s="207"/>
      <c r="L51" s="207"/>
      <c r="M51" s="207" t="str">
        <f>IF(D14&lt;&gt;"",$D$14,"")</f>
        <v/>
      </c>
      <c r="N51" s="207"/>
      <c r="O51" s="207" t="str">
        <f>IF(F14&lt;&gt;"",$F$14,"")</f>
        <v/>
      </c>
      <c r="P51" s="207"/>
      <c r="Q51" s="207"/>
    </row>
    <row r="52" spans="1:18" ht="9.9499999999999993" customHeight="1" x14ac:dyDescent="0.2">
      <c r="A52" s="207"/>
      <c r="B52" s="207"/>
      <c r="D52" s="207" t="str">
        <f>"Exp: "</f>
        <v xml:space="preserve">Exp: </v>
      </c>
      <c r="E52" s="1073">
        <f ca="1">TODAY()+1</f>
        <v>42749</v>
      </c>
      <c r="F52" s="1073"/>
      <c r="G52" s="207"/>
      <c r="H52" s="207"/>
      <c r="I52" s="207"/>
      <c r="J52" s="207" t="str">
        <f>"Exp: "</f>
        <v xml:space="preserve">Exp: </v>
      </c>
      <c r="K52" s="1073">
        <f ca="1">TODAY()+1</f>
        <v>42749</v>
      </c>
      <c r="L52" s="1073"/>
      <c r="M52" s="207"/>
      <c r="N52" s="207"/>
      <c r="O52" s="207"/>
      <c r="P52" s="207" t="str">
        <f>"Exp: "</f>
        <v xml:space="preserve">Exp: </v>
      </c>
      <c r="Q52" s="1073">
        <f ca="1">TODAY()+1</f>
        <v>42749</v>
      </c>
      <c r="R52" s="1073"/>
    </row>
    <row r="53" spans="1:18" ht="9.9499999999999993" customHeight="1" x14ac:dyDescent="0.2"/>
    <row r="54" spans="1:18" ht="9.9499999999999993" customHeight="1" x14ac:dyDescent="0.2">
      <c r="A54" s="207"/>
      <c r="B54" s="207"/>
      <c r="C54" s="207"/>
      <c r="D54" s="207"/>
      <c r="E54" s="207"/>
      <c r="F54" s="207"/>
      <c r="G54" s="207"/>
      <c r="H54" s="207"/>
      <c r="I54" s="207"/>
      <c r="J54" s="207"/>
      <c r="K54" s="207"/>
      <c r="L54" s="207"/>
      <c r="M54" s="207"/>
      <c r="N54" s="207"/>
      <c r="O54" s="207"/>
      <c r="P54" s="207"/>
      <c r="Q54" s="207"/>
    </row>
    <row r="55" spans="1:18" ht="9.9499999999999993" customHeight="1" x14ac:dyDescent="0.2">
      <c r="A55" s="207"/>
      <c r="B55" s="207"/>
      <c r="C55" s="207"/>
      <c r="D55" s="207"/>
      <c r="E55" s="207"/>
      <c r="F55" s="207"/>
      <c r="G55" s="207"/>
      <c r="H55" s="207"/>
      <c r="I55" s="207"/>
      <c r="J55" s="207"/>
      <c r="K55" s="207"/>
      <c r="L55" s="207"/>
      <c r="M55" s="207"/>
      <c r="N55" s="207"/>
      <c r="O55" s="207"/>
      <c r="P55" s="207"/>
      <c r="Q55" s="207"/>
    </row>
    <row r="56" spans="1:18" ht="9.9499999999999993" customHeight="1" x14ac:dyDescent="0.2">
      <c r="A56" s="207"/>
      <c r="B56" s="207"/>
      <c r="C56" s="207"/>
      <c r="D56" s="207"/>
      <c r="E56" s="207"/>
      <c r="F56" s="207"/>
      <c r="G56" s="207"/>
      <c r="H56" s="207"/>
      <c r="I56" s="207"/>
      <c r="J56" s="207"/>
      <c r="K56" s="207"/>
      <c r="L56" s="207"/>
      <c r="M56" s="207"/>
      <c r="N56" s="207"/>
      <c r="O56" s="207"/>
      <c r="P56" s="207"/>
      <c r="Q56" s="207"/>
    </row>
    <row r="57" spans="1:18" ht="15.75" customHeight="1" x14ac:dyDescent="0.2">
      <c r="A57" s="207"/>
      <c r="B57" s="207"/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</row>
    <row r="58" spans="1:18" ht="9.75" customHeight="1" x14ac:dyDescent="0.2">
      <c r="A58" s="1073">
        <f ca="1">TODAY()</f>
        <v>42748</v>
      </c>
      <c r="B58" s="1074"/>
      <c r="C58" s="207" t="str">
        <f>"Bed "&amp;__1_Bed</f>
        <v xml:space="preserve">Bed </v>
      </c>
      <c r="D58" s="207"/>
      <c r="E58" s="207">
        <v>4</v>
      </c>
      <c r="F58" s="207"/>
      <c r="G58" s="1073">
        <f ca="1">TODAY()</f>
        <v>42748</v>
      </c>
      <c r="H58" s="1074"/>
      <c r="I58" s="207" t="str">
        <f>"Bed "&amp;__1_Bed</f>
        <v xml:space="preserve">Bed </v>
      </c>
      <c r="J58" s="207"/>
      <c r="K58" s="207">
        <v>5</v>
      </c>
      <c r="L58" s="207"/>
      <c r="M58" s="1073">
        <f ca="1">TODAY()</f>
        <v>42748</v>
      </c>
      <c r="N58" s="1074"/>
      <c r="O58" s="207" t="str">
        <f>"Bed "&amp;__1_Bed</f>
        <v xml:space="preserve">Bed </v>
      </c>
      <c r="P58" s="207"/>
      <c r="Q58" s="207">
        <v>6</v>
      </c>
    </row>
    <row r="59" spans="1:18" ht="9.9499999999999993" customHeight="1" x14ac:dyDescent="0.2">
      <c r="A59" s="306" t="str">
        <f>IF(D17&lt;&gt;"",__3_VoorNaam&amp;" "&amp;__2_AchterNaam,"")</f>
        <v/>
      </c>
      <c r="B59" s="207"/>
      <c r="C59" s="207"/>
      <c r="D59" s="207"/>
      <c r="E59" s="207"/>
      <c r="F59" s="207"/>
      <c r="G59" s="306" t="str">
        <f>IF(D21&lt;&gt;"",__3_VoorNaam&amp;" "&amp;__2_AchterNaam,"")</f>
        <v/>
      </c>
      <c r="H59" s="207"/>
      <c r="I59" s="207"/>
      <c r="J59" s="207"/>
      <c r="K59" s="207"/>
      <c r="L59" s="207"/>
      <c r="M59" s="306" t="str">
        <f>IF(D25&lt;&gt;"",__3_VoorNaam&amp;" "&amp;__2_AchterNaam,"")</f>
        <v/>
      </c>
      <c r="N59" s="207"/>
      <c r="O59" s="207"/>
      <c r="P59" s="207"/>
      <c r="Q59" s="207"/>
    </row>
    <row r="60" spans="1:18" ht="9.9499999999999993" customHeight="1" x14ac:dyDescent="0.2">
      <c r="A60" s="207" t="str">
        <f>IF(D17&lt;&gt;"",D17&amp;" "&amp;NeoPrtWerkbr!E35&amp;" "&amp;G17,"")</f>
        <v/>
      </c>
      <c r="B60" s="207"/>
      <c r="C60" s="207"/>
      <c r="E60" s="207"/>
      <c r="F60" s="207"/>
      <c r="G60" s="207" t="str">
        <f>IF(D21&lt;&gt;"",D21&amp;" "&amp;NeoPrtWerkbr!E38&amp;" "&amp;G21,"")</f>
        <v/>
      </c>
      <c r="H60" s="207"/>
      <c r="I60" s="207"/>
      <c r="K60" s="207"/>
      <c r="L60" s="207"/>
      <c r="M60" s="207" t="str">
        <f>IF(D25&lt;&gt;"",D25&amp;" "&amp;NeoPrtWerkbr!E41&amp;" "&amp;G25,"")</f>
        <v/>
      </c>
      <c r="N60" s="207"/>
      <c r="O60" s="207"/>
      <c r="Q60" s="207"/>
    </row>
    <row r="61" spans="1:18" ht="9.9499999999999993" customHeight="1" x14ac:dyDescent="0.2">
      <c r="A61" s="207" t="str">
        <f>NeoPrtAfspr!G36&amp;" "&amp;K18</f>
        <v xml:space="preserve"> </v>
      </c>
      <c r="B61" s="207"/>
      <c r="C61" s="207"/>
      <c r="D61" s="207" t="str">
        <f>IF(_Neo_1700_OplHoev_4&gt;0,"("&amp;N19-_Neo_1700_OplHoev_4&amp;" ml extra)","")</f>
        <v/>
      </c>
      <c r="E61" s="207"/>
      <c r="F61" s="207"/>
      <c r="G61" s="207" t="str">
        <f>NeoPrtAfspr!G37&amp;" "&amp;K22</f>
        <v xml:space="preserve"> </v>
      </c>
      <c r="H61" s="207"/>
      <c r="I61" s="207"/>
      <c r="J61" s="207" t="str">
        <f>IF(_Neo_1700_OplHoev_5&gt;0,"("&amp;N23-_Neo_1700_OplHoev_5&amp;" ml extra)","")</f>
        <v/>
      </c>
      <c r="K61" s="207"/>
      <c r="L61" s="207"/>
      <c r="M61" s="207" t="str">
        <f>NeoPrtAfspr!G38&amp;" "&amp;K26</f>
        <v xml:space="preserve"> </v>
      </c>
      <c r="N61" s="207"/>
      <c r="O61" s="207"/>
      <c r="P61" s="207" t="str">
        <f>IF(_Neo_1700_OplHoev_6&gt;0,"("&amp;N27-_Neo_1700_OplHoev_6&amp;" ml extra)","")</f>
        <v/>
      </c>
      <c r="Q61" s="207"/>
    </row>
    <row r="62" spans="1:18" ht="9.9499999999999993" customHeight="1" x14ac:dyDescent="0.2">
      <c r="A62" s="207" t="str">
        <f>IF(D18&lt;&gt;"",D18,"")</f>
        <v/>
      </c>
      <c r="B62" s="207"/>
      <c r="C62" s="207" t="str">
        <f>F18</f>
        <v/>
      </c>
      <c r="D62" s="207"/>
      <c r="E62" s="207"/>
      <c r="F62" s="207"/>
      <c r="G62" s="207" t="str">
        <f>IF(D22&lt;&gt;"",D22,"")</f>
        <v/>
      </c>
      <c r="H62" s="207"/>
      <c r="I62" s="207" t="str">
        <f>IF(F22&lt;&gt;"",F22,"")</f>
        <v/>
      </c>
      <c r="J62" s="207"/>
      <c r="K62" s="207"/>
      <c r="L62" s="207"/>
      <c r="M62" s="207" t="str">
        <f>IF(D26&lt;&gt;"",$D$26,"")</f>
        <v/>
      </c>
      <c r="N62" s="207"/>
      <c r="O62" s="207" t="str">
        <f>IF(F26&lt;&gt;"",$F$26,"")</f>
        <v/>
      </c>
      <c r="P62" s="207"/>
      <c r="Q62" s="207"/>
    </row>
    <row r="63" spans="1:18" ht="9.9499999999999993" customHeight="1" x14ac:dyDescent="0.2">
      <c r="A63" s="207"/>
      <c r="B63" s="207"/>
      <c r="C63" s="207"/>
      <c r="D63" s="207" t="str">
        <f>"Exp: "</f>
        <v xml:space="preserve">Exp: </v>
      </c>
      <c r="E63" s="1073">
        <f ca="1">TODAY()+1</f>
        <v>42749</v>
      </c>
      <c r="F63" s="1073"/>
      <c r="G63" s="207"/>
      <c r="H63" s="207"/>
      <c r="I63" s="207"/>
      <c r="J63" s="207" t="str">
        <f>"Exp: "</f>
        <v xml:space="preserve">Exp: </v>
      </c>
      <c r="K63" s="1073">
        <f ca="1">TODAY()+1</f>
        <v>42749</v>
      </c>
      <c r="L63" s="1073"/>
      <c r="M63" s="207"/>
      <c r="N63" s="207"/>
      <c r="O63" s="207"/>
      <c r="P63" s="207" t="str">
        <f>"Exp: "</f>
        <v xml:space="preserve">Exp: </v>
      </c>
      <c r="Q63" s="1073">
        <f ca="1">TODAY()+1</f>
        <v>42749</v>
      </c>
      <c r="R63" s="1073"/>
    </row>
    <row r="64" spans="1:18" ht="9.9499999999999993" customHeight="1" x14ac:dyDescent="0.2"/>
    <row r="65" spans="4:4" ht="9.9499999999999993" customHeight="1" x14ac:dyDescent="0.2"/>
    <row r="66" spans="4:4" ht="9.9499999999999993" customHeight="1" x14ac:dyDescent="0.2"/>
    <row r="67" spans="4:4" ht="9.9499999999999993" customHeight="1" x14ac:dyDescent="0.2"/>
    <row r="68" spans="4:4" ht="9.9499999999999993" customHeight="1" x14ac:dyDescent="0.2"/>
    <row r="73" spans="4:4" x14ac:dyDescent="0.2">
      <c r="D73" s="516"/>
    </row>
  </sheetData>
  <mergeCells count="14">
    <mergeCell ref="J1:L1"/>
    <mergeCell ref="N2:O2"/>
    <mergeCell ref="A47:B47"/>
    <mergeCell ref="G47:H47"/>
    <mergeCell ref="M47:N47"/>
    <mergeCell ref="Q52:R52"/>
    <mergeCell ref="A58:B58"/>
    <mergeCell ref="G58:H58"/>
    <mergeCell ref="M58:N58"/>
    <mergeCell ref="E63:F63"/>
    <mergeCell ref="K63:L63"/>
    <mergeCell ref="Q63:R63"/>
    <mergeCell ref="E52:F52"/>
    <mergeCell ref="K52:L52"/>
  </mergeCells>
  <pageMargins left="0.27" right="0.19" top="0.25" bottom="0.27" header="0.17" footer="0.27"/>
  <pageSetup paperSize="9" orientation="portrait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          <button id="btnSetColors" label="Kleuren Instellen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63</vt:i4>
      </vt:variant>
      <vt:variant>
        <vt:lpstr>Named Ranges</vt:lpstr>
      </vt:variant>
      <vt:variant>
        <vt:i4>2010</vt:i4>
      </vt:variant>
    </vt:vector>
  </HeadingPairs>
  <TitlesOfParts>
    <vt:vector size="2073" baseType="lpstr">
      <vt:lpstr>Global--&gt;</vt:lpstr>
      <vt:lpstr>GlobGuiMedDisc</vt:lpstr>
      <vt:lpstr>GlobBerMedDisc</vt:lpstr>
      <vt:lpstr>GlobSettings</vt:lpstr>
      <vt:lpstr>GlobNames</vt:lpstr>
      <vt:lpstr>GlobBerOpm</vt:lpstr>
      <vt:lpstr>GlobBerConv</vt:lpstr>
      <vt:lpstr>GlobBerNorm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PedTblMedDisc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PedTblVoed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PedTblTijden</vt:lpstr>
      <vt:lpstr>PedPrtTPN2tot6</vt:lpstr>
      <vt:lpstr>PedPrtTPN7tot15</vt:lpstr>
      <vt:lpstr>PedPrtTPN16tot30</vt:lpstr>
      <vt:lpstr>PedTPN31tot50</vt:lpstr>
      <vt:lpstr>PedPrtTPN50</vt:lpstr>
      <vt:lpstr>Neo--&gt;</vt:lpstr>
      <vt:lpstr>NeoGuiInfB</vt:lpstr>
      <vt:lpstr>NeoDataInfB</vt:lpstr>
      <vt:lpstr>NeoBerInfB</vt:lpstr>
      <vt:lpstr>NeoPrtWerkbrAct</vt:lpstr>
      <vt:lpstr>NeoGui1700</vt:lpstr>
      <vt:lpstr>NeoBer1700</vt:lpstr>
      <vt:lpstr>NeoPrtWerkbr</vt:lpstr>
      <vt:lpstr>NeoTblMedIV</vt:lpstr>
      <vt:lpstr>NeoBerAdvies</vt:lpstr>
      <vt:lpstr>NeoTblLijst</vt:lpstr>
      <vt:lpstr>NeoTblVoed</vt:lpstr>
      <vt:lpstr>NeoPrtMedDisc</vt:lpstr>
      <vt:lpstr>NeoTblTijden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__0_PatNum</vt:lpstr>
      <vt:lpstr>__1_Bed</vt:lpstr>
      <vt:lpstr>__2_AchterNaam</vt:lpstr>
      <vt:lpstr>__3_VoorNaam</vt:lpstr>
      <vt:lpstr>__4_GebDatum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_Neo_1700_ArtLijn</vt:lpstr>
      <vt:lpstr>_Neo_1700_Arts</vt:lpstr>
      <vt:lpstr>_Neo_1700_DagKeuze</vt:lpstr>
      <vt:lpstr>_Neo_1700_Fototherapie</vt:lpstr>
      <vt:lpstr>_Neo_1700_Frequentie_1</vt:lpstr>
      <vt:lpstr>_Neo_1700_Frequentie_2</vt:lpstr>
      <vt:lpstr>_Neo_1700_GlucSterkte</vt:lpstr>
      <vt:lpstr>_Neo_1700_Hoeveelheid_1</vt:lpstr>
      <vt:lpstr>_Neo_1700_Hoeveelheid_2</vt:lpstr>
      <vt:lpstr>_Neo_1700_IntakePerKg</vt:lpstr>
      <vt:lpstr>_Neo_1700_IntraLipid</vt:lpstr>
      <vt:lpstr>_Neo_1700_IntralipidSmof</vt:lpstr>
      <vt:lpstr>_Neo_1700_KCl</vt:lpstr>
      <vt:lpstr>_Neo_1700_Medicament_1</vt:lpstr>
      <vt:lpstr>_Neo_1700_Medicament_2</vt:lpstr>
      <vt:lpstr>_Neo_1700_Medicament_3</vt:lpstr>
      <vt:lpstr>_Neo_1700_Medicament_4</vt:lpstr>
      <vt:lpstr>_Neo_1700_Medicament_5</vt:lpstr>
      <vt:lpstr>_Neo_1700_Medicament_6</vt:lpstr>
      <vt:lpstr>_Neo_1700_Medicament_7</vt:lpstr>
      <vt:lpstr>_Neo_1700_Medicament_8</vt:lpstr>
      <vt:lpstr>_Neo_1700_Medicament_9</vt:lpstr>
      <vt:lpstr>_Neo_1700_MedSterkte_1</vt:lpstr>
      <vt:lpstr>_Neo_1700_MedSterkte_2</vt:lpstr>
      <vt:lpstr>_Neo_1700_MedSterkte_3</vt:lpstr>
      <vt:lpstr>_Neo_1700_MedSterkte_4</vt:lpstr>
      <vt:lpstr>_Neo_1700_MedSterkte_5</vt:lpstr>
      <vt:lpstr>_Neo_1700_MedSterkte_6</vt:lpstr>
      <vt:lpstr>_Neo_1700_MedSterkte_7</vt:lpstr>
      <vt:lpstr>_Neo_1700_MedSterkte_8</vt:lpstr>
      <vt:lpstr>_Neo_1700_MedSterkte_9</vt:lpstr>
      <vt:lpstr>_Neo_1700_MedTekst_1</vt:lpstr>
      <vt:lpstr>_Neo_1700_MedTekst_2</vt:lpstr>
      <vt:lpstr>_Neo_1700_MgCl2</vt:lpstr>
      <vt:lpstr>_Neo_1700_NICUMix</vt:lpstr>
      <vt:lpstr>_Neo_1700_OplHoev_1</vt:lpstr>
      <vt:lpstr>_Neo_1700_OplHoev_2</vt:lpstr>
      <vt:lpstr>_Neo_1700_OplHoev_3</vt:lpstr>
      <vt:lpstr>_Neo_1700_OplHoev_4</vt:lpstr>
      <vt:lpstr>_Neo_1700_OplHoev_5</vt:lpstr>
      <vt:lpstr>_Neo_1700_OplHoev_6</vt:lpstr>
      <vt:lpstr>_Neo_1700_OplHoev_7</vt:lpstr>
      <vt:lpstr>_Neo_1700_OplHoev_8</vt:lpstr>
      <vt:lpstr>_Neo_1700_OplHoev_9</vt:lpstr>
      <vt:lpstr>_Neo_1700_Oplossing_01</vt:lpstr>
      <vt:lpstr>_Neo_1700_Oplossing_02</vt:lpstr>
      <vt:lpstr>_Neo_1700_Oplossing_03</vt:lpstr>
      <vt:lpstr>_Neo_1700_Oplossing_04</vt:lpstr>
      <vt:lpstr>_Neo_1700_Oplossing_05</vt:lpstr>
      <vt:lpstr>_Neo_1700_Oplossing_06</vt:lpstr>
      <vt:lpstr>_Neo_1700_Oplossing_07</vt:lpstr>
      <vt:lpstr>_Neo_1700_Oplossing_08</vt:lpstr>
      <vt:lpstr>_Neo_1700_Oplossing_09</vt:lpstr>
      <vt:lpstr>_Neo_1700_Oplossing_10</vt:lpstr>
      <vt:lpstr>_Neo_1700_Oplossing_11</vt:lpstr>
      <vt:lpstr>_Neo_1700_Oplossing_12</vt:lpstr>
      <vt:lpstr>_Neo_1700_Parenteraal</vt:lpstr>
      <vt:lpstr>_Neo_1700_PercentageKeuze_0</vt:lpstr>
      <vt:lpstr>_Neo_1700_PercentageKeuze_1</vt:lpstr>
      <vt:lpstr>_Neo_1700_PercentageKeuze_2</vt:lpstr>
      <vt:lpstr>_Neo_1700_PercentageKeuze_3</vt:lpstr>
      <vt:lpstr>_Neo_1700_PercentageKeuze_4</vt:lpstr>
      <vt:lpstr>_Neo_1700_PercentageKeuze_5</vt:lpstr>
      <vt:lpstr>_Neo_1700_PercentageKeuze_6</vt:lpstr>
      <vt:lpstr>_Neo_1700_PercentageKeuze_7</vt:lpstr>
      <vt:lpstr>_Neo_1700_PercentageKeuze_8</vt:lpstr>
      <vt:lpstr>_Neo_1700_Primene</vt:lpstr>
      <vt:lpstr>_Neo_1700_SoluVit</vt:lpstr>
      <vt:lpstr>_Neo_1700_SSTB</vt:lpstr>
      <vt:lpstr>_Neo_1700_Stand_01</vt:lpstr>
      <vt:lpstr>_Neo_1700_Stand_02</vt:lpstr>
      <vt:lpstr>_Neo_1700_Stand_03</vt:lpstr>
      <vt:lpstr>_Neo_1700_Stand_04</vt:lpstr>
      <vt:lpstr>_Neo_1700_Stand_05</vt:lpstr>
      <vt:lpstr>_Neo_1700_Stand_06</vt:lpstr>
      <vt:lpstr>_Neo_1700_Stand_07</vt:lpstr>
      <vt:lpstr>_Neo_1700_Stand_08</vt:lpstr>
      <vt:lpstr>_Neo_1700_Stand_09</vt:lpstr>
      <vt:lpstr>_Neo_1700_Stand_10</vt:lpstr>
      <vt:lpstr>_Neo_1700_Stand_11</vt:lpstr>
      <vt:lpstr>_Neo_1700_Stand_12</vt:lpstr>
      <vt:lpstr>_Neo_1700_Sterkte_1</vt:lpstr>
      <vt:lpstr>_Neo_1700_Sterkte_2</vt:lpstr>
      <vt:lpstr>_Neo_1700_Sterkte_3</vt:lpstr>
      <vt:lpstr>_Neo_1700_Sterkte_4</vt:lpstr>
      <vt:lpstr>_Neo_1700_Sterkte_5</vt:lpstr>
      <vt:lpstr>_Neo_1700_Sterkte_6</vt:lpstr>
      <vt:lpstr>_Neo_1700_Sterkte_7</vt:lpstr>
      <vt:lpstr>_Neo_1700_Sterkte_8</vt:lpstr>
      <vt:lpstr>_Neo_1700_Sterkte_9</vt:lpstr>
      <vt:lpstr>_Neo_1700_Supervisor</vt:lpstr>
      <vt:lpstr>_Neo_1700_Toevoeging_0</vt:lpstr>
      <vt:lpstr>_Neo_1700_Toevoeging_1</vt:lpstr>
      <vt:lpstr>_Neo_1700_Toevoeging_2</vt:lpstr>
      <vt:lpstr>_Neo_1700_Toevoeging_3</vt:lpstr>
      <vt:lpstr>_Neo_1700_Toevoeging_4</vt:lpstr>
      <vt:lpstr>_Neo_1700_Toevoeging_5</vt:lpstr>
      <vt:lpstr>_Neo_1700_Toevoeging_6</vt:lpstr>
      <vt:lpstr>_Neo_1700_Toevoeging_7</vt:lpstr>
      <vt:lpstr>_Neo_1700_Toevoeging_8</vt:lpstr>
      <vt:lpstr>_Neo_1700_TPNCaCl2</vt:lpstr>
      <vt:lpstr>_Neo_1700_TPNNacl</vt:lpstr>
      <vt:lpstr>_Neo_1700_VochtExtra_01</vt:lpstr>
      <vt:lpstr>_Neo_1700_VochtExtra_02</vt:lpstr>
      <vt:lpstr>_Neo_1700_VochtExtra_03</vt:lpstr>
      <vt:lpstr>_Neo_1700_VochtExtra_04</vt:lpstr>
      <vt:lpstr>_Neo_1700_VochtExtra_05</vt:lpstr>
      <vt:lpstr>_Neo_1700_VochtExtra_06</vt:lpstr>
      <vt:lpstr>_Neo_1700_VochtExtra_07</vt:lpstr>
      <vt:lpstr>_Neo_1700_VochtExtra_08</vt:lpstr>
      <vt:lpstr>_Neo_1700_VochtExtra_09</vt:lpstr>
      <vt:lpstr>_Neo_1700_VochtExtra_10</vt:lpstr>
      <vt:lpstr>_Neo_1700_VochtExtra_11</vt:lpstr>
      <vt:lpstr>_Neo_1700_VochtExtra_12</vt:lpstr>
      <vt:lpstr>_Neo_1700_VochtExtra_13</vt:lpstr>
      <vt:lpstr>_Neo_1700_VochtExtra_14</vt:lpstr>
      <vt:lpstr>_Neo_1700_Voeding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_Neo_AfsprB_WondkweekTekst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_Neo_InfB_ArtLijn</vt:lpstr>
      <vt:lpstr>_Neo_InfB_Arts</vt:lpstr>
      <vt:lpstr>_Neo_InfB_DagKeuze</vt:lpstr>
      <vt:lpstr>_Neo_InfB_Fototherapie</vt:lpstr>
      <vt:lpstr>_Neo_InfB_Frequentie_1</vt:lpstr>
      <vt:lpstr>_Neo_InfB_Frequentie_2</vt:lpstr>
      <vt:lpstr>_Neo_InfB_GlucSterkte</vt:lpstr>
      <vt:lpstr>_Neo_InfB_Hoeveelheid_1</vt:lpstr>
      <vt:lpstr>_Neo_InfB_Hoeveelheid_2</vt:lpstr>
      <vt:lpstr>_Neo_InfB_IntakePerKg</vt:lpstr>
      <vt:lpstr>_Neo_InfB_IntraLipid</vt:lpstr>
      <vt:lpstr>_Neo_InfB_IntralipidSmof</vt:lpstr>
      <vt:lpstr>_Neo_InfB_KCl</vt:lpstr>
      <vt:lpstr>_Neo_InfB_Medicament_1</vt:lpstr>
      <vt:lpstr>_Neo_InfB_Medicament_2</vt:lpstr>
      <vt:lpstr>_Neo_InfB_Medicament_3</vt:lpstr>
      <vt:lpstr>_Neo_InfB_Medicament_4</vt:lpstr>
      <vt:lpstr>_Neo_InfB_Medicament_5</vt:lpstr>
      <vt:lpstr>_Neo_InfB_Medicament_6</vt:lpstr>
      <vt:lpstr>_Neo_InfB_Medicament_7</vt:lpstr>
      <vt:lpstr>_Neo_InfB_Medicament_8</vt:lpstr>
      <vt:lpstr>_Neo_InfB_Medicament_9</vt:lpstr>
      <vt:lpstr>_Neo_InfB_MedSterkte_1</vt:lpstr>
      <vt:lpstr>_Neo_InfB_MedSterkte_2</vt:lpstr>
      <vt:lpstr>_Neo_InfB_MedSterkte_3</vt:lpstr>
      <vt:lpstr>_Neo_InfB_MedSterkte_4</vt:lpstr>
      <vt:lpstr>_Neo_InfB_MedSterkte_5</vt:lpstr>
      <vt:lpstr>_Neo_InfB_MedSterkte_6</vt:lpstr>
      <vt:lpstr>_Neo_InfB_MedSterkte_7</vt:lpstr>
      <vt:lpstr>_Neo_InfB_MedSterkte_8</vt:lpstr>
      <vt:lpstr>_Neo_InfB_MedSterkte_9</vt:lpstr>
      <vt:lpstr>_Neo_InfB_MedTekst_1</vt:lpstr>
      <vt:lpstr>_Neo_InfB_MedTekst_2</vt:lpstr>
      <vt:lpstr>_Neo_InfB_MgCl2</vt:lpstr>
      <vt:lpstr>_Neo_InfB_NICUMix</vt:lpstr>
      <vt:lpstr>_Neo_InfB_OplHoev_1</vt:lpstr>
      <vt:lpstr>_Neo_InfB_OplHoev_2</vt:lpstr>
      <vt:lpstr>_Neo_InfB_OplHoev_3</vt:lpstr>
      <vt:lpstr>_Neo_InfB_OplHoev_4</vt:lpstr>
      <vt:lpstr>_Neo_InfB_OplHoev_5</vt:lpstr>
      <vt:lpstr>_Neo_InfB_OplHoev_6</vt:lpstr>
      <vt:lpstr>_Neo_InfB_OplHoev_7</vt:lpstr>
      <vt:lpstr>_Neo_InfB_OplHoev_8</vt:lpstr>
      <vt:lpstr>_Neo_InfB_OplHoev_9</vt:lpstr>
      <vt:lpstr>_Neo_InfB_Oplossing_01</vt:lpstr>
      <vt:lpstr>_Neo_InfB_Oplossing_02</vt:lpstr>
      <vt:lpstr>_Neo_InfB_Oplossing_03</vt:lpstr>
      <vt:lpstr>_Neo_InfB_Oplossing_04</vt:lpstr>
      <vt:lpstr>_Neo_InfB_Oplossing_05</vt:lpstr>
      <vt:lpstr>_Neo_InfB_Oplossing_06</vt:lpstr>
      <vt:lpstr>_Neo_InfB_Oplossing_07</vt:lpstr>
      <vt:lpstr>_Neo_InfB_Oplossing_08</vt:lpstr>
      <vt:lpstr>_Neo_InfB_Oplossing_09</vt:lpstr>
      <vt:lpstr>_Neo_InfB_Oplossing_10</vt:lpstr>
      <vt:lpstr>_Neo_InfB_Oplossing_11</vt:lpstr>
      <vt:lpstr>_Neo_InfB_Oplossing_12</vt:lpstr>
      <vt:lpstr>_Neo_InfB_Parenteraal</vt:lpstr>
      <vt:lpstr>_Neo_InfB_PercentageKeuze_0</vt:lpstr>
      <vt:lpstr>_Neo_InfB_PercentageKeuze_1</vt:lpstr>
      <vt:lpstr>_Neo_InfB_PercentageKeuze_2</vt:lpstr>
      <vt:lpstr>_Neo_InfB_PercentageKeuze_3</vt:lpstr>
      <vt:lpstr>_Neo_InfB_PercentageKeuze_4</vt:lpstr>
      <vt:lpstr>_Neo_InfB_PercentageKeuze_5</vt:lpstr>
      <vt:lpstr>_Neo_InfB_PercentageKeuze_6</vt:lpstr>
      <vt:lpstr>_Neo_InfB_PercentageKeuze_7</vt:lpstr>
      <vt:lpstr>_Neo_InfB_PercentageKeuze_8</vt:lpstr>
      <vt:lpstr>_Neo_InfB_Primene</vt:lpstr>
      <vt:lpstr>_Neo_InfB_SoluVit</vt:lpstr>
      <vt:lpstr>_Neo_InfB_SSTB</vt:lpstr>
      <vt:lpstr>_Neo_InfB_Stand_01</vt:lpstr>
      <vt:lpstr>_Neo_InfB_Stand_02</vt:lpstr>
      <vt:lpstr>_Neo_InfB_Stand_03</vt:lpstr>
      <vt:lpstr>_Neo_InfB_Stand_04</vt:lpstr>
      <vt:lpstr>_Neo_InfB_Stand_05</vt:lpstr>
      <vt:lpstr>_Neo_InfB_Stand_06</vt:lpstr>
      <vt:lpstr>_Neo_InfB_Stand_07</vt:lpstr>
      <vt:lpstr>_Neo_InfB_Stand_08</vt:lpstr>
      <vt:lpstr>_Neo_InfB_Stand_09</vt:lpstr>
      <vt:lpstr>_Neo_InfB_Stand_10</vt:lpstr>
      <vt:lpstr>_Neo_InfB_Stand_11</vt:lpstr>
      <vt:lpstr>_Neo_InfB_Stand_12</vt:lpstr>
      <vt:lpstr>_Neo_InfB_Sterkte_1</vt:lpstr>
      <vt:lpstr>_Neo_InfB_Sterkte_2</vt:lpstr>
      <vt:lpstr>_Neo_InfB_Sterkte_3</vt:lpstr>
      <vt:lpstr>_Neo_InfB_Sterkte_4</vt:lpstr>
      <vt:lpstr>_Neo_InfB_Sterkte_5</vt:lpstr>
      <vt:lpstr>_Neo_InfB_Sterkte_6</vt:lpstr>
      <vt:lpstr>_Neo_InfB_Sterkte_7</vt:lpstr>
      <vt:lpstr>_Neo_InfB_Sterkte_8</vt:lpstr>
      <vt:lpstr>_Neo_InfB_Sterkte_9</vt:lpstr>
      <vt:lpstr>_Neo_InfB_Supervisor</vt:lpstr>
      <vt:lpstr>_Neo_InfB_Toevoeging_0</vt:lpstr>
      <vt:lpstr>_Neo_InfB_Toevoeging_1</vt:lpstr>
      <vt:lpstr>_Neo_InfB_Toevoeging_2</vt:lpstr>
      <vt:lpstr>_Neo_InfB_Toevoeging_3</vt:lpstr>
      <vt:lpstr>_Neo_InfB_Toevoeging_4</vt:lpstr>
      <vt:lpstr>_Neo_InfB_Toevoeging_5</vt:lpstr>
      <vt:lpstr>_Neo_InfB_Toevoeging_6</vt:lpstr>
      <vt:lpstr>_Neo_InfB_Toevoeging_7</vt:lpstr>
      <vt:lpstr>_Neo_InfB_Toevoeging_8</vt:lpstr>
      <vt:lpstr>_Neo_InfB_TPNCaCl2</vt:lpstr>
      <vt:lpstr>_Neo_InfB_TPNNacl</vt:lpstr>
      <vt:lpstr>_Neo_InfB_VochtExtra_01</vt:lpstr>
      <vt:lpstr>_Neo_InfB_VochtExtra_02</vt:lpstr>
      <vt:lpstr>_Neo_InfB_VochtExtra_03</vt:lpstr>
      <vt:lpstr>_Neo_InfB_VochtExtra_04</vt:lpstr>
      <vt:lpstr>_Neo_InfB_VochtExtra_05</vt:lpstr>
      <vt:lpstr>_Neo_InfB_VochtExtra_06</vt:lpstr>
      <vt:lpstr>_Neo_InfB_VochtExtra_07</vt:lpstr>
      <vt:lpstr>_Neo_InfB_VochtExtra_08</vt:lpstr>
      <vt:lpstr>_Neo_InfB_VochtExtra_09</vt:lpstr>
      <vt:lpstr>_Neo_InfB_VochtExtra_10</vt:lpstr>
      <vt:lpstr>_Neo_InfB_VochtExtra_11</vt:lpstr>
      <vt:lpstr>_Neo_InfB_VochtExtra_12</vt:lpstr>
      <vt:lpstr>_Neo_InfB_VochtExtra_13</vt:lpstr>
      <vt:lpstr>_Neo_InfB_VochtExtra_14</vt:lpstr>
      <vt:lpstr>_Neo_InfB_Voeding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_Pat_Dagen</vt:lpstr>
      <vt:lpstr>_Pat_GebGew</vt:lpstr>
      <vt:lpstr>_Pat_Gewicht</vt:lpstr>
      <vt:lpstr>_Pat_Lengte</vt:lpstr>
      <vt:lpstr>_Pat_OpnDatum</vt:lpstr>
      <vt:lpstr>_Pat_Weken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_Ped_Ent_Speciale_01</vt:lpstr>
      <vt:lpstr>_Ped_Ent_Speciale_02</vt:lpstr>
      <vt:lpstr>_Ped_Ent_Speciale_03</vt:lpstr>
      <vt:lpstr>_Ped_Ent_Speciale_04</vt:lpstr>
      <vt:lpstr>_Ped_Ent_Speciale_05</vt:lpstr>
      <vt:lpstr>_Ped_Ent_Speciale_06</vt:lpstr>
      <vt:lpstr>_Ped_Ent_Speciale_07</vt:lpstr>
      <vt:lpstr>_Ped_Ent_Speciale_08</vt:lpstr>
      <vt:lpstr>_Ped_Ent_Speciale_09</vt:lpstr>
      <vt:lpstr>_Ped_Ent_Speciale_10</vt:lpstr>
      <vt:lpstr>_Ped_Ent_Speciale_11</vt:lpstr>
      <vt:lpstr>_Ped_Ent_Speciale_12</vt:lpstr>
      <vt:lpstr>_Ped_Ent_Vol_1</vt:lpstr>
      <vt:lpstr>_Ped_Ent_Vol_2</vt:lpstr>
      <vt:lpstr>_Ped_Ent_Vol_3</vt:lpstr>
      <vt:lpstr>_Ped_Ent_Vol_4</vt:lpstr>
      <vt:lpstr>_Ped_IVLijn_1</vt:lpstr>
      <vt:lpstr>_Ped_IVLijn_2</vt:lpstr>
      <vt:lpstr>_Ped_IVLijn_3</vt:lpstr>
      <vt:lpstr>_Ped_IVLijn_4</vt:lpstr>
      <vt:lpstr>_Ped_IVLijn_5</vt:lpstr>
      <vt:lpstr>_Ped_IVLijn_6</vt:lpstr>
      <vt:lpstr>_Ped_IVLijn_Opm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NeoGuiAcuut!Print_Area</vt:lpstr>
      <vt:lpstr>NeoPrtAfspr!Print_Area</vt:lpstr>
      <vt:lpstr>NeoPrtApoth!Print_Area</vt:lpstr>
      <vt:lpstr>NeoPrtMedDisc!Print_Area</vt:lpstr>
      <vt:lpstr>NeoPrtWerkbr!Print_Area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PedPrtTPN50!Print_Area</vt:lpstr>
      <vt:lpstr>PedPrtTPN7tot15!Print_Area</vt:lpstr>
      <vt:lpstr>PedTPN31tot50!Print_Area</vt:lpstr>
      <vt:lpstr>rngNeoAfsprBlns</vt:lpstr>
      <vt:lpstr>rngNeoAfsprData</vt:lpstr>
      <vt:lpstr>rngNeoLabData</vt:lpstr>
      <vt:lpstr>rngPedAfsprBlns</vt:lpstr>
      <vt:lpstr>rngPedAfsprData</vt:lpstr>
      <vt:lpstr>rngPedLabData</vt:lpstr>
      <vt:lpstr>SettingDataDir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tbl_Glob_Patient</vt:lpstr>
      <vt:lpstr>tbl_Neo_Beds</vt:lpstr>
      <vt:lpstr>tbl_Neo_Dose</vt:lpstr>
      <vt:lpstr>tbl_Neo_FaktorLijst</vt:lpstr>
      <vt:lpstr>tbl_Neo_IntralipidSmof</vt:lpstr>
      <vt:lpstr>tbl_Neo_LijstToevoegingenKV</vt:lpstr>
      <vt:lpstr>tbl_Neo_LijstToevoegingenMM</vt:lpstr>
      <vt:lpstr>tbl_Neo_LijstVoeding</vt:lpstr>
      <vt:lpstr>tbl_Neo_MedIV</vt:lpstr>
      <vt:lpstr>tbl_Neo_NutrBMFToev</vt:lpstr>
      <vt:lpstr>tbl_Neo_NutrBMFWaard</vt:lpstr>
      <vt:lpstr>tbl_Neo_NutrKunstToev</vt:lpstr>
      <vt:lpstr>tbl_Neo_NutrMMToev</vt:lpstr>
      <vt:lpstr>tbl_Neo_NutrToevWaard</vt:lpstr>
      <vt:lpstr>tbl_Neo_Opl</vt:lpstr>
      <vt:lpstr>tbl_Neo_OpzoektabelKV</vt:lpstr>
      <vt:lpstr>tbl_Neo_OpzoektabelMM</vt:lpstr>
      <vt:lpstr>tbl_Neo_OpzoektabelVoeding</vt:lpstr>
      <vt:lpstr>tbl_Neo_Pos</vt:lpstr>
      <vt:lpstr>tbl_Neo_ToevoegingenKVPrint</vt:lpstr>
      <vt:lpstr>tbl_Neo_ToevoegingenMMPrint</vt:lpstr>
      <vt:lpstr>tbl_Neo_TpnNICU</vt:lpstr>
      <vt:lpstr>tbl_Neo_Tube</vt:lpstr>
      <vt:lpstr>tbl_Ped_aEEG</vt:lpstr>
      <vt:lpstr>tbl_Ped_Beds</vt:lpstr>
      <vt:lpstr>tbl_Ped_DrainLokatie</vt:lpstr>
      <vt:lpstr>tbl_Ped_DrainModus</vt:lpstr>
      <vt:lpstr>tbl_Ped_DrainZuig</vt:lpstr>
      <vt:lpstr>tbl_Ped_Lijnen</vt:lpstr>
      <vt:lpstr>tbl_Ped_LiquorDrain</vt:lpstr>
      <vt:lpstr>tbl_Ped_NIBD</vt:lpstr>
      <vt:lpstr>tbl_Ped_Periode</vt:lpstr>
      <vt:lpstr>tbl_Ped_PMInstelling</vt:lpstr>
      <vt:lpstr>tbl_Ped_PMStandaard</vt:lpstr>
      <vt:lpstr>tbl_Ped_tpnB</vt:lpstr>
      <vt:lpstr>tbl_Ped_tpnC</vt:lpstr>
      <vt:lpstr>tbl_Ped_tpnD</vt:lpstr>
      <vt:lpstr>tbl_Ped_tpnE</vt:lpstr>
      <vt:lpstr>tbl_Ped_tpnNutriflex</vt:lpstr>
      <vt:lpstr>tbl_Ped_tpnSelected</vt:lpstr>
      <vt:lpstr>tbl_Ped_VertrekTijden</vt:lpstr>
      <vt:lpstr>tblBerMedContIV</vt:lpstr>
      <vt:lpstr>tblInfusen</vt:lpstr>
      <vt:lpstr>tblInfusenBer</vt:lpstr>
      <vt:lpstr>tblMedDiscEenh</vt:lpstr>
      <vt:lpstr>tblMedDiscOplVl</vt:lpstr>
      <vt:lpstr>tblMedDiscTijden</vt:lpstr>
      <vt:lpstr>tblMedDiscTijdenIndex</vt:lpstr>
      <vt:lpstr>tblMedDiscTijdenValues</vt:lpstr>
      <vt:lpstr>tblMedDiscToed</vt:lpstr>
      <vt:lpstr>tblMedicationContIV</vt:lpstr>
      <vt:lpstr>tblOmrekenCa</vt:lpstr>
      <vt:lpstr>tblOmrekenCl</vt:lpstr>
      <vt:lpstr>tblOmrekenFe</vt:lpstr>
      <vt:lpstr>tblOmrekenK</vt:lpstr>
      <vt:lpstr>tblOmrekenMg</vt:lpstr>
      <vt:lpstr>tblOmrekenNA</vt:lpstr>
      <vt:lpstr>tblOmrekenP</vt:lpstr>
      <vt:lpstr>tblOmrekenVitD</vt:lpstr>
      <vt:lpstr>tblOplossing</vt:lpstr>
      <vt:lpstr>tblOpzoekenMedicatieIV</vt:lpstr>
      <vt:lpstr>tblPacemakerModus</vt:lpstr>
      <vt:lpstr>tblPacemakerPositie</vt:lpstr>
      <vt:lpstr>tblPerOs</vt:lpstr>
      <vt:lpstr>tblPO_poederlijst</vt:lpstr>
      <vt:lpstr>tblPoeder</vt:lpstr>
      <vt:lpstr>tblSonde</vt:lpstr>
      <vt:lpstr>tblSSTGlucose</vt:lpstr>
      <vt:lpstr>tblTijden</vt:lpstr>
      <vt:lpstr>tblTPN</vt:lpstr>
      <vt:lpstr>tblVoedingBasislijst</vt:lpstr>
      <vt:lpstr>tblVoedingPO</vt:lpstr>
      <vt:lpstr>tblVoedingPoeder</vt:lpstr>
      <vt:lpstr>Var_AfspraakDatum</vt:lpstr>
      <vt:lpstr>Var_Glob_Versie</vt:lpstr>
      <vt:lpstr>Var_Neo_1700_ContIV_01</vt:lpstr>
      <vt:lpstr>Var_Neo_1700_ContIV_02</vt:lpstr>
      <vt:lpstr>Var_Neo_1700_ContIV_03</vt:lpstr>
      <vt:lpstr>Var_Neo_1700_ContIV_04</vt:lpstr>
      <vt:lpstr>Var_Neo_1700_ContIV_05</vt:lpstr>
      <vt:lpstr>Var_Neo_1700_ContIV_06</vt:lpstr>
      <vt:lpstr>Var_Neo_1700_ContIV_07</vt:lpstr>
      <vt:lpstr>Var_Neo_1700_ContIV_08</vt:lpstr>
      <vt:lpstr>Var_Neo_1700_ContIV_09</vt:lpstr>
      <vt:lpstr>Var_Neo_1700_ContIV_10</vt:lpstr>
      <vt:lpstr>Var_Neo_1700_ContIV_11</vt:lpstr>
      <vt:lpstr>Var_Neo_1700_ContIV_12</vt:lpstr>
      <vt:lpstr>Var_Neo_1700_ContIV_13</vt:lpstr>
      <vt:lpstr>Var_Neo_1700_ContIV_14</vt:lpstr>
      <vt:lpstr>Var_Neo_1700_ContIV_15</vt:lpstr>
      <vt:lpstr>Var_Neo_1700_ContIV_16</vt:lpstr>
      <vt:lpstr>Var_Neo_1700_ContIV_17</vt:lpstr>
      <vt:lpstr>Var_Neo_1700_ContIV_18</vt:lpstr>
      <vt:lpstr>Var_Neo_1700_ContIV_19</vt:lpstr>
      <vt:lpstr>Var_Neo_1700_ContIV_20</vt:lpstr>
      <vt:lpstr>Var_Neo_1700_ContIV_21</vt:lpstr>
      <vt:lpstr>Var_Neo_1700_ContIV_22</vt:lpstr>
      <vt:lpstr>Var_Neo_1700_ContIV_23</vt:lpstr>
      <vt:lpstr>Var_Neo_1700_ContIV_24</vt:lpstr>
      <vt:lpstr>Var_Neo_1700_ContIV_25</vt:lpstr>
      <vt:lpstr>Var_Neo_1700_ContIV_26</vt:lpstr>
      <vt:lpstr>Var_Neo_1700_ContIV_27</vt:lpstr>
      <vt:lpstr>Var_Neo_1700_Voeding_01</vt:lpstr>
      <vt:lpstr>Var_Neo_1700_Voeding_02</vt:lpstr>
      <vt:lpstr>Var_Neo_1700_Voeding_03</vt:lpstr>
      <vt:lpstr>Var_Neo_1700_Voeding_04</vt:lpstr>
      <vt:lpstr>Var_Neo_1700_Voeding_05</vt:lpstr>
      <vt:lpstr>Var_Neo_1700_Voeding_06</vt:lpstr>
      <vt:lpstr>Var_Neo_1700_Voeding_07</vt:lpstr>
      <vt:lpstr>Var_Neo_1700_Voeding_08</vt:lpstr>
      <vt:lpstr>Var_Neo_1700_Voeding_09</vt:lpstr>
      <vt:lpstr>Var_Neo_1700_Voeding_10</vt:lpstr>
      <vt:lpstr>Var_Neo_1700_Voeding_11</vt:lpstr>
      <vt:lpstr>Var_Neo_1700_Voeding_12</vt:lpstr>
      <vt:lpstr>Var_Neo_1700_Voeding_13</vt:lpstr>
      <vt:lpstr>Var_Neo_1700_Voeding_14</vt:lpstr>
      <vt:lpstr>Var_Neo_1700_Voeding_15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Var_Neo_Dag1700</vt:lpstr>
      <vt:lpstr>Var_Neo_GebDat1700</vt:lpstr>
      <vt:lpstr>Var_Neo_Gew1700</vt:lpstr>
      <vt:lpstr>Var_Neo_InfB_ArtLijn</vt:lpstr>
      <vt:lpstr>Var_Neo_InfB_Arts</vt:lpstr>
      <vt:lpstr>Var_Neo_InfB_ContIV_01</vt:lpstr>
      <vt:lpstr>Var_Neo_InfB_ContIV_02</vt:lpstr>
      <vt:lpstr>Var_Neo_InfB_ContIV_03</vt:lpstr>
      <vt:lpstr>Var_Neo_InfB_ContIV_04</vt:lpstr>
      <vt:lpstr>Var_Neo_InfB_ContIV_05</vt:lpstr>
      <vt:lpstr>Var_Neo_InfB_ContIV_06</vt:lpstr>
      <vt:lpstr>Var_Neo_InfB_ContIV_07</vt:lpstr>
      <vt:lpstr>Var_Neo_InfB_ContIV_08</vt:lpstr>
      <vt:lpstr>Var_Neo_InfB_ContIV_09</vt:lpstr>
      <vt:lpstr>Var_Neo_InfB_ContIV_10</vt:lpstr>
      <vt:lpstr>Var_Neo_InfB_ContIV_11</vt:lpstr>
      <vt:lpstr>Var_Neo_InfB_ContIV_12</vt:lpstr>
      <vt:lpstr>Var_Neo_InfB_ContIV_13</vt:lpstr>
      <vt:lpstr>Var_Neo_InfB_ContIV_14</vt:lpstr>
      <vt:lpstr>Var_Neo_InfB_ContIV_15</vt:lpstr>
      <vt:lpstr>Var_Neo_InfB_ContIV_16</vt:lpstr>
      <vt:lpstr>Var_Neo_InfB_ContIV_17</vt:lpstr>
      <vt:lpstr>Var_Neo_InfB_ContIV_18</vt:lpstr>
      <vt:lpstr>Var_Neo_InfB_ContIV_19</vt:lpstr>
      <vt:lpstr>Var_Neo_InfB_ContIV_20</vt:lpstr>
      <vt:lpstr>Var_Neo_InfB_ContIV_21</vt:lpstr>
      <vt:lpstr>Var_Neo_InfB_ContIV_22</vt:lpstr>
      <vt:lpstr>Var_Neo_InfB_ContIV_23</vt:lpstr>
      <vt:lpstr>Var_Neo_InfB_ContIV_24</vt:lpstr>
      <vt:lpstr>Var_Neo_InfB_ContIV_25</vt:lpstr>
      <vt:lpstr>Var_Neo_InfB_ContIV_26</vt:lpstr>
      <vt:lpstr>Var_Neo_InfB_ContIV_27</vt:lpstr>
      <vt:lpstr>Var_Neo_InfB_DagKeuze</vt:lpstr>
      <vt:lpstr>Var_Neo_InfB_Fototherapie</vt:lpstr>
      <vt:lpstr>Var_Neo_InfB_Frequentie_1</vt:lpstr>
      <vt:lpstr>Var_Neo_InfB_Frequentie_2</vt:lpstr>
      <vt:lpstr>Var_Neo_InfB_GlucSterkte</vt:lpstr>
      <vt:lpstr>Var_Neo_InfB_Hoeveelheid_1</vt:lpstr>
      <vt:lpstr>Var_Neo_InfB_Hoeveelheid_2</vt:lpstr>
      <vt:lpstr>Var_Neo_InfB_IntakePerKg</vt:lpstr>
      <vt:lpstr>Var_Neo_InfB_IntraLipid</vt:lpstr>
      <vt:lpstr>Var_Neo_InfB_IntralipidSmof</vt:lpstr>
      <vt:lpstr>Var_Neo_InfB_KCl</vt:lpstr>
      <vt:lpstr>Var_Neo_InfB_Medicament_1</vt:lpstr>
      <vt:lpstr>Var_Neo_InfB_Medicament_2</vt:lpstr>
      <vt:lpstr>Var_Neo_InfB_Medicament_3</vt:lpstr>
      <vt:lpstr>Var_Neo_InfB_Medicament_4</vt:lpstr>
      <vt:lpstr>Var_Neo_InfB_Medicament_5</vt:lpstr>
      <vt:lpstr>Var_Neo_InfB_Medicament_6</vt:lpstr>
      <vt:lpstr>Var_Neo_InfB_Medicament_7</vt:lpstr>
      <vt:lpstr>Var_Neo_InfB_Medicament_8</vt:lpstr>
      <vt:lpstr>Var_Neo_InfB_Medicament_9</vt:lpstr>
      <vt:lpstr>Var_Neo_InfB_MedSterkte_1</vt:lpstr>
      <vt:lpstr>Var_Neo_InfB_MedSterkte_2</vt:lpstr>
      <vt:lpstr>Var_Neo_InfB_MedSterkte_3</vt:lpstr>
      <vt:lpstr>Var_Neo_InfB_MedSterkte_4</vt:lpstr>
      <vt:lpstr>Var_Neo_InfB_MedSterkte_5</vt:lpstr>
      <vt:lpstr>Var_Neo_InfB_MedSterkte_6</vt:lpstr>
      <vt:lpstr>Var_Neo_InfB_MedSterkte_7</vt:lpstr>
      <vt:lpstr>Var_Neo_InfB_MedSterkte_8</vt:lpstr>
      <vt:lpstr>Var_Neo_InfB_MedSterkte_9</vt:lpstr>
      <vt:lpstr>Var_Neo_InfB_MedTekst_1</vt:lpstr>
      <vt:lpstr>Var_Neo_InfB_MedTekst_2</vt:lpstr>
      <vt:lpstr>Var_Neo_InfB_MgCl2</vt:lpstr>
      <vt:lpstr>Var_Neo_InfB_NICUMix</vt:lpstr>
      <vt:lpstr>Var_Neo_InfB_OplHoev_1</vt:lpstr>
      <vt:lpstr>Var_Neo_InfB_OplHoev_2</vt:lpstr>
      <vt:lpstr>Var_Neo_InfB_OplHoev_3</vt:lpstr>
      <vt:lpstr>Var_Neo_InfB_OplHoev_4</vt:lpstr>
      <vt:lpstr>Var_Neo_InfB_OplHoev_5</vt:lpstr>
      <vt:lpstr>Var_Neo_InfB_OplHoev_6</vt:lpstr>
      <vt:lpstr>Var_Neo_InfB_OplHoev_7</vt:lpstr>
      <vt:lpstr>Var_Neo_InfB_OplHoev_8</vt:lpstr>
      <vt:lpstr>Var_Neo_InfB_OplHoev_9</vt:lpstr>
      <vt:lpstr>Var_Neo_InfB_Oplossing_01</vt:lpstr>
      <vt:lpstr>Var_Neo_InfB_Oplossing_02</vt:lpstr>
      <vt:lpstr>Var_Neo_InfB_Oplossing_03</vt:lpstr>
      <vt:lpstr>Var_Neo_InfB_Oplossing_04</vt:lpstr>
      <vt:lpstr>Var_Neo_InfB_Oplossing_05</vt:lpstr>
      <vt:lpstr>Var_Neo_InfB_Oplossing_06</vt:lpstr>
      <vt:lpstr>Var_Neo_InfB_Oplossing_07</vt:lpstr>
      <vt:lpstr>Var_Neo_InfB_Oplossing_08</vt:lpstr>
      <vt:lpstr>Var_Neo_InfB_Oplossing_09</vt:lpstr>
      <vt:lpstr>Var_Neo_InfB_Oplossing_10</vt:lpstr>
      <vt:lpstr>Var_Neo_InfB_Oplossing_11</vt:lpstr>
      <vt:lpstr>Var_Neo_InfB_Oplossing_12</vt:lpstr>
      <vt:lpstr>Var_Neo_InfB_Parenteraal</vt:lpstr>
      <vt:lpstr>Var_Neo_InfB_PercentageKeuze_0</vt:lpstr>
      <vt:lpstr>Var_Neo_InfB_PercentageKeuze_1</vt:lpstr>
      <vt:lpstr>Var_Neo_InfB_PercentageKeuze_2</vt:lpstr>
      <vt:lpstr>Var_Neo_InfB_PercentageKeuze_3</vt:lpstr>
      <vt:lpstr>Var_Neo_InfB_PercentageKeuze_4</vt:lpstr>
      <vt:lpstr>Var_Neo_InfB_PercentageKeuze_5</vt:lpstr>
      <vt:lpstr>Var_Neo_InfB_PercentageKeuze_6</vt:lpstr>
      <vt:lpstr>Var_Neo_InfB_PercentageKeuze_7</vt:lpstr>
      <vt:lpstr>Var_Neo_InfB_PercentageKeuze_8</vt:lpstr>
      <vt:lpstr>Var_Neo_InfB_Primene</vt:lpstr>
      <vt:lpstr>Var_Neo_InfB_SoluVit</vt:lpstr>
      <vt:lpstr>Var_Neo_InfB_SSTB</vt:lpstr>
      <vt:lpstr>Var_Neo_InfB_Stand_01</vt:lpstr>
      <vt:lpstr>Var_Neo_InfB_Stand_02</vt:lpstr>
      <vt:lpstr>Var_Neo_InfB_Stand_03</vt:lpstr>
      <vt:lpstr>Var_Neo_InfB_Stand_04</vt:lpstr>
      <vt:lpstr>Var_Neo_InfB_Stand_05</vt:lpstr>
      <vt:lpstr>Var_Neo_InfB_Stand_06</vt:lpstr>
      <vt:lpstr>Var_Neo_InfB_Stand_07</vt:lpstr>
      <vt:lpstr>Var_Neo_InfB_Stand_08</vt:lpstr>
      <vt:lpstr>Var_Neo_InfB_Stand_09</vt:lpstr>
      <vt:lpstr>Var_Neo_InfB_Stand_10</vt:lpstr>
      <vt:lpstr>Var_Neo_InfB_Stand_11</vt:lpstr>
      <vt:lpstr>Var_Neo_InfB_Stand_12</vt:lpstr>
      <vt:lpstr>Var_Neo_InfB_Sterkte_1</vt:lpstr>
      <vt:lpstr>Var_Neo_InfB_Sterkte_2</vt:lpstr>
      <vt:lpstr>Var_Neo_InfB_Sterkte_3</vt:lpstr>
      <vt:lpstr>Var_Neo_InfB_Sterkte_4</vt:lpstr>
      <vt:lpstr>Var_Neo_InfB_Sterkte_5</vt:lpstr>
      <vt:lpstr>Var_Neo_InfB_Sterkte_6</vt:lpstr>
      <vt:lpstr>Var_Neo_InfB_Sterkte_7</vt:lpstr>
      <vt:lpstr>Var_Neo_InfB_Sterkte_8</vt:lpstr>
      <vt:lpstr>Var_Neo_InfB_Sterkte_9</vt:lpstr>
      <vt:lpstr>Var_Neo_InfB_Supervisor</vt:lpstr>
      <vt:lpstr>Var_Neo_InfB_Toevoeging_0</vt:lpstr>
      <vt:lpstr>Var_Neo_InfB_Toevoeging_1</vt:lpstr>
      <vt:lpstr>Var_Neo_InfB_Toevoeging_2</vt:lpstr>
      <vt:lpstr>Var_Neo_InfB_Toevoeging_3</vt:lpstr>
      <vt:lpstr>Var_Neo_InfB_Toevoeging_4</vt:lpstr>
      <vt:lpstr>Var_Neo_InfB_Toevoeging_5</vt:lpstr>
      <vt:lpstr>Var_Neo_InfB_Toevoeging_6</vt:lpstr>
      <vt:lpstr>Var_Neo_InfB_Toevoeging_7</vt:lpstr>
      <vt:lpstr>Var_Neo_InfB_Toevoeging_8</vt:lpstr>
      <vt:lpstr>Var_Neo_InfB_TPNCaCl2</vt:lpstr>
      <vt:lpstr>Var_Neo_InfB_TPNNacl</vt:lpstr>
      <vt:lpstr>Var_Neo_InfB_VochtExtra_01</vt:lpstr>
      <vt:lpstr>Var_Neo_InfB_VochtExtra_02</vt:lpstr>
      <vt:lpstr>Var_Neo_InfB_VochtExtra_03</vt:lpstr>
      <vt:lpstr>Var_Neo_InfB_VochtExtra_04</vt:lpstr>
      <vt:lpstr>Var_Neo_InfB_VochtExtra_05</vt:lpstr>
      <vt:lpstr>Var_Neo_InfB_VochtExtra_06</vt:lpstr>
      <vt:lpstr>Var_Neo_InfB_VochtExtra_07</vt:lpstr>
      <vt:lpstr>Var_Neo_InfB_VochtExtra_08</vt:lpstr>
      <vt:lpstr>Var_Neo_InfB_VochtExtra_09</vt:lpstr>
      <vt:lpstr>Var_Neo_InfB_VochtExtra_10</vt:lpstr>
      <vt:lpstr>Var_Neo_InfB_VochtExtra_11</vt:lpstr>
      <vt:lpstr>Var_Neo_InfB_VochtExtra_12</vt:lpstr>
      <vt:lpstr>Var_Neo_InfB_VochtExtra_13</vt:lpstr>
      <vt:lpstr>Var_Neo_InfB_VochtExtra_14</vt:lpstr>
      <vt:lpstr>Var_Neo_InfB_Voeding</vt:lpstr>
      <vt:lpstr>Var_Neo_InfB_Voeding_01</vt:lpstr>
      <vt:lpstr>Var_Neo_InfB_Voeding_02</vt:lpstr>
      <vt:lpstr>Var_Neo_InfB_Voeding_03</vt:lpstr>
      <vt:lpstr>Var_Neo_InfB_Voeding_04</vt:lpstr>
      <vt:lpstr>Var_Neo_InfB_Voeding_05</vt:lpstr>
      <vt:lpstr>Var_Neo_InfB_Voeding_06</vt:lpstr>
      <vt:lpstr>Var_Neo_InfB_Voeding_07</vt:lpstr>
      <vt:lpstr>Var_Neo_InfB_Voeding_08</vt:lpstr>
      <vt:lpstr>Var_Neo_InfB_Voeding_09</vt:lpstr>
      <vt:lpstr>Var_Neo_InfB_Voeding_10</vt:lpstr>
      <vt:lpstr>Var_Neo_InfB_Voeding_11</vt:lpstr>
      <vt:lpstr>Var_Neo_InfB_Voeding_12</vt:lpstr>
      <vt:lpstr>Var_Neo_InfB_Voeding_13</vt:lpstr>
      <vt:lpstr>Var_Neo_InfB_Voeding_14</vt:lpstr>
      <vt:lpstr>Var_Neo_InfB_Voeding_15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Var_Neo_Percentage1700_0</vt:lpstr>
      <vt:lpstr>Var_Neo_Percentage1700_1</vt:lpstr>
      <vt:lpstr>Var_Neo_Percentage1700_2</vt:lpstr>
      <vt:lpstr>Var_Neo_Percentage1700_3</vt:lpstr>
      <vt:lpstr>Var_Neo_Percentage1700_4</vt:lpstr>
      <vt:lpstr>Var_Neo_Percentage1700_5</vt:lpstr>
      <vt:lpstr>Var_Neo_Percentage1700_6</vt:lpstr>
      <vt:lpstr>Var_Neo_Percentage1700_7</vt:lpstr>
      <vt:lpstr>Var_Neo_Percentage1700_8</vt:lpstr>
      <vt:lpstr>Var_Neo_WerkbriefActueelIntravasaleToegangBreuk</vt:lpstr>
      <vt:lpstr>Var_Neo_WerkbriefActueelIntravasaleToegangGeheel</vt:lpstr>
      <vt:lpstr>Var_Neo_WerkbriefActueelIntravasaleToegangStand</vt:lpstr>
      <vt:lpstr>Var_Neo_WerkbriefActueelIntravasaleToegangTekst</vt:lpstr>
      <vt:lpstr>Var_Neo_WerkbriefActueelTPNCaClBreuk</vt:lpstr>
      <vt:lpstr>Var_Neo_WerkbriefActueelTPNCaClGeheel</vt:lpstr>
      <vt:lpstr>Var_Neo_WerkbriefActueelTPNCaClTekst</vt:lpstr>
      <vt:lpstr>Var_Neo_WerkbriefActueelTPNGlucBreuk</vt:lpstr>
      <vt:lpstr>Var_Neo_WerkbriefActueelTPNGlucGeheel</vt:lpstr>
      <vt:lpstr>Var_Neo_WerkbriefActueelTPNGlucTekst</vt:lpstr>
      <vt:lpstr>Var_Neo_WerkbriefActueelTPNKacetaatBreuk</vt:lpstr>
      <vt:lpstr>Var_Neo_WerkbriefActueelTPNKacetaatGeheel</vt:lpstr>
      <vt:lpstr>Var_Neo_WerkbriefActueelTPNKacetaatTekst</vt:lpstr>
      <vt:lpstr>Var_Neo_WerkbriefActueelTPNMgClBreuk</vt:lpstr>
      <vt:lpstr>Var_Neo_WerkbriefActueelTPNMgClGeheel</vt:lpstr>
      <vt:lpstr>Var_Neo_WerkbriefActueelTPNMgClTekst</vt:lpstr>
      <vt:lpstr>Var_Neo_WerkbriefActueelTPNNaClBreuk</vt:lpstr>
      <vt:lpstr>Var_Neo_WerkbriefActueelTPNNaClGeheel</vt:lpstr>
      <vt:lpstr>Var_Neo_WerkbriefActueelTPNNaCLTekst</vt:lpstr>
      <vt:lpstr>Var_Neo_WerkbriefActueelTPNNICUmixBreuk</vt:lpstr>
      <vt:lpstr>Var_Neo_WerkbriefActueelTPNNICUmixGeheel</vt:lpstr>
      <vt:lpstr>Var_Neo_WerkbriefActueelTPNNICUmixTekst</vt:lpstr>
      <vt:lpstr>Var_Neo_WerkbriefActueelTPNPrimeneBreuk</vt:lpstr>
      <vt:lpstr>Var_Neo_WerkbriefActueelTPNPrimeneGeheel</vt:lpstr>
      <vt:lpstr>Var_Neo_WerkbriefActueelTPNPrimeneTekst</vt:lpstr>
      <vt:lpstr>Var_Neo_WerkbriefActueelTPNSamBBreuk</vt:lpstr>
      <vt:lpstr>Var_Neo_WerkbriefActueelTPNSamBGeheel</vt:lpstr>
      <vt:lpstr>Var_Neo_WerkbriefActueelTPNSamBTekst</vt:lpstr>
      <vt:lpstr>Var_Neo_WerkbriefActueelTPNSoluvitBreuk</vt:lpstr>
      <vt:lpstr>Var_Neo_WerkbriefActueelTPNSoluvitGeheel</vt:lpstr>
      <vt:lpstr>Var_Neo_WerkbriefActueelTPNSoluvitTekst</vt:lpstr>
      <vt:lpstr>Var_Neo_WerkbriefActueelTPNStand</vt:lpstr>
      <vt:lpstr>Var_Neo_WerkbriefActueelTPNTotaalBreuk</vt:lpstr>
      <vt:lpstr>Var_Neo_WerkbriefActueelTPNTotaalGeheel</vt:lpstr>
      <vt:lpstr>Var_Neo_WerkbriefIntravasaleToegangBreuk</vt:lpstr>
      <vt:lpstr>Var_Neo_WerkbriefIntravasaleToegangGeheel</vt:lpstr>
      <vt:lpstr>Var_Neo_WerkbriefIntravasaleToegangStand</vt:lpstr>
      <vt:lpstr>Var_Neo_WerkbriefIntravasaleToegangTekst</vt:lpstr>
      <vt:lpstr>Var_Neo_WerkbriefTPNCaClBreuk</vt:lpstr>
      <vt:lpstr>Var_Neo_WerkbriefTPNCaClGeheel</vt:lpstr>
      <vt:lpstr>Var_Neo_WerkbriefTPNCaClTekst</vt:lpstr>
      <vt:lpstr>Var_Neo_WerkbriefTPNGlucBreuk</vt:lpstr>
      <vt:lpstr>Var_Neo_WerkbriefTPNGlucGeheel</vt:lpstr>
      <vt:lpstr>Var_Neo_WerkbriefTPNGlucTekst</vt:lpstr>
      <vt:lpstr>Var_Neo_WerkbriefTPNKacetaatBreuk</vt:lpstr>
      <vt:lpstr>Var_Neo_WerkbriefTPNKacetaatGeheel</vt:lpstr>
      <vt:lpstr>Var_Neo_WerkbriefTPNKacetaatTekst</vt:lpstr>
      <vt:lpstr>Var_Neo_WerkbriefTPNMgClBreuk</vt:lpstr>
      <vt:lpstr>Var_Neo_WerkbriefTPNMgClGeheel</vt:lpstr>
      <vt:lpstr>Var_Neo_WerkbriefTPNMgClTekst</vt:lpstr>
      <vt:lpstr>Var_Neo_WerkbriefTPNNaClBreuk</vt:lpstr>
      <vt:lpstr>Var_Neo_WerkbriefTPNNaClGeheel</vt:lpstr>
      <vt:lpstr>Var_Neo_WerkbriefTPNNaCLTekst</vt:lpstr>
      <vt:lpstr>Var_Neo_WerkbriefTPNNICUmixBreuk</vt:lpstr>
      <vt:lpstr>Var_Neo_WerkbriefTPNNICUmixGeheel</vt:lpstr>
      <vt:lpstr>Var_Neo_WerkbriefTPNNICUmixTekst</vt:lpstr>
      <vt:lpstr>Var_Neo_WerkbriefTPNPrimeneBreuk</vt:lpstr>
      <vt:lpstr>Var_Neo_WerkbriefTPNPrimeneGeheel</vt:lpstr>
      <vt:lpstr>Var_Neo_WerkbriefTPNPrimeneTekst</vt:lpstr>
      <vt:lpstr>Var_Neo_WerkbriefTPNSamBBreuk</vt:lpstr>
      <vt:lpstr>Var_Neo_WerkbriefTPNSamBGeheel</vt:lpstr>
      <vt:lpstr>Var_Neo_WerkbriefTPNSamBTekst</vt:lpstr>
      <vt:lpstr>Var_Neo_WerkbriefTPNSoluvitBreuk</vt:lpstr>
      <vt:lpstr>Var_Neo_WerkbriefTPNSoluvitGeheel</vt:lpstr>
      <vt:lpstr>Var_Neo_WerkbriefTPNSoluvitTekst</vt:lpstr>
      <vt:lpstr>Var_Neo_WerkbriefTPNStand</vt:lpstr>
      <vt:lpstr>Var_Neo_WerkbriefTPNTotaalBreuk</vt:lpstr>
      <vt:lpstr>Var_Neo_WerkbriefTPNTotaalGeheel</vt:lpstr>
      <vt:lpstr>Var_Pat_OpnameDat</vt:lpstr>
      <vt:lpstr>Var_Ped_AfsprControles</vt:lpstr>
      <vt:lpstr>Var_Ped_AfsprInstellingen</vt:lpstr>
      <vt:lpstr>Var_Ped_AfsprOnderzoeken</vt:lpstr>
      <vt:lpstr>Var_Ped_AfsprOverig</vt:lpstr>
      <vt:lpstr>Var_Ped_TotVocht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2016-04-21T10:04:09Z</cp:lastPrinted>
  <dcterms:created xsi:type="dcterms:W3CDTF">2000-03-04T00:29:05Z</dcterms:created>
  <dcterms:modified xsi:type="dcterms:W3CDTF">2017-01-13T10:30:03Z</dcterms:modified>
</cp:coreProperties>
</file>