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B2" i="14" l="1"/>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9" i="32"/>
  <c r="D12" i="32"/>
  <c r="F2" i="15"/>
  <c r="F3" i="15"/>
  <c r="C4" i="70" s="1"/>
  <c r="D29" i="9"/>
  <c r="C63" i="70" s="1"/>
  <c r="E33" i="32"/>
  <c r="E20" i="32"/>
  <c r="E19"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E11" i="32" l="1"/>
  <c r="E31" i="32"/>
  <c r="E30" i="32"/>
  <c r="D11" i="32"/>
  <c r="E27" i="32"/>
  <c r="D10" i="32"/>
  <c r="C5" i="32"/>
  <c r="C23" i="32" s="1"/>
  <c r="D9" i="2"/>
  <c r="M17" i="25"/>
  <c r="K33" i="25"/>
  <c r="C10" i="25"/>
  <c r="C6" i="25"/>
  <c r="C8" i="25"/>
  <c r="G23" i="2"/>
  <c r="G98" i="15" s="1"/>
  <c r="D8" i="2"/>
  <c r="B3" i="10"/>
  <c r="H8" i="9"/>
  <c r="N21" i="25"/>
  <c r="M35" i="25"/>
  <c r="D2" i="58"/>
  <c r="H21" i="25"/>
  <c r="H33" i="25"/>
  <c r="E119" i="58"/>
  <c r="D119" i="58"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<sst xmlns="http://schemas.openxmlformats.org/spreadsheetml/2006/main" count="28232" uniqueCount="5097">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</sst>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amily val="2"/>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amily val="2"/>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amily val="2"/>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68181264"/>
        <c:axId val="168181824"/>
      </c:scatterChart>
      <c:valAx>
        <c:axId val="16818126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8181824"/>
        <c:crosses val="autoZero"/>
        <c:crossBetween val="midCat"/>
        <c:majorUnit val="12"/>
        <c:minorUnit val="12"/>
      </c:valAx>
      <c:valAx>
        <c:axId val="16818182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818126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69732560"/>
        <c:axId val="169733120"/>
      </c:scatterChart>
      <c:valAx>
        <c:axId val="169732560"/>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9733120"/>
        <c:crosses val="autoZero"/>
        <c:crossBetween val="midCat"/>
        <c:majorUnit val="1"/>
        <c:minorUnit val="0.5"/>
      </c:valAx>
      <c:valAx>
        <c:axId val="169733120"/>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9732560"/>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0"/>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f ca="1">TRUNC((AfspraakDatum-GebDatum)/365,0)*12+TRUNC(((AfspraakDatum-GebDatum)-365*TRUNC((AfspraakDatum-GebDatum)/365,0))/30,0)</f>
        <v>42</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A21" sqref="A2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str">
        <f ca="1">"Maat: "&amp;VLOOKUP(C5,L2:N20,3)&amp;", Lengte: "&amp;IF(C5&gt;1,ROUND((C5/2+15)/2,0)*2,IF(C5=0,12,15))&amp;" cm"&amp;" nasaal, "&amp;ROUND((C5/2+12)/2,0)*2&amp;" cm oraal"</f>
        <v>Maat: 5, Lengte: 16 cm nasaal, 14 cm oraal</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str">
        <f ca="1">IF(OR(ROUND(0.01*(E5),2)&gt;1,C5&gt;=18),"1 mg iv",ROUND(0.01*(E5),2)&amp;" mg iv")</f>
        <v>0.1 mg iv</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str">
        <f ca="1">IF(C5=0,"alprostadil (Prostin)","")</f>
        <v/>
      </c>
      <c r="D23" s="268" t="str">
        <f ca="1">IF(C5=0,"0,5 mg in 50 ml FZ","")</f>
        <v/>
      </c>
      <c r="E23" s="269" t="str">
        <f ca="1">IF(C5=0,"1 ml/uur = "&amp;ROUND(1000*(0.5/50)*24/(E5)/1.44,0)&amp;" nanog/kg/min iv","")</f>
        <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str">
        <f ca="1">"AMV "&amp;ROUND(E5*8*VLOOKUP(C5,L2:M20,2)/1000,1)&amp;" L/min"</f>
        <v>AMV 2 L/min</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str">
        <f ca="1">"frequentie "&amp;VLOOKUP(C5,L2:M20,2)&amp;"/min"</f>
        <v>frequentie 25/min</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H3lykI3kY4vR4LZBlRDN2gvgUN71TlRE7UD4r/Lwu1Ctmr+BCRgmTkVAiVqlWNy/MN3fCFbvUEpjb4yiBupJEg==" saltValue="gHF1BWSwCabXZvRuz27tq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5" t="e">
        <f>#REF!</f>
        <v>#REF!</v>
      </c>
      <c r="G2" s="375"/>
      <c r="H2" s="88" t="s">
        <v>2745</v>
      </c>
      <c r="I2" s="58" t="str">
        <f>Gewicht/10&amp;" kg"</f>
        <v>10 kg</v>
      </c>
      <c r="J2" s="57"/>
      <c r="L2" s="104"/>
    </row>
    <row r="3" spans="1:19" ht="12.65" customHeight="1" x14ac:dyDescent="0.35">
      <c r="B3" s="86"/>
      <c r="C3" s="87" t="s">
        <v>2113</v>
      </c>
      <c r="D3" s="59">
        <f ca="1">AfspraakDatum-OpnDatum+1</f>
        <v>827</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2">
        <f>ber_Opm!C2</f>
        <v>0</v>
      </c>
      <c r="E18" s="383"/>
      <c r="F18" s="383"/>
      <c r="G18" s="383"/>
      <c r="H18" s="383"/>
      <c r="I18" s="383"/>
      <c r="J18" s="383"/>
      <c r="K18" s="61"/>
      <c r="L18" s="104"/>
    </row>
    <row r="19" spans="1:12" ht="12.65" customHeight="1" x14ac:dyDescent="0.35">
      <c r="B19" s="86"/>
      <c r="C19" s="88"/>
      <c r="D19" s="383"/>
      <c r="E19" s="383"/>
      <c r="F19" s="383"/>
      <c r="G19" s="383"/>
      <c r="H19" s="383"/>
      <c r="I19" s="383"/>
      <c r="J19" s="383"/>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8">
        <f>ber_Opm!C15</f>
        <v>0</v>
      </c>
      <c r="E37" s="379"/>
      <c r="F37" s="379"/>
      <c r="G37" s="379"/>
      <c r="H37" s="379"/>
      <c r="I37" s="379"/>
      <c r="J37" s="379"/>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4"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5"/>
      <c r="F40" s="385"/>
      <c r="G40" s="385"/>
      <c r="H40" s="385"/>
      <c r="I40" s="385"/>
      <c r="J40" s="385"/>
      <c r="L40" s="104"/>
    </row>
    <row r="41" spans="1:12" ht="12.65" customHeight="1" x14ac:dyDescent="0.35">
      <c r="B41" s="88"/>
      <c r="C41" s="88" t="s">
        <v>5066</v>
      </c>
      <c r="D41" s="37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77"/>
      <c r="F41" s="377"/>
      <c r="G41" s="377"/>
      <c r="H41" s="377"/>
      <c r="I41" s="377"/>
      <c r="J41" s="377"/>
      <c r="L41" s="104"/>
    </row>
    <row r="42" spans="1:12" ht="12.65" customHeight="1" x14ac:dyDescent="0.35">
      <c r="B42" s="88"/>
      <c r="C42" s="88" t="s">
        <v>5067</v>
      </c>
      <c r="D42" s="37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6"/>
      <c r="F42" s="386"/>
      <c r="G42" s="386"/>
      <c r="H42" s="386"/>
      <c r="I42" s="386"/>
      <c r="J42" s="386"/>
      <c r="L42" s="104"/>
    </row>
    <row r="43" spans="1:12" ht="12.65" customHeight="1" x14ac:dyDescent="0.35">
      <c r="B43" s="88"/>
      <c r="C43" s="88" t="s">
        <v>1557</v>
      </c>
      <c r="D43" s="37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6"/>
      <c r="F43" s="386"/>
      <c r="G43" s="386"/>
      <c r="H43" s="386"/>
      <c r="I43" s="386"/>
      <c r="J43" s="386"/>
      <c r="L43" s="104"/>
    </row>
    <row r="44" spans="1:12" ht="12.65" customHeight="1" x14ac:dyDescent="0.35">
      <c r="B44" s="88"/>
      <c r="C44" s="93" t="s">
        <v>130</v>
      </c>
      <c r="D44" s="37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7"/>
      <c r="F44" s="387"/>
      <c r="G44" s="387"/>
      <c r="H44" s="387"/>
      <c r="I44" s="387"/>
      <c r="J44" s="387"/>
      <c r="L44" s="104"/>
    </row>
    <row r="45" spans="1:12" ht="12.65" customHeight="1" x14ac:dyDescent="0.35">
      <c r="B45" s="88"/>
      <c r="C45" s="93" t="s">
        <v>2864</v>
      </c>
      <c r="D45" s="370">
        <f>ber_Opm!C10</f>
        <v>0</v>
      </c>
      <c r="E45" s="371"/>
      <c r="F45" s="371"/>
      <c r="G45" s="371"/>
      <c r="H45" s="371"/>
      <c r="I45" s="371"/>
      <c r="J45" s="371"/>
      <c r="L45" s="104"/>
    </row>
    <row r="46" spans="1:12" ht="12.65" customHeight="1" x14ac:dyDescent="0.35">
      <c r="A46" s="66"/>
      <c r="B46" s="90"/>
      <c r="C46" s="92"/>
      <c r="D46" s="372"/>
      <c r="E46" s="372"/>
      <c r="F46" s="372"/>
      <c r="G46" s="372"/>
      <c r="H46" s="372"/>
      <c r="I46" s="372"/>
      <c r="J46" s="372"/>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L54" s="104"/>
    </row>
    <row r="55" spans="2:12" ht="12.65" customHeight="1" x14ac:dyDescent="0.35">
      <c r="C55" s="374"/>
      <c r="D55" s="374"/>
      <c r="E55" s="374"/>
      <c r="F55" s="374"/>
      <c r="G55" s="374"/>
      <c r="H55" s="374"/>
      <c r="I55" s="374"/>
      <c r="J55" s="374"/>
      <c r="L55" s="104"/>
    </row>
    <row r="56" spans="2:12" ht="12.65" customHeight="1" x14ac:dyDescent="0.35">
      <c r="B56" s="61" t="s">
        <v>836</v>
      </c>
      <c r="C56" s="380">
        <f>ber_Opm!C11</f>
        <v>0</v>
      </c>
      <c r="D56" s="380"/>
      <c r="E56" s="380"/>
      <c r="F56" s="380"/>
      <c r="G56" s="380"/>
      <c r="H56" s="380"/>
      <c r="I56" s="380"/>
      <c r="J56" s="380"/>
      <c r="L56" s="104"/>
    </row>
    <row r="57" spans="2:12" ht="7" customHeight="1" x14ac:dyDescent="0.35">
      <c r="C57" s="381"/>
      <c r="D57" s="381"/>
      <c r="E57" s="381"/>
      <c r="F57" s="381"/>
      <c r="G57" s="381"/>
      <c r="H57" s="381"/>
      <c r="I57" s="381"/>
      <c r="J57" s="381"/>
      <c r="L57" s="104"/>
    </row>
    <row r="58" spans="2:12" ht="7" customHeight="1" x14ac:dyDescent="0.35">
      <c r="C58" s="381"/>
      <c r="D58" s="381"/>
      <c r="E58" s="381"/>
      <c r="F58" s="381"/>
      <c r="G58" s="381"/>
      <c r="H58" s="381"/>
      <c r="I58" s="381"/>
      <c r="J58" s="381"/>
      <c r="L58" s="104"/>
    </row>
    <row r="59" spans="2:12" ht="7" customHeight="1" x14ac:dyDescent="0.35">
      <c r="C59" s="381"/>
      <c r="D59" s="381"/>
      <c r="E59" s="381"/>
      <c r="F59" s="381"/>
      <c r="G59" s="381"/>
      <c r="H59" s="381"/>
      <c r="I59" s="381"/>
      <c r="J59" s="381"/>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5" t="e">
        <f>#REF!</f>
        <v>#REF!</v>
      </c>
      <c r="G67" s="375"/>
      <c r="H67" s="88" t="s">
        <v>2745</v>
      </c>
      <c r="I67" s="58" t="str">
        <f>Gewicht/10&amp;" kg"</f>
        <v>10 kg</v>
      </c>
      <c r="J67" s="57"/>
      <c r="L67" s="104"/>
    </row>
    <row r="68" spans="1:12" ht="12.65" customHeight="1" x14ac:dyDescent="0.35">
      <c r="B68" s="86"/>
      <c r="C68" s="87" t="e">
        <f>#REF!</f>
        <v>#REF!</v>
      </c>
      <c r="D68" s="59">
        <f ca="1">AfspraakDatum-OpnDatum+1</f>
        <v>827</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8">
        <f>ber_Opm!C3</f>
        <v>0</v>
      </c>
      <c r="E79" s="379"/>
      <c r="F79" s="379"/>
      <c r="G79" s="379"/>
      <c r="H79" s="379"/>
      <c r="I79" s="379"/>
      <c r="J79" s="379"/>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0">
        <f>ber_Opm!C4</f>
        <v>0</v>
      </c>
      <c r="E100" s="370"/>
      <c r="F100" s="370"/>
      <c r="G100" s="370"/>
      <c r="H100" s="370"/>
      <c r="I100" s="370"/>
      <c r="J100" s="370"/>
      <c r="L100" s="104"/>
    </row>
    <row r="101" spans="1:12" ht="12.65" customHeight="1" x14ac:dyDescent="0.35">
      <c r="D101" s="373"/>
      <c r="E101" s="373"/>
      <c r="F101" s="373"/>
      <c r="G101" s="373"/>
      <c r="H101" s="373"/>
      <c r="I101" s="373"/>
      <c r="J101" s="373"/>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8">
        <f>ber_Opm!C9</f>
        <v>0</v>
      </c>
      <c r="E125" s="379"/>
      <c r="F125" s="379"/>
      <c r="G125" s="379"/>
      <c r="H125" s="379"/>
      <c r="I125" s="379"/>
      <c r="J125" s="379"/>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5" t="e">
        <f>#REF!</f>
        <v>#REF!</v>
      </c>
      <c r="G132" s="375"/>
      <c r="H132" s="88" t="s">
        <v>2745</v>
      </c>
      <c r="I132" s="58" t="str">
        <f>Gewicht/10&amp;" kg"</f>
        <v>10 kg</v>
      </c>
      <c r="J132" s="57"/>
      <c r="L132" s="104"/>
    </row>
    <row r="133" spans="1:12" ht="12.65" customHeight="1" x14ac:dyDescent="0.35">
      <c r="B133" s="86"/>
      <c r="C133" s="87" t="e">
        <f>#REF!</f>
        <v>#REF!</v>
      </c>
      <c r="D133" s="59">
        <f ca="1">AfspraakDatum-OpnDatum+1</f>
        <v>827</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88" t="s">
        <v>1326</v>
      </c>
      <c r="B141" s="389"/>
      <c r="C141" s="147" t="s">
        <v>1327</v>
      </c>
      <c r="D141" s="147" t="s">
        <v>1329</v>
      </c>
      <c r="E141" s="388" t="s">
        <v>1331</v>
      </c>
      <c r="F141" s="389"/>
      <c r="G141" s="155" t="s">
        <v>1329</v>
      </c>
      <c r="H141" s="388" t="s">
        <v>1330</v>
      </c>
      <c r="I141" s="389"/>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5" t="e">
        <f>#REF!</f>
        <v>#REF!</v>
      </c>
      <c r="G2" s="375"/>
      <c r="H2" s="88" t="s">
        <v>2745</v>
      </c>
      <c r="I2" s="58" t="str">
        <f>Gewicht/10&amp;" kg"</f>
        <v>10 kg</v>
      </c>
      <c r="J2" s="57"/>
    </row>
    <row r="3" spans="1:10" x14ac:dyDescent="0.35">
      <c r="A3" s="58"/>
      <c r="B3" s="86"/>
      <c r="C3" s="87" t="s">
        <v>2113</v>
      </c>
      <c r="D3" s="59">
        <f ca="1">AfspraakDatum-OpnDatum+1</f>
        <v>827</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2">
        <f>ber_Opm!C2</f>
        <v>0</v>
      </c>
      <c r="E17" s="383"/>
      <c r="F17" s="383"/>
      <c r="G17" s="383"/>
      <c r="H17" s="383"/>
      <c r="I17" s="383"/>
      <c r="J17" s="383"/>
    </row>
    <row r="18" spans="1:12" x14ac:dyDescent="0.35">
      <c r="A18" s="58"/>
      <c r="B18" s="86"/>
      <c r="C18" s="88"/>
      <c r="D18" s="383"/>
      <c r="E18" s="383"/>
      <c r="F18" s="383"/>
      <c r="G18" s="383"/>
      <c r="H18" s="383"/>
      <c r="I18" s="383"/>
      <c r="J18" s="383"/>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827</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827</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5" t="e">
        <f>#REF!</f>
        <v>#REF!</v>
      </c>
      <c r="G2" s="375"/>
      <c r="H2" s="88" t="s">
        <v>2745</v>
      </c>
      <c r="I2" s="58" t="str">
        <f>Gewicht/10&amp;" kg"</f>
        <v>10 kg</v>
      </c>
      <c r="J2" s="57"/>
      <c r="K2" s="58"/>
    </row>
    <row r="3" spans="1:11" x14ac:dyDescent="0.35">
      <c r="A3" s="58"/>
      <c r="B3" s="86"/>
      <c r="C3" s="87" t="s">
        <v>2113</v>
      </c>
      <c r="D3" s="59">
        <f ca="1">AfspraakDatum-OpnDatum+1</f>
        <v>827</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2">
        <f>ber_Opm!C2</f>
        <v>0</v>
      </c>
      <c r="E17" s="383"/>
      <c r="F17" s="383"/>
      <c r="G17" s="383"/>
      <c r="H17" s="383"/>
      <c r="I17" s="383"/>
      <c r="J17" s="383"/>
      <c r="K17" s="61"/>
    </row>
    <row r="18" spans="1:12" x14ac:dyDescent="0.35">
      <c r="A18" s="58"/>
      <c r="B18" s="86"/>
      <c r="C18" s="88"/>
      <c r="D18" s="383"/>
      <c r="E18" s="383"/>
      <c r="F18" s="383"/>
      <c r="G18" s="383"/>
      <c r="H18" s="383"/>
      <c r="I18" s="383"/>
      <c r="J18" s="383"/>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827</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827</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B3" sqref="B3"/>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f ca="1">TODAY()</f>
        <v>42189</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4" x14ac:dyDescent="0.35">
      <c r="A17" t="s">
        <v>4607</v>
      </c>
      <c r="B17">
        <v>5</v>
      </c>
    </row>
    <row r="18" spans="1:14" x14ac:dyDescent="0.35">
      <c r="A18" t="s">
        <v>4608</v>
      </c>
      <c r="B18">
        <v>500</v>
      </c>
    </row>
    <row r="19" spans="1:14" x14ac:dyDescent="0.35">
      <c r="A19" t="s">
        <v>3794</v>
      </c>
      <c r="B19">
        <v>10</v>
      </c>
    </row>
    <row r="20" spans="1:14" x14ac:dyDescent="0.35">
      <c r="A20" t="b">
        <v>0</v>
      </c>
      <c r="B20" t="b">
        <v>0</v>
      </c>
      <c r="C20" t="b">
        <v>0</v>
      </c>
      <c r="D20" t="b">
        <v>0</v>
      </c>
      <c r="E20" t="b">
        <v>0</v>
      </c>
      <c r="F20" t="b">
        <v>0</v>
      </c>
      <c r="G20" t="b">
        <v>0</v>
      </c>
      <c r="H20" t="b">
        <v>0</v>
      </c>
      <c r="I20" t="b">
        <v>0</v>
      </c>
      <c r="J20" t="b">
        <v>0</v>
      </c>
      <c r="K20" t="b">
        <v>0</v>
      </c>
      <c r="L20" t="b">
        <v>0</v>
      </c>
      <c r="M20" t="b">
        <v>0</v>
      </c>
      <c r="N20" t="b">
        <v>1</v>
      </c>
    </row>
    <row r="21" spans="1:14" x14ac:dyDescent="0.35">
      <c r="A21" t="s">
        <v>3796</v>
      </c>
      <c r="B21">
        <v>150</v>
      </c>
    </row>
    <row r="22" spans="1:14" x14ac:dyDescent="0.35">
      <c r="A22" t="s">
        <v>3797</v>
      </c>
      <c r="B22">
        <v>2500</v>
      </c>
    </row>
    <row r="23" spans="1:14" x14ac:dyDescent="0.35">
      <c r="A23" t="s">
        <v>3798</v>
      </c>
      <c r="B23">
        <v>200</v>
      </c>
    </row>
    <row r="24" spans="1:14" x14ac:dyDescent="0.35">
      <c r="A24" t="s">
        <v>3799</v>
      </c>
      <c r="B24">
        <v>50</v>
      </c>
    </row>
    <row r="25" spans="1:14" x14ac:dyDescent="0.35">
      <c r="A25" t="s">
        <v>3800</v>
      </c>
      <c r="B25">
        <v>100</v>
      </c>
    </row>
    <row r="26" spans="1:14" x14ac:dyDescent="0.35">
      <c r="A26" t="s">
        <v>2670</v>
      </c>
      <c r="B26">
        <v>1</v>
      </c>
    </row>
    <row r="27" spans="1:14" x14ac:dyDescent="0.35">
      <c r="A27" t="s">
        <v>1169</v>
      </c>
      <c r="B27" t="s">
        <v>3483</v>
      </c>
    </row>
    <row r="28" spans="1:14" x14ac:dyDescent="0.35">
      <c r="A28" t="s">
        <v>3692</v>
      </c>
      <c r="B28" t="b">
        <v>0</v>
      </c>
    </row>
    <row r="29" spans="1:14" x14ac:dyDescent="0.35">
      <c r="A29" t="s">
        <v>3693</v>
      </c>
    </row>
    <row r="30" spans="1:14" x14ac:dyDescent="0.35">
      <c r="A30" t="s">
        <v>2120</v>
      </c>
    </row>
    <row r="31" spans="1:14" x14ac:dyDescent="0.35">
      <c r="A31" t="s">
        <v>2679</v>
      </c>
      <c r="B31" t="b">
        <v>1</v>
      </c>
    </row>
    <row r="32" spans="1:14"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f ca="1">AfspraakDatum</f>
        <v>42189</v>
      </c>
      <c r="E2" s="219"/>
      <c r="F2" s="217" t="s">
        <v>2978</v>
      </c>
      <c r="G2" s="201"/>
      <c r="H2" s="220">
        <f>OpnDatum</f>
        <v>41363</v>
      </c>
      <c r="I2" s="217" t="str">
        <f ca="1">"ICU-dag: "&amp;AfspraakDatum-OpnDatum+1</f>
        <v>ICU-dag: 827</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f ca="1">AfspraakDatum</f>
        <v>42189</v>
      </c>
      <c r="F2" s="180"/>
      <c r="G2" s="177"/>
      <c r="H2" s="178" t="s">
        <v>2978</v>
      </c>
      <c r="I2" s="177"/>
      <c r="J2" s="181">
        <f>OpnDatum</f>
        <v>41363</v>
      </c>
      <c r="K2" s="178" t="str">
        <f ca="1">"ICU-dag: "&amp;AfspraakDatum-OpnDatum+1</f>
        <v>ICU-dag: 827</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42189</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topLeftCell="F1" workbookViewId="0">
      <pane ySplit="1" topLeftCell="A2243" activePane="bottomLeft" state="frozenSplit"/>
      <selection pane="bottomLeft" sqref="A1:R2268"/>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f ca="1">AfspraakDatum</f>
        <v>42189</v>
      </c>
      <c r="D2" s="219"/>
      <c r="E2" s="217" t="s">
        <v>2978</v>
      </c>
      <c r="F2" s="220">
        <f>OpnDatum</f>
        <v>41363</v>
      </c>
      <c r="G2" s="217" t="str">
        <f ca="1">"ICU-dag: "&amp;AfspraakDatum-OpnDatum+1</f>
        <v>ICU-dag: 827</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1281</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f ca="1">AfspraakDatum</f>
        <v>42189</v>
      </c>
      <c r="E2" s="219"/>
      <c r="F2" s="217" t="s">
        <v>2978</v>
      </c>
      <c r="G2" s="220">
        <f>OpnDatum</f>
        <v>41363</v>
      </c>
      <c r="H2" s="217" t="str">
        <f ca="1">"ICU-dag: "&amp;AfspraakDatum-OpnDatum+1</f>
        <v>ICU-dag: 827</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g29Fy/1A0NioceHuefS/qJIUFmYE+4McjxESuER0qKEcGW7oZxW1xHuJ6UwBprDfGBd4Il09FrUInH9M/vSFzA==" saltValue="LruipWcheY2qcWMv/3K8S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0"/>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13" t="s">
        <v>2195</v>
      </c>
      <c r="F21" s="413"/>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07" t="str">
        <f>IF(G26&gt;0,ROUND(G26/24,1)&amp;" ml/u","")</f>
        <v/>
      </c>
      <c r="B23" s="126" t="s">
        <v>2106</v>
      </c>
      <c r="C23" s="127"/>
      <c r="D23" s="127" t="s">
        <v>3943</v>
      </c>
      <c r="E23" s="127" t="s">
        <v>3944</v>
      </c>
      <c r="F23" s="128" t="s">
        <v>1921</v>
      </c>
      <c r="G23" s="129">
        <f>ROUND(ber_TPN!F13,0)</f>
        <v>0</v>
      </c>
      <c r="H23" s="50"/>
    </row>
    <row r="24" spans="1:8" ht="20.100000000000001" customHeight="1" x14ac:dyDescent="0.35">
      <c r="A24" s="408"/>
      <c r="B24" s="130" t="s">
        <v>2107</v>
      </c>
      <c r="C24" s="131"/>
      <c r="D24" s="131"/>
      <c r="E24" s="414" t="s">
        <v>2831</v>
      </c>
      <c r="F24" s="415"/>
      <c r="G24" s="133">
        <f>ROUND(ber_TPN!F14,0)</f>
        <v>0</v>
      </c>
      <c r="H24" s="45"/>
    </row>
    <row r="25" spans="1:8" ht="20.100000000000001" customHeight="1" x14ac:dyDescent="0.35">
      <c r="A25" s="44"/>
      <c r="B25" s="130"/>
      <c r="C25" s="131"/>
      <c r="D25" s="131"/>
      <c r="E25" s="414"/>
      <c r="F25" s="415"/>
      <c r="G25" s="133"/>
      <c r="H25" s="45"/>
    </row>
    <row r="26" spans="1:8" ht="15.95" customHeight="1" x14ac:dyDescent="0.35">
      <c r="A26" s="44"/>
      <c r="B26" s="110"/>
      <c r="C26" s="110"/>
      <c r="D26" s="110"/>
      <c r="E26" s="416" t="s">
        <v>2195</v>
      </c>
      <c r="F26" s="416"/>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11" t="s">
        <v>1276</v>
      </c>
      <c r="C28" s="412"/>
      <c r="D28" s="412"/>
      <c r="E28" s="412"/>
      <c r="F28" s="412"/>
      <c r="G28" s="103"/>
      <c r="H28" s="52"/>
    </row>
    <row r="29" spans="1:8" ht="20.100000000000001" customHeight="1" x14ac:dyDescent="0.35">
      <c r="A29" s="407"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08"/>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16" t="s">
        <v>2197</v>
      </c>
      <c r="F36" s="416"/>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17" t="s">
        <v>2430</v>
      </c>
      <c r="C38" s="418"/>
      <c r="D38" s="418"/>
      <c r="E38" s="418"/>
      <c r="F38" s="419"/>
      <c r="G38" s="52" t="s">
        <v>2431</v>
      </c>
      <c r="H38" s="52"/>
    </row>
    <row r="39" spans="1:8" ht="15.95" customHeight="1" x14ac:dyDescent="0.35">
      <c r="A39" s="53"/>
      <c r="B39" s="404" t="s">
        <v>2432</v>
      </c>
      <c r="C39" s="405"/>
      <c r="D39" s="405"/>
      <c r="E39" s="405"/>
      <c r="F39" s="406"/>
      <c r="G39" s="47" t="s">
        <v>2433</v>
      </c>
      <c r="H39" s="45"/>
    </row>
    <row r="40" spans="1:8" ht="15.95" customHeight="1" x14ac:dyDescent="0.35">
      <c r="A40" s="53"/>
      <c r="B40" s="404" t="s">
        <v>2434</v>
      </c>
      <c r="C40" s="405"/>
      <c r="D40" s="405"/>
      <c r="E40" s="405"/>
      <c r="F40" s="406"/>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ht="15" customHeight="1"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13" t="s">
        <v>2195</v>
      </c>
      <c r="F22" s="413"/>
      <c r="G22" s="113">
        <f>SUM(G14:G21)</f>
        <v>0</v>
      </c>
      <c r="H22" s="111"/>
    </row>
    <row r="23" spans="1:8" ht="10.5" customHeight="1" x14ac:dyDescent="0.35">
      <c r="A23" s="44"/>
      <c r="B23" s="49"/>
      <c r="C23" s="49"/>
      <c r="D23" s="49"/>
      <c r="E23" s="49"/>
      <c r="F23" s="49"/>
      <c r="G23" s="49"/>
      <c r="H23" s="45"/>
    </row>
    <row r="24" spans="1:8" ht="20.100000000000001" customHeight="1" x14ac:dyDescent="0.35">
      <c r="A24" s="407" t="str">
        <f>IF(G27&gt;0,ROUND(G27/24,1)&amp;" ml/u","")</f>
        <v/>
      </c>
      <c r="B24" s="126" t="s">
        <v>2106</v>
      </c>
      <c r="C24" s="127"/>
      <c r="D24" s="127" t="s">
        <v>3943</v>
      </c>
      <c r="E24" s="127" t="s">
        <v>3944</v>
      </c>
      <c r="F24" s="128" t="s">
        <v>1921</v>
      </c>
      <c r="G24" s="129">
        <f>ROUND(ber_TPN!F13,0)</f>
        <v>0</v>
      </c>
      <c r="H24" s="50"/>
    </row>
    <row r="25" spans="1:8" ht="20.100000000000001" customHeight="1" x14ac:dyDescent="0.35">
      <c r="A25" s="408"/>
      <c r="B25" s="130" t="s">
        <v>2107</v>
      </c>
      <c r="C25" s="131"/>
      <c r="D25" s="131"/>
      <c r="E25" s="431" t="s">
        <v>3734</v>
      </c>
      <c r="F25" s="432"/>
      <c r="G25" s="129">
        <f>ROUND(ber_TPN!F14,0)</f>
        <v>0</v>
      </c>
      <c r="H25" s="45"/>
    </row>
    <row r="26" spans="1:8" ht="20.100000000000001" customHeight="1" x14ac:dyDescent="0.35">
      <c r="A26" s="44"/>
      <c r="B26" s="130" t="s">
        <v>2175</v>
      </c>
      <c r="C26" s="131"/>
      <c r="D26" s="131"/>
      <c r="E26" s="431" t="s">
        <v>3734</v>
      </c>
      <c r="F26" s="432"/>
      <c r="G26" s="129">
        <f>ROUND(ber_TPN!F15,0)</f>
        <v>0</v>
      </c>
      <c r="H26" s="45"/>
    </row>
    <row r="27" spans="1:8" ht="15.95" customHeight="1" x14ac:dyDescent="0.35">
      <c r="A27" s="44"/>
      <c r="B27" s="49"/>
      <c r="C27" s="49"/>
      <c r="D27" s="49"/>
      <c r="E27" s="413" t="s">
        <v>2195</v>
      </c>
      <c r="F27" s="413"/>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7" t="str">
        <f>IF(G33&gt;0,ROUND(G39/24,1)&amp;" ml/u","")</f>
        <v/>
      </c>
      <c r="B30" s="137" t="s">
        <v>417</v>
      </c>
      <c r="C30" s="139"/>
      <c r="D30" s="139"/>
      <c r="E30" s="139"/>
      <c r="F30" s="143"/>
      <c r="G30" s="144">
        <f>IF(AND(OR(TPN=1,AND(TPN=2,SSTglucose&gt;10))),ROUND(ber_TPN!F7,0),0)</f>
        <v>0</v>
      </c>
      <c r="H30" s="45"/>
    </row>
    <row r="31" spans="1:8" ht="20.100000000000001" customHeight="1" x14ac:dyDescent="0.35">
      <c r="A31" s="408"/>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9" t="s">
        <v>4144</v>
      </c>
      <c r="C36" s="440"/>
      <c r="D36" s="440"/>
      <c r="E36" s="440"/>
      <c r="F36" s="145"/>
      <c r="G36" s="146" t="str">
        <f>IF(OR(SSTglucose=11),ROUND(ber_TPN!F6,0),"")</f>
        <v/>
      </c>
      <c r="H36" s="45"/>
    </row>
    <row r="37" spans="1:8" ht="20.100000000000001" customHeight="1" x14ac:dyDescent="0.35">
      <c r="A37" s="44"/>
      <c r="B37" s="439" t="s">
        <v>418</v>
      </c>
      <c r="C37" s="440"/>
      <c r="D37" s="440"/>
      <c r="E37" s="440"/>
      <c r="F37" s="145"/>
      <c r="G37" s="146" t="str">
        <f>IF(AND(SSTglucose=12),ROUND(ber_TPN!F6,0),"")</f>
        <v/>
      </c>
      <c r="H37" s="45"/>
    </row>
    <row r="38" spans="1:8" ht="20.100000000000001" customHeight="1" x14ac:dyDescent="0.35">
      <c r="A38" s="44"/>
      <c r="B38" s="439" t="s">
        <v>419</v>
      </c>
      <c r="C38" s="440"/>
      <c r="D38" s="440"/>
      <c r="E38" s="440"/>
      <c r="F38" s="143"/>
      <c r="G38" s="146" t="str">
        <f>IF(AND(SSTglucose=13),ROUND(ber_TPN!F6,0),"")</f>
        <v/>
      </c>
      <c r="H38" s="45"/>
    </row>
    <row r="39" spans="1:8" ht="15.95" customHeight="1" x14ac:dyDescent="0.35">
      <c r="A39" s="44"/>
      <c r="B39" s="49"/>
      <c r="C39" s="49"/>
      <c r="D39" s="49"/>
      <c r="E39" s="413" t="s">
        <v>2197</v>
      </c>
      <c r="F39" s="413"/>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33" t="s">
        <v>2430</v>
      </c>
      <c r="C41" s="434"/>
      <c r="D41" s="434"/>
      <c r="E41" s="434"/>
      <c r="F41" s="435"/>
      <c r="G41" s="52" t="s">
        <v>2431</v>
      </c>
      <c r="H41" s="52"/>
    </row>
    <row r="42" spans="1:8" ht="15.95" customHeight="1" x14ac:dyDescent="0.35">
      <c r="A42" s="53"/>
      <c r="B42" s="436" t="s">
        <v>2432</v>
      </c>
      <c r="C42" s="437"/>
      <c r="D42" s="437"/>
      <c r="E42" s="437"/>
      <c r="F42" s="438"/>
      <c r="G42" s="47" t="s">
        <v>2433</v>
      </c>
      <c r="H42" s="45"/>
    </row>
    <row r="43" spans="1:8" ht="15.95" customHeight="1" x14ac:dyDescent="0.35">
      <c r="A43" s="53"/>
      <c r="B43" s="436" t="s">
        <v>2434</v>
      </c>
      <c r="C43" s="437"/>
      <c r="D43" s="437"/>
      <c r="E43" s="437"/>
      <c r="F43" s="438"/>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1" t="s">
        <v>1359</v>
      </c>
      <c r="F17" s="432"/>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16" t="s">
        <v>2195</v>
      </c>
      <c r="F22" s="416"/>
      <c r="G22" s="113">
        <f>SUM(G14:G21)</f>
        <v>0</v>
      </c>
      <c r="H22" s="111"/>
    </row>
    <row r="23" spans="1:8" ht="10.5" customHeight="1" x14ac:dyDescent="0.35">
      <c r="A23" s="44"/>
      <c r="B23" s="110"/>
      <c r="C23" s="110"/>
      <c r="D23" s="110"/>
      <c r="E23" s="110"/>
      <c r="F23" s="110"/>
      <c r="G23" s="49"/>
      <c r="H23" s="45"/>
    </row>
    <row r="24" spans="1:8" ht="20.100000000000001" customHeight="1" x14ac:dyDescent="0.35">
      <c r="A24" s="409" t="str">
        <f>IF(TPN&lt;&gt;1,ROUND(G27/24,1)&amp;" ml/u","")</f>
        <v/>
      </c>
      <c r="B24" s="126" t="s">
        <v>2106</v>
      </c>
      <c r="C24" s="127"/>
      <c r="D24" s="127" t="s">
        <v>3943</v>
      </c>
      <c r="E24" s="127" t="s">
        <v>3944</v>
      </c>
      <c r="F24" s="128" t="s">
        <v>1921</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11" t="s">
        <v>1276</v>
      </c>
      <c r="C29" s="412"/>
      <c r="D29" s="412"/>
      <c r="E29" s="412"/>
      <c r="F29" s="412"/>
      <c r="G29" s="103"/>
      <c r="H29" s="52"/>
    </row>
    <row r="30" spans="1:8" ht="20.100000000000001" customHeight="1" x14ac:dyDescent="0.35">
      <c r="A30" s="409" t="str">
        <f>ROUND(G38/24,1)&amp;" ml/u"</f>
        <v>0 ml/u</v>
      </c>
      <c r="B30" s="137" t="s">
        <v>417</v>
      </c>
      <c r="C30" s="139"/>
      <c r="D30" s="139"/>
      <c r="E30" s="139"/>
      <c r="F30" s="140"/>
      <c r="G30" s="144">
        <f>IF(AND(OR(TPN=1,AND(TPN=2,SSTglucose&gt;10))),ROUND(ber_TPN!F7,0),"")</f>
        <v>0</v>
      </c>
      <c r="H30" s="45"/>
    </row>
    <row r="31" spans="1:8" ht="20.100000000000001" customHeight="1" x14ac:dyDescent="0.35">
      <c r="A31" s="410"/>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9" t="s">
        <v>418</v>
      </c>
      <c r="C36" s="440"/>
      <c r="D36" s="440"/>
      <c r="E36" s="440"/>
      <c r="F36" s="142"/>
      <c r="G36" s="146" t="str">
        <f>IF(AND(SSTglucose=12),ROUND(ber_TPN!F6,0),"")</f>
        <v/>
      </c>
      <c r="H36" s="45"/>
    </row>
    <row r="37" spans="1:8" ht="20.100000000000001" customHeight="1" x14ac:dyDescent="0.35">
      <c r="A37" s="44"/>
      <c r="B37" s="439" t="s">
        <v>419</v>
      </c>
      <c r="C37" s="440"/>
      <c r="D37" s="440"/>
      <c r="E37" s="440"/>
      <c r="F37" s="142"/>
      <c r="G37" s="146" t="str">
        <f>IF(AND(SSTglucose=13),ROUND(ber_TPN!F6,0),"")</f>
        <v/>
      </c>
      <c r="H37" s="45"/>
    </row>
    <row r="38" spans="1:8" ht="15.95" customHeight="1" x14ac:dyDescent="0.35">
      <c r="A38" s="44"/>
      <c r="B38" s="110"/>
      <c r="C38" s="110"/>
      <c r="D38" s="110"/>
      <c r="E38" s="416" t="s">
        <v>2197</v>
      </c>
      <c r="F38" s="416"/>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409"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0"/>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1" t="s">
        <v>1359</v>
      </c>
      <c r="F16" s="432"/>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16" t="s">
        <v>2195</v>
      </c>
      <c r="F22" s="416"/>
      <c r="G22" s="113">
        <f>SUM(G13:G21)</f>
        <v>0</v>
      </c>
      <c r="H22" s="111"/>
    </row>
    <row r="23" spans="1:8" ht="10.5" customHeight="1" x14ac:dyDescent="0.35">
      <c r="A23" s="44"/>
      <c r="B23" s="110"/>
      <c r="C23" s="110"/>
      <c r="D23" s="110"/>
      <c r="E23" s="110"/>
      <c r="F23" s="110"/>
      <c r="G23" s="49"/>
      <c r="H23" s="45"/>
    </row>
    <row r="24" spans="1:8" ht="20.100000000000001" customHeight="1" x14ac:dyDescent="0.35">
      <c r="A24" s="409" t="str">
        <f>IF(G27&lt;&gt;0,ROUND(G27/24,1)&amp;" ml/u","")</f>
        <v/>
      </c>
      <c r="B24" s="126" t="s">
        <v>2106</v>
      </c>
      <c r="C24" s="127"/>
      <c r="D24" s="127" t="s">
        <v>3536</v>
      </c>
      <c r="E24" s="127" t="s">
        <v>1920</v>
      </c>
      <c r="F24" s="128" t="s">
        <v>3944</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9" t="str">
        <f>IF(G38&lt;&gt;0,ROUND(G38/24,1)&amp;" ml/u","")</f>
        <v/>
      </c>
      <c r="B30" s="137" t="s">
        <v>417</v>
      </c>
      <c r="C30" s="139"/>
      <c r="D30" s="139"/>
      <c r="E30" s="139"/>
      <c r="F30" s="143"/>
      <c r="G30" s="144">
        <f>IF(AND(OR(TPN=1,AND(TPN=2,SSTglucose&gt;10))),ROUND(ber_TPN!F7,0),"")</f>
        <v>0</v>
      </c>
      <c r="H30" s="45"/>
    </row>
    <row r="31" spans="1:8" ht="20.100000000000001" customHeight="1" x14ac:dyDescent="0.35">
      <c r="A31" s="410"/>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9" t="s">
        <v>418</v>
      </c>
      <c r="C36" s="440"/>
      <c r="D36" s="440"/>
      <c r="E36" s="440"/>
      <c r="F36" s="145"/>
      <c r="G36" s="146" t="str">
        <f>IF(AND(SSTglucose=12),ROUND(ber_TPN!F6,0),"")</f>
        <v/>
      </c>
      <c r="H36" s="45"/>
    </row>
    <row r="37" spans="1:8" ht="20.100000000000001" customHeight="1" x14ac:dyDescent="0.35">
      <c r="A37" s="44"/>
      <c r="B37" s="439" t="s">
        <v>419</v>
      </c>
      <c r="C37" s="440"/>
      <c r="D37" s="440"/>
      <c r="E37" s="440"/>
      <c r="F37" s="145"/>
      <c r="G37" s="146" t="str">
        <f>IF(AND(SSTglucose=13),ROUND(ber_TPN!F6,0),"")</f>
        <v/>
      </c>
      <c r="H37" s="45"/>
    </row>
    <row r="38" spans="1:8" ht="15.95" customHeight="1" x14ac:dyDescent="0.35">
      <c r="A38" s="44"/>
      <c r="B38" s="49"/>
      <c r="C38" s="49"/>
      <c r="D38" s="49"/>
      <c r="E38" s="413" t="s">
        <v>2197</v>
      </c>
      <c r="F38" s="413"/>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16" t="s">
        <v>2195</v>
      </c>
      <c r="F19" s="416"/>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16" t="s">
        <v>2195</v>
      </c>
      <c r="F24" s="416"/>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29" t="s">
        <v>1276</v>
      </c>
      <c r="C26" s="430"/>
      <c r="D26" s="430"/>
      <c r="E26" s="430"/>
      <c r="F26" s="430"/>
      <c r="G26" s="103"/>
      <c r="H26" s="52"/>
    </row>
    <row r="27" spans="1:8" ht="20.100000000000001" customHeight="1" x14ac:dyDescent="0.35">
      <c r="A27" s="409"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0"/>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9" t="s">
        <v>418</v>
      </c>
      <c r="C33" s="440"/>
      <c r="D33" s="440"/>
      <c r="E33" s="440"/>
      <c r="F33" s="145"/>
      <c r="G33" s="146" t="str">
        <f>IF(AND(SSTglucose=12),ROUND(ber_TPN!F6,0),"")</f>
        <v/>
      </c>
      <c r="H33" s="45"/>
    </row>
    <row r="34" spans="1:8" ht="20.100000000000001" customHeight="1" x14ac:dyDescent="0.35">
      <c r="A34" s="44"/>
      <c r="B34" s="439" t="s">
        <v>419</v>
      </c>
      <c r="C34" s="440"/>
      <c r="D34" s="440"/>
      <c r="E34" s="440"/>
      <c r="F34" s="145"/>
      <c r="G34" s="146" t="str">
        <f>IF(AND(SSTglucose=13),ROUND(ber_TPN!F6,0),"")</f>
        <v/>
      </c>
      <c r="H34" s="45"/>
    </row>
    <row r="35" spans="1:8" ht="20.100000000000001" customHeight="1" x14ac:dyDescent="0.35">
      <c r="A35" s="44"/>
      <c r="B35" s="49"/>
      <c r="C35" s="49"/>
      <c r="D35" s="49"/>
      <c r="E35" s="413" t="s">
        <v>2197</v>
      </c>
      <c r="F35" s="413"/>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17" t="s">
        <v>2430</v>
      </c>
      <c r="C37" s="418"/>
      <c r="D37" s="418"/>
      <c r="E37" s="418"/>
      <c r="F37" s="419"/>
      <c r="G37" s="52" t="s">
        <v>2431</v>
      </c>
      <c r="H37" s="52"/>
    </row>
    <row r="38" spans="1:8" ht="20.100000000000001" customHeight="1" x14ac:dyDescent="0.35">
      <c r="A38" s="53"/>
      <c r="B38" s="404" t="s">
        <v>2432</v>
      </c>
      <c r="C38" s="405"/>
      <c r="D38" s="405"/>
      <c r="E38" s="405"/>
      <c r="F38" s="406"/>
      <c r="G38" s="47" t="s">
        <v>2433</v>
      </c>
      <c r="H38" s="45"/>
    </row>
    <row r="39" spans="1:8" ht="20.100000000000001" customHeight="1" x14ac:dyDescent="0.35">
      <c r="A39" s="53"/>
      <c r="B39" s="404" t="s">
        <v>2434</v>
      </c>
      <c r="C39" s="405"/>
      <c r="D39" s="405"/>
      <c r="E39" s="405"/>
      <c r="F39" s="406"/>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2015-07-04T14:48:38Z</dcterms:modified>
</cp:coreProperties>
</file>